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comments8.xml" ContentType="application/vnd.openxmlformats-officedocument.spreadsheetml.comments+xml"/>
  <Override PartName="/xl/tables/table2.xml" ContentType="application/vnd.openxmlformats-officedocument.spreadsheetml.table+xml"/>
  <Override PartName="/xl/comments9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\GĐ Tài chính\Ngân Sách 2026\Trình duyệt ngân sách\Trạm\Update giá mới từ DTR Đc - Revise\"/>
    </mc:Choice>
  </mc:AlternateContent>
  <xr:revisionPtr revIDLastSave="0" documentId="13_ncr:1_{A9965ED2-5790-444B-A64B-710D1EA60B4B}" xr6:coauthVersionLast="47" xr6:coauthVersionMax="47" xr10:uidLastSave="{00000000-0000-0000-0000-000000000000}"/>
  <bookViews>
    <workbookView xWindow="-110" yWindow="-110" windowWidth="19420" windowHeight="10300" tabRatio="799" firstSheet="1" activeTab="3" xr2:uid="{00000000-000D-0000-FFFF-FFFF00000000}"/>
  </bookViews>
  <sheets>
    <sheet name="Timeline &amp; PIC" sheetId="71" r:id="rId1"/>
    <sheet name="Thongtin" sheetId="70" r:id="rId2"/>
    <sheet name="KH hanh dong" sheetId="49" r:id="rId3"/>
    <sheet name="KQKD Tong hop" sheetId="48" r:id="rId4"/>
    <sheet name="KQKD PET" sheetId="55" r:id="rId5"/>
    <sheet name="KQKD HD" sheetId="56" r:id="rId6"/>
    <sheet name="Cong suat" sheetId="52" r:id="rId7"/>
    <sheet name="Dinh muc" sheetId="47" r:id="rId8"/>
    <sheet name="Dinh bien_HCNS" sheetId="43" r:id="rId9"/>
    <sheet name="LUONG" sheetId="63" r:id="rId10"/>
    <sheet name="Luong_HCNS" sheetId="45" state="hidden" r:id="rId11"/>
    <sheet name="4.Doanh thu" sheetId="40" r:id="rId12"/>
    <sheet name="1.NVL Chai" sheetId="39" r:id="rId13"/>
    <sheet name="2.Hao hut &amp; % chai " sheetId="38" r:id="rId14"/>
    <sheet name="3.Thanh pham" sheetId="37" r:id="rId15"/>
    <sheet name="CPSX" sheetId="41" r:id="rId16"/>
    <sheet name="CPBH" sheetId="62" r:id="rId17"/>
    <sheet name="CPQL" sheetId="42" r:id="rId18"/>
    <sheet name="CP_HDKD" sheetId="72" r:id="rId19"/>
    <sheet name="CP_Kg" sheetId="64" r:id="rId20"/>
    <sheet name="PB_TSCD" sheetId="65" r:id="rId21"/>
    <sheet name="PB_CPTT" sheetId="69" r:id="rId22"/>
    <sheet name="DATA Phan bo" sheetId="59" r:id="rId23"/>
    <sheet name="FORM OH" sheetId="67" r:id="rId24"/>
    <sheet name="MD" sheetId="68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\" localSheetId="18" hidden="1">{"cashflow",#N/A,FALSE,"CASHFLOW "}</definedName>
    <definedName name="\" localSheetId="0" hidden="1">{"'Model'!$A$1:$N$53"}</definedName>
    <definedName name="\" hidden="1">{"cashflow",#N/A,FALSE,"CASHFLOW "}</definedName>
    <definedName name="_" localSheetId="0" hidden="1">#REF!</definedName>
    <definedName name="_" hidden="1">[1]DETAIL!#REF!</definedName>
    <definedName name="__" localSheetId="0" hidden="1">#REF!</definedName>
    <definedName name="__" hidden="1">[1]DETAIL!#REF!</definedName>
    <definedName name="___" localSheetId="0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______________" hidden="1">#REF!</definedName>
    <definedName name="______________________________a1" localSheetId="18" hidden="1">{"cashflow",#N/A,FALSE,"CASHFLOW "}</definedName>
    <definedName name="______________________________a1" hidden="1">{"cashflow",#N/A,FALSE,"CASHFLOW "}</definedName>
    <definedName name="______________________________a10" localSheetId="18" hidden="1">{"sales",#N/A,FALSE,"SALES"}</definedName>
    <definedName name="______________________________a10" hidden="1">{"sales",#N/A,FALSE,"SALES"}</definedName>
    <definedName name="______________________________a2" localSheetId="18" hidden="1">{"hilight1",#N/A,FALSE,"HILIGHT1"}</definedName>
    <definedName name="______________________________a2" hidden="1">{"hilight1",#N/A,FALSE,"HILIGHT1"}</definedName>
    <definedName name="______________________________a3" localSheetId="18" hidden="1">{"hilight2",#N/A,FALSE,"HILIGHT2"}</definedName>
    <definedName name="______________________________a3" hidden="1">{"hilight2",#N/A,FALSE,"HILIGHT2"}</definedName>
    <definedName name="______________________________a4" localSheetId="18" hidden="1">{"hilight3",#N/A,FALSE,"HILIGHT3"}</definedName>
    <definedName name="______________________________a4" hidden="1">{"hilight3",#N/A,FALSE,"HILIGHT3"}</definedName>
    <definedName name="______________________________a5" localSheetId="18" hidden="1">{"income",#N/A,FALSE,"INCOME"}</definedName>
    <definedName name="______________________________a5" hidden="1">{"income",#N/A,FALSE,"INCOME"}</definedName>
    <definedName name="______________________________a6" localSheetId="18" hidden="1">{"index",#N/A,FALSE,"INDEX"}</definedName>
    <definedName name="______________________________a6" hidden="1">{"index",#N/A,FALSE,"INDEX"}</definedName>
    <definedName name="______________________________a7" localSheetId="18" hidden="1">{"PRINT_EST",#N/A,FALSE,"ESTMON"}</definedName>
    <definedName name="______________________________a7" hidden="1">{"PRINT_EST",#N/A,FALSE,"ESTMON"}</definedName>
    <definedName name="______________________________a8" localSheetId="18" hidden="1">{"revsale",#N/A,FALSE,"REV-ยุพดี"}</definedName>
    <definedName name="______________________________a8" hidden="1">{"revsale",#N/A,FALSE,"REV-ยุพดี"}</definedName>
    <definedName name="______________________________a9" localSheetId="18" hidden="1">{"revable",#N/A,FALSE,"REVABLE"}</definedName>
    <definedName name="______________________________a9" hidden="1">{"revable",#N/A,FALSE,"REVABLE"}</definedName>
    <definedName name="____________________________a1" localSheetId="18" hidden="1">{"'Sheet1'!$L$16"}</definedName>
    <definedName name="____________________________a1" hidden="1">{"'Sheet1'!$L$16"}</definedName>
    <definedName name="____________________________a10" localSheetId="18" hidden="1">{"'Sheet1'!$L$16"}</definedName>
    <definedName name="____________________________a10" hidden="1">{"'Sheet1'!$L$16"}</definedName>
    <definedName name="____________________________a11" localSheetId="18" hidden="1">{"'Sheet1'!$L$16"}</definedName>
    <definedName name="____________________________a11" hidden="1">{"'Sheet1'!$L$16"}</definedName>
    <definedName name="____________________________a12" localSheetId="18" hidden="1">{"'Sheet1'!$L$16"}</definedName>
    <definedName name="____________________________a12" hidden="1">{"'Sheet1'!$L$16"}</definedName>
    <definedName name="____________________________a2" localSheetId="18" hidden="1">{"'Sheet1'!$L$16"}</definedName>
    <definedName name="____________________________a2" hidden="1">{"'Sheet1'!$L$16"}</definedName>
    <definedName name="____________________________a3" localSheetId="18" hidden="1">{"'Sheet1'!$L$16"}</definedName>
    <definedName name="____________________________a3" hidden="1">{"'Sheet1'!$L$16"}</definedName>
    <definedName name="____________________________a4" localSheetId="18" hidden="1">{"'Sheet1'!$L$16"}</definedName>
    <definedName name="____________________________a4" hidden="1">{"'Sheet1'!$L$16"}</definedName>
    <definedName name="____________________________a5" localSheetId="18" hidden="1">{"'Sheet1'!$L$16"}</definedName>
    <definedName name="____________________________a5" hidden="1">{"'Sheet1'!$L$16"}</definedName>
    <definedName name="____________________________a6" localSheetId="18" hidden="1">{"index",#N/A,FALSE,"INDEX"}</definedName>
    <definedName name="____________________________a6" hidden="1">{"index",#N/A,FALSE,"INDEX"}</definedName>
    <definedName name="____________________________a7" localSheetId="18" hidden="1">{"'Sheet1'!$L$16"}</definedName>
    <definedName name="____________________________a7" hidden="1">{"'Sheet1'!$L$16"}</definedName>
    <definedName name="____________________________a8" localSheetId="18" hidden="1">{"'Sheet1'!$L$16"}</definedName>
    <definedName name="____________________________a8" hidden="1">{"'Sheet1'!$L$16"}</definedName>
    <definedName name="____________________________a9" localSheetId="18" hidden="1">{"'Sheet1'!$L$16"}</definedName>
    <definedName name="____________________________a9" hidden="1">{"'Sheet1'!$L$16"}</definedName>
    <definedName name="____________________________f5" localSheetId="18" hidden="1">{"'Sheet1'!$L$16"}</definedName>
    <definedName name="____________________________f5" hidden="1">{"'Sheet1'!$L$16"}</definedName>
    <definedName name="____________________________NSO2" localSheetId="18" hidden="1">{"'Sheet1'!$L$16"}</definedName>
    <definedName name="____________________________NSO2" hidden="1">{"'Sheet1'!$L$16"}</definedName>
    <definedName name="___________________________a1" localSheetId="18" hidden="1">{"'Sheet1'!$L$16"}</definedName>
    <definedName name="___________________________a1" hidden="1">{"'Sheet1'!$L$16"}</definedName>
    <definedName name="___________________________a10" localSheetId="18" hidden="1">{"'Sheet1'!$L$16"}</definedName>
    <definedName name="___________________________a10" hidden="1">{"'Sheet1'!$L$16"}</definedName>
    <definedName name="___________________________a11" localSheetId="18" hidden="1">{"'Sheet1'!$L$16"}</definedName>
    <definedName name="___________________________a11" hidden="1">{"'Sheet1'!$L$16"}</definedName>
    <definedName name="___________________________a12" localSheetId="18" hidden="1">{"'Sheet1'!$L$16"}</definedName>
    <definedName name="___________________________a12" hidden="1">{"'Sheet1'!$L$16"}</definedName>
    <definedName name="______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localSheetId="18" hidden="1">{"'Sheet1'!$L$16"}</definedName>
    <definedName name="___________________________a2" hidden="1">{"'Sheet1'!$L$16"}</definedName>
    <definedName name="___________________________a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localSheetId="18" hidden="1">{"'Sheet1'!$L$16"}</definedName>
    <definedName name="___________________________a4" hidden="1">{"'Sheet1'!$L$16"}</definedName>
    <definedName name="___________________________a5" localSheetId="18" hidden="1">{"'Sheet1'!$L$16"}</definedName>
    <definedName name="___________________________a5" hidden="1">{"'Sheet1'!$L$16"}</definedName>
    <definedName name="___________________________a6" localSheetId="18" hidden="1">{"index",#N/A,FALSE,"INDEX"}</definedName>
    <definedName name="___________________________a6" hidden="1">{"index",#N/A,FALSE,"INDEX"}</definedName>
    <definedName name="___________________________a7" localSheetId="18" hidden="1">{"'Sheet1'!$L$16"}</definedName>
    <definedName name="___________________________a7" hidden="1">{"'Sheet1'!$L$16"}</definedName>
    <definedName name="___________________________a8" localSheetId="18" hidden="1">{"'Sheet1'!$L$16"}</definedName>
    <definedName name="___________________________a8" hidden="1">{"'Sheet1'!$L$16"}</definedName>
    <definedName name="___________________________a9" localSheetId="18" hidden="1">{"'Sheet1'!$L$16"}</definedName>
    <definedName name="___________________________a9" hidden="1">{"'Sheet1'!$L$16"}</definedName>
    <definedName name="___________________________f5" localSheetId="18" hidden="1">{"'Sheet1'!$L$16"}</definedName>
    <definedName name="___________________________f5" hidden="1">{"'Sheet1'!$L$16"}</definedName>
    <definedName name="___________________________gg1" localSheetId="18" hidden="1">{"'Sheet1'!$L$16"}</definedName>
    <definedName name="___________________________gg1" hidden="1">{"'Sheet1'!$L$16"}</definedName>
    <definedName name="___________________________h1" localSheetId="18" hidden="1">{"'Sheet1'!$L$16"}</definedName>
    <definedName name="___________________________h1" hidden="1">{"'Sheet1'!$L$16"}</definedName>
    <definedName name="___________________________h2" localSheetId="18" hidden="1">{"'Sheet1'!$L$16"}</definedName>
    <definedName name="___________________________h2" hidden="1">{"'Sheet1'!$L$16"}</definedName>
    <definedName name="___________________________huy1" localSheetId="18" hidden="1">{"'Sheet1'!$L$16"}</definedName>
    <definedName name="___________________________huy1" hidden="1">{"'Sheet1'!$L$16"}</definedName>
    <definedName name="___________________________NSO2" localSheetId="18" hidden="1">{"'Sheet1'!$L$16"}</definedName>
    <definedName name="___________________________NSO2" hidden="1">{"'Sheet1'!$L$16"}</definedName>
    <definedName name="___________________________nso3" localSheetId="18" hidden="1">{"'Sheet1'!$L$16"}</definedName>
    <definedName name="___________________________nso3" hidden="1">{"'Sheet1'!$L$16"}</definedName>
    <definedName name="___________________________PA3" localSheetId="18" hidden="1">{"'Sheet1'!$L$16"}</definedName>
    <definedName name="___________________________PA3" hidden="1">{"'Sheet1'!$L$16"}</definedName>
    <definedName name="___________________________thu1" localSheetId="18" hidden="1">{"'Sheet1'!$L$16"}</definedName>
    <definedName name="___________________________thu1" hidden="1">{"'Sheet1'!$L$16"}</definedName>
    <definedName name="___________________________thu2" localSheetId="18" hidden="1">{"'Sheet1'!$L$16"}</definedName>
    <definedName name="___________________________thu2" hidden="1">{"'Sheet1'!$L$16"}</definedName>
    <definedName name="___________________________thu4" localSheetId="18" hidden="1">{"'Sheet1'!$L$16"}</definedName>
    <definedName name="___________________________thu4" hidden="1">{"'Sheet1'!$L$16"}</definedName>
    <definedName name="___________________________thu5" localSheetId="18" hidden="1">{"'Sheet1'!$L$16"}</definedName>
    <definedName name="___________________________thu5" hidden="1">{"'Sheet1'!$L$16"}</definedName>
    <definedName name="__________________________a1" localSheetId="18" hidden="1">{"cashflow",#N/A,FALSE,"CASHFLOW "}</definedName>
    <definedName name="__________________________a1" hidden="1">{"cashflow",#N/A,FALSE,"CASHFLOW "}</definedName>
    <definedName name="__________________________a10" localSheetId="18" hidden="1">{"sales",#N/A,FALSE,"SALES"}</definedName>
    <definedName name="__________________________a10" hidden="1">{"sales",#N/A,FALSE,"SALES"}</definedName>
    <definedName name="__________________________a11" localSheetId="18" hidden="1">{"'Sheet1'!$L$16"}</definedName>
    <definedName name="__________________________a11" hidden="1">{"'Sheet1'!$L$16"}</definedName>
    <definedName name="__________________________a12" localSheetId="18" hidden="1">{"'Sheet1'!$L$16"}</definedName>
    <definedName name="__________________________a12" hidden="1">{"'Sheet1'!$L$16"}</definedName>
    <definedName name="_____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localSheetId="18" hidden="1">{"hilight1",#N/A,FALSE,"HILIGHT1"}</definedName>
    <definedName name="__________________________a2" hidden="1">{"hilight1",#N/A,FALSE,"HILIGHT1"}</definedName>
    <definedName name="__________________________a3" localSheetId="18" hidden="1">{"hilight2",#N/A,FALSE,"HILIGHT2"}</definedName>
    <definedName name="__________________________a3" hidden="1">{"hilight2",#N/A,FALSE,"HILIGHT2"}</definedName>
    <definedName name="__________________________a4" localSheetId="18" hidden="1">{"hilight3",#N/A,FALSE,"HILIGHT3"}</definedName>
    <definedName name="__________________________a4" hidden="1">{"hilight3",#N/A,FALSE,"HILIGHT3"}</definedName>
    <definedName name="__________________________a5" localSheetId="18" hidden="1">{"income",#N/A,FALSE,"INCOME"}</definedName>
    <definedName name="__________________________a5" hidden="1">{"income",#N/A,FALSE,"INCOME"}</definedName>
    <definedName name="__________________________a6" localSheetId="18" hidden="1">{"index",#N/A,FALSE,"INDEX"}</definedName>
    <definedName name="__________________________a6" hidden="1">{"index",#N/A,FALSE,"INDEX"}</definedName>
    <definedName name="__________________________a7" localSheetId="18" hidden="1">{"PRINT_EST",#N/A,FALSE,"ESTMON"}</definedName>
    <definedName name="__________________________a7" hidden="1">{"PRINT_EST",#N/A,FALSE,"ESTMON"}</definedName>
    <definedName name="__________________________a8" localSheetId="18" hidden="1">{"revsale",#N/A,FALSE,"REV-ยุพดี"}</definedName>
    <definedName name="__________________________a8" hidden="1">{"revsale",#N/A,FALSE,"REV-ยุพดี"}</definedName>
    <definedName name="__________________________a9" localSheetId="18" hidden="1">{"revable",#N/A,FALSE,"REVABLE"}</definedName>
    <definedName name="__________________________a9" hidden="1">{"revable",#N/A,FALSE,"REVABLE"}</definedName>
    <definedName name="__________________________f5" localSheetId="18" hidden="1">{"'Sheet1'!$L$16"}</definedName>
    <definedName name="__________________________f5" hidden="1">{"'Sheet1'!$L$16"}</definedName>
    <definedName name="__________________________gg1" localSheetId="18" hidden="1">{"'Sheet1'!$L$16"}</definedName>
    <definedName name="__________________________gg1" hidden="1">{"'Sheet1'!$L$16"}</definedName>
    <definedName name="__________________________h1" localSheetId="18" hidden="1">{"'Sheet1'!$L$16"}</definedName>
    <definedName name="__________________________h1" hidden="1">{"'Sheet1'!$L$16"}</definedName>
    <definedName name="__________________________h2" localSheetId="18" hidden="1">{"'Sheet1'!$L$16"}</definedName>
    <definedName name="__________________________h2" hidden="1">{"'Sheet1'!$L$16"}</definedName>
    <definedName name="__________________________huy1" localSheetId="18" hidden="1">{"'Sheet1'!$L$16"}</definedName>
    <definedName name="__________________________huy1" hidden="1">{"'Sheet1'!$L$16"}</definedName>
    <definedName name="__________________________NSO2" localSheetId="18" hidden="1">{"'Sheet1'!$L$16"}</definedName>
    <definedName name="__________________________NSO2" hidden="1">{"'Sheet1'!$L$16"}</definedName>
    <definedName name="__________________________nso3" localSheetId="18" hidden="1">{"'Sheet1'!$L$16"}</definedName>
    <definedName name="__________________________nso3" hidden="1">{"'Sheet1'!$L$16"}</definedName>
    <definedName name="__________________________PA3" localSheetId="18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localSheetId="18" hidden="1">{"'Sheet1'!$L$16"}</definedName>
    <definedName name="__________________________thu1" hidden="1">{"'Sheet1'!$L$16"}</definedName>
    <definedName name="__________________________thu2" localSheetId="18" hidden="1">{"'Sheet1'!$L$16"}</definedName>
    <definedName name="__________________________thu2" hidden="1">{"'Sheet1'!$L$16"}</definedName>
    <definedName name="__________________________thu4" localSheetId="18" hidden="1">{"'Sheet1'!$L$16"}</definedName>
    <definedName name="__________________________thu4" hidden="1">{"'Sheet1'!$L$16"}</definedName>
    <definedName name="__________________________thu5" localSheetId="18" hidden="1">{"'Sheet1'!$L$16"}</definedName>
    <definedName name="__________________________thu5" hidden="1">{"'Sheet1'!$L$16"}</definedName>
    <definedName name="_________________________a1" localSheetId="18" hidden="1">{"cashflow",#N/A,FALSE,"CASHFLOW "}</definedName>
    <definedName name="_________________________a1" hidden="1">{"cashflow",#N/A,FALSE,"CASHFLOW "}</definedName>
    <definedName name="_________________________a10" localSheetId="18" hidden="1">{"sales",#N/A,FALSE,"SALES"}</definedName>
    <definedName name="_________________________a10" hidden="1">{"sales",#N/A,FALSE,"SALES"}</definedName>
    <definedName name="_________________________a11" localSheetId="18" hidden="1">{"'Sheet1'!$L$16"}</definedName>
    <definedName name="_________________________a11" hidden="1">{"'Sheet1'!$L$16"}</definedName>
    <definedName name="_________________________a12" localSheetId="18" hidden="1">{"'Sheet1'!$L$16"}</definedName>
    <definedName name="_________________________a12" hidden="1">{"'Sheet1'!$L$16"}</definedName>
    <definedName name="_________________________a2" localSheetId="18" hidden="1">{"hilight1",#N/A,FALSE,"HILIGHT1"}</definedName>
    <definedName name="_________________________a2" hidden="1">{"hilight1",#N/A,FALSE,"HILIGHT1"}</definedName>
    <definedName name="_________________________a3" localSheetId="18" hidden="1">{"hilight2",#N/A,FALSE,"HILIGHT2"}</definedName>
    <definedName name="_________________________a3" hidden="1">{"hilight2",#N/A,FALSE,"HILIGHT2"}</definedName>
    <definedName name="_________________________a4" localSheetId="18" hidden="1">{"hilight3",#N/A,FALSE,"HILIGHT3"}</definedName>
    <definedName name="_________________________a4" hidden="1">{"hilight3",#N/A,FALSE,"HILIGHT3"}</definedName>
    <definedName name="_________________________a5" localSheetId="18" hidden="1">{"income",#N/A,FALSE,"INCOME"}</definedName>
    <definedName name="_________________________a5" hidden="1">{"income",#N/A,FALSE,"INCOME"}</definedName>
    <definedName name="_________________________a6" localSheetId="18" hidden="1">{"index",#N/A,FALSE,"INDEX"}</definedName>
    <definedName name="_________________________a6" hidden="1">{"index",#N/A,FALSE,"INDEX"}</definedName>
    <definedName name="_________________________a7" localSheetId="18" hidden="1">{"PRINT_EST",#N/A,FALSE,"ESTMON"}</definedName>
    <definedName name="_________________________a7" hidden="1">{"PRINT_EST",#N/A,FALSE,"ESTMON"}</definedName>
    <definedName name="_________________________a8" localSheetId="18" hidden="1">{"revsale",#N/A,FALSE,"REV-ยุพดี"}</definedName>
    <definedName name="_________________________a8" hidden="1">{"revsale",#N/A,FALSE,"REV-ยุพดี"}</definedName>
    <definedName name="_________________________a9" localSheetId="18" hidden="1">{"revable",#N/A,FALSE,"REVABLE"}</definedName>
    <definedName name="_________________________a9" hidden="1">{"revable",#N/A,FALSE,"REVABLE"}</definedName>
    <definedName name="_________________________f5" localSheetId="18" hidden="1">{"'Sheet1'!$L$16"}</definedName>
    <definedName name="_________________________f5" hidden="1">{"'Sheet1'!$L$16"}</definedName>
    <definedName name="_________________________NSO2" localSheetId="18" hidden="1">{"'Sheet1'!$L$16"}</definedName>
    <definedName name="_________________________NSO2" hidden="1">{"'Sheet1'!$L$16"}</definedName>
    <definedName name="_________________________T01" hidden="1">#REF!</definedName>
    <definedName name="________________________a1" localSheetId="18" hidden="1">{"cashflow",#N/A,FALSE,"CASHFLOW "}</definedName>
    <definedName name="________________________a1" hidden="1">{"cashflow",#N/A,FALSE,"CASHFLOW "}</definedName>
    <definedName name="________________________a10" localSheetId="18" hidden="1">{"sales",#N/A,FALSE,"SALES"}</definedName>
    <definedName name="________________________a10" hidden="1">{"sales",#N/A,FALSE,"SALES"}</definedName>
    <definedName name="________________________a11" localSheetId="18" hidden="1">{"'Sheet1'!$L$16"}</definedName>
    <definedName name="________________________a11" hidden="1">{"'Sheet1'!$L$16"}</definedName>
    <definedName name="________________________a12" localSheetId="18" hidden="1">{"'Sheet1'!$L$16"}</definedName>
    <definedName name="________________________a12" hidden="1">{"'Sheet1'!$L$16"}</definedName>
    <definedName name="________________________a2" localSheetId="18" hidden="1">{"hilight1",#N/A,FALSE,"HILIGHT1"}</definedName>
    <definedName name="________________________a2" hidden="1">{"hilight1",#N/A,FALSE,"HILIGHT1"}</definedName>
    <definedName name="________________________a3" localSheetId="18" hidden="1">{"hilight2",#N/A,FALSE,"HILIGHT2"}</definedName>
    <definedName name="________________________a3" hidden="1">{"hilight2",#N/A,FALSE,"HILIGHT2"}</definedName>
    <definedName name="________________________a4" localSheetId="18" hidden="1">{"hilight3",#N/A,FALSE,"HILIGHT3"}</definedName>
    <definedName name="________________________a4" hidden="1">{"hilight3",#N/A,FALSE,"HILIGHT3"}</definedName>
    <definedName name="________________________a5" localSheetId="18" hidden="1">{"income",#N/A,FALSE,"INCOME"}</definedName>
    <definedName name="________________________a5" hidden="1">{"income",#N/A,FALSE,"INCOME"}</definedName>
    <definedName name="________________________a6" localSheetId="18" hidden="1">{"index",#N/A,FALSE,"INDEX"}</definedName>
    <definedName name="________________________a6" hidden="1">{"index",#N/A,FALSE,"INDEX"}</definedName>
    <definedName name="________________________a7" localSheetId="18" hidden="1">{"PRINT_EST",#N/A,FALSE,"ESTMON"}</definedName>
    <definedName name="________________________a7" hidden="1">{"PRINT_EST",#N/A,FALSE,"ESTMON"}</definedName>
    <definedName name="________________________a8" localSheetId="18" hidden="1">{"revsale",#N/A,FALSE,"REV-ยุพดี"}</definedName>
    <definedName name="________________________a8" hidden="1">{"revsale",#N/A,FALSE,"REV-ยุพดี"}</definedName>
    <definedName name="________________________a9" localSheetId="18" hidden="1">{"revable",#N/A,FALSE,"REVABLE"}</definedName>
    <definedName name="________________________a9" hidden="1">{"revable",#N/A,FALSE,"REVABLE"}</definedName>
    <definedName name="________________________f5" localSheetId="18" hidden="1">{"'Sheet1'!$L$16"}</definedName>
    <definedName name="________________________f5" hidden="1">{"'Sheet1'!$L$16"}</definedName>
    <definedName name="________________________NSO2" localSheetId="18" hidden="1">{"'Sheet1'!$L$16"}</definedName>
    <definedName name="________________________NSO2" hidden="1">{"'Sheet1'!$L$16"}</definedName>
    <definedName name="________________________T01" hidden="1">#REF!</definedName>
    <definedName name="_______________________a1" localSheetId="18" hidden="1">{"cashflow",#N/A,FALSE,"CASHFLOW "}</definedName>
    <definedName name="_______________________a1" hidden="1">{"cashflow",#N/A,FALSE,"CASHFLOW "}</definedName>
    <definedName name="_______________________a10" localSheetId="18" hidden="1">{"sales",#N/A,FALSE,"SALES"}</definedName>
    <definedName name="_______________________a10" hidden="1">{"sales",#N/A,FALSE,"SALES"}</definedName>
    <definedName name="_______________________a11" localSheetId="18" hidden="1">{"'Sheet1'!$L$16"}</definedName>
    <definedName name="_______________________a11" hidden="1">{"'Sheet1'!$L$16"}</definedName>
    <definedName name="_______________________a12" localSheetId="18" hidden="1">{"'Sheet1'!$L$16"}</definedName>
    <definedName name="_______________________a12" hidden="1">{"'Sheet1'!$L$16"}</definedName>
    <definedName name="__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localSheetId="18" hidden="1">{"hilight1",#N/A,FALSE,"HILIGHT1"}</definedName>
    <definedName name="_______________________a2" hidden="1">{"hilight1",#N/A,FALSE,"HILIGHT1"}</definedName>
    <definedName name="_______________________a3" localSheetId="18" hidden="1">{"hilight2",#N/A,FALSE,"HILIGHT2"}</definedName>
    <definedName name="_______________________a3" hidden="1">{"hilight2",#N/A,FALSE,"HILIGHT2"}</definedName>
    <definedName name="_______________________a4" localSheetId="18" hidden="1">{"hilight3",#N/A,FALSE,"HILIGHT3"}</definedName>
    <definedName name="_______________________a4" hidden="1">{"hilight3",#N/A,FALSE,"HILIGHT3"}</definedName>
    <definedName name="_______________________a5" localSheetId="18" hidden="1">{"income",#N/A,FALSE,"INCOME"}</definedName>
    <definedName name="_______________________a5" hidden="1">{"income",#N/A,FALSE,"INCOME"}</definedName>
    <definedName name="_______________________a6" localSheetId="18" hidden="1">{"index",#N/A,FALSE,"INDEX"}</definedName>
    <definedName name="_______________________a6" hidden="1">{"index",#N/A,FALSE,"INDEX"}</definedName>
    <definedName name="_______________________a7" localSheetId="18" hidden="1">{"PRINT_EST",#N/A,FALSE,"ESTMON"}</definedName>
    <definedName name="_______________________a7" hidden="1">{"PRINT_EST",#N/A,FALSE,"ESTMON"}</definedName>
    <definedName name="_______________________a8" localSheetId="18" hidden="1">{"revsale",#N/A,FALSE,"REV-ยุพดี"}</definedName>
    <definedName name="_______________________a8" hidden="1">{"revsale",#N/A,FALSE,"REV-ยุพดี"}</definedName>
    <definedName name="_______________________a9" localSheetId="18" hidden="1">{"revable",#N/A,FALSE,"REVABLE"}</definedName>
    <definedName name="_______________________a9" hidden="1">{"revable",#N/A,FALSE,"REVABLE"}</definedName>
    <definedName name="_______________________f5" localSheetId="18" hidden="1">{"'Sheet1'!$L$16"}</definedName>
    <definedName name="_______________________f5" hidden="1">{"'Sheet1'!$L$16"}</definedName>
    <definedName name="_______________________gg1" localSheetId="18" hidden="1">{"'Sheet1'!$L$16"}</definedName>
    <definedName name="_______________________gg1" hidden="1">{"'Sheet1'!$L$16"}</definedName>
    <definedName name="_______________________h1" localSheetId="18" hidden="1">{"'Sheet1'!$L$16"}</definedName>
    <definedName name="_______________________h1" hidden="1">{"'Sheet1'!$L$16"}</definedName>
    <definedName name="_______________________h2" localSheetId="18" hidden="1">{"'Sheet1'!$L$16"}</definedName>
    <definedName name="_______________________h2" hidden="1">{"'Sheet1'!$L$16"}</definedName>
    <definedName name="_______________________huy1" localSheetId="18" hidden="1">{"'Sheet1'!$L$16"}</definedName>
    <definedName name="_______________________huy1" hidden="1">{"'Sheet1'!$L$16"}</definedName>
    <definedName name="_______________________NSO2" localSheetId="18" hidden="1">{"'Sheet1'!$L$16"}</definedName>
    <definedName name="_______________________NSO2" hidden="1">{"'Sheet1'!$L$16"}</definedName>
    <definedName name="_______________________nso3" localSheetId="18" hidden="1">{"'Sheet1'!$L$16"}</definedName>
    <definedName name="_______________________nso3" hidden="1">{"'Sheet1'!$L$16"}</definedName>
    <definedName name="_______________________PA3" localSheetId="18" hidden="1">{"'Sheet1'!$L$16"}</definedName>
    <definedName name="_______________________PA3" hidden="1">{"'Sheet1'!$L$16"}</definedName>
    <definedName name="_______________________T01" hidden="1">#REF!</definedName>
    <definedName name="_______________________thu1" localSheetId="18" hidden="1">{"'Sheet1'!$L$16"}</definedName>
    <definedName name="_______________________thu1" hidden="1">{"'Sheet1'!$L$16"}</definedName>
    <definedName name="_______________________thu2" localSheetId="18" hidden="1">{"'Sheet1'!$L$16"}</definedName>
    <definedName name="_______________________thu2" hidden="1">{"'Sheet1'!$L$16"}</definedName>
    <definedName name="_______________________thu4" localSheetId="18" hidden="1">{"'Sheet1'!$L$16"}</definedName>
    <definedName name="_______________________thu4" hidden="1">{"'Sheet1'!$L$16"}</definedName>
    <definedName name="_______________________thu5" localSheetId="18" hidden="1">{"'Sheet1'!$L$16"}</definedName>
    <definedName name="_______________________thu5" hidden="1">{"'Sheet1'!$L$16"}</definedName>
    <definedName name="______________________a1" localSheetId="18" hidden="1">{"cashflow",#N/A,FALSE,"CASHFLOW "}</definedName>
    <definedName name="______________________a1" hidden="1">{"cashflow",#N/A,FALSE,"CASHFLOW "}</definedName>
    <definedName name="______________________a10" localSheetId="18" hidden="1">{"sales",#N/A,FALSE,"SALES"}</definedName>
    <definedName name="______________________a10" hidden="1">{"sales",#N/A,FALSE,"SALES"}</definedName>
    <definedName name="______________________a11" localSheetId="18" hidden="1">{"'Sheet1'!$L$16"}</definedName>
    <definedName name="______________________a11" hidden="1">{"'Sheet1'!$L$16"}</definedName>
    <definedName name="______________________a12" localSheetId="18" hidden="1">{"'Sheet1'!$L$16"}</definedName>
    <definedName name="______________________a12" hidden="1">{"'Sheet1'!$L$16"}</definedName>
    <definedName name="______________________a2" localSheetId="18" hidden="1">{"hilight1",#N/A,FALSE,"HILIGHT1"}</definedName>
    <definedName name="______________________a2" hidden="1">{"hilight1",#N/A,FALSE,"HILIGHT1"}</definedName>
    <definedName name="______________________a3" localSheetId="18" hidden="1">{"hilight2",#N/A,FALSE,"HILIGHT2"}</definedName>
    <definedName name="______________________a3" hidden="1">{"hilight2",#N/A,FALSE,"HILIGHT2"}</definedName>
    <definedName name="______________________a4" localSheetId="18" hidden="1">{"hilight3",#N/A,FALSE,"HILIGHT3"}</definedName>
    <definedName name="______________________a4" hidden="1">{"hilight3",#N/A,FALSE,"HILIGHT3"}</definedName>
    <definedName name="______________________a5" localSheetId="18" hidden="1">{"income",#N/A,FALSE,"INCOME"}</definedName>
    <definedName name="______________________a5" hidden="1">{"income",#N/A,FALSE,"INCOME"}</definedName>
    <definedName name="______________________a6" localSheetId="18" hidden="1">{"index",#N/A,FALSE,"INDEX"}</definedName>
    <definedName name="______________________a6" hidden="1">{"index",#N/A,FALSE,"INDEX"}</definedName>
    <definedName name="______________________a7" localSheetId="18" hidden="1">{"PRINT_EST",#N/A,FALSE,"ESTMON"}</definedName>
    <definedName name="______________________a7" hidden="1">{"PRINT_EST",#N/A,FALSE,"ESTMON"}</definedName>
    <definedName name="______________________a8" localSheetId="18" hidden="1">{"revsale",#N/A,FALSE,"REV-ยุพดี"}</definedName>
    <definedName name="______________________a8" hidden="1">{"revsale",#N/A,FALSE,"REV-ยุพดี"}</definedName>
    <definedName name="______________________a9" localSheetId="18" hidden="1">{"revable",#N/A,FALSE,"REVABLE"}</definedName>
    <definedName name="______________________a9" hidden="1">{"revable",#N/A,FALSE,"REVABLE"}</definedName>
    <definedName name="______________________f5" localSheetId="18" hidden="1">{"'Sheet1'!$L$16"}</definedName>
    <definedName name="______________________f5" hidden="1">{"'Sheet1'!$L$16"}</definedName>
    <definedName name="______________________NSO2" localSheetId="18" hidden="1">{"'Sheet1'!$L$16"}</definedName>
    <definedName name="______________________NSO2" hidden="1">{"'Sheet1'!$L$16"}</definedName>
    <definedName name="______________________T01" hidden="1">#REF!</definedName>
    <definedName name="_____________________a1" localSheetId="18" hidden="1">{"cashflow",#N/A,FALSE,"CASHFLOW "}</definedName>
    <definedName name="_____________________a1" hidden="1">{"cashflow",#N/A,FALSE,"CASHFLOW "}</definedName>
    <definedName name="_____________________a10" localSheetId="18" hidden="1">{"sales",#N/A,FALSE,"SALES"}</definedName>
    <definedName name="_____________________a10" hidden="1">{"sales",#N/A,FALSE,"SALES"}</definedName>
    <definedName name="_____________________a11" localSheetId="18" hidden="1">{"'Sheet1'!$L$16"}</definedName>
    <definedName name="_____________________a11" hidden="1">{"'Sheet1'!$L$16"}</definedName>
    <definedName name="_____________________a12" localSheetId="18" hidden="1">{"'Sheet1'!$L$16"}</definedName>
    <definedName name="_____________________a12" hidden="1">{"'Sheet1'!$L$16"}</definedName>
    <definedName name="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localSheetId="18" hidden="1">{"hilight1",#N/A,FALSE,"HILIGHT1"}</definedName>
    <definedName name="_____________________a2" hidden="1">{"hilight1",#N/A,FALSE,"HILIGHT1"}</definedName>
    <definedName name="_____________________a3" localSheetId="18" hidden="1">{"hilight2",#N/A,FALSE,"HILIGHT2"}</definedName>
    <definedName name="_____________________a3" hidden="1">{"hilight2",#N/A,FALSE,"HILIGHT2"}</definedName>
    <definedName name="_____________________a4" localSheetId="18" hidden="1">{"hilight3",#N/A,FALSE,"HILIGHT3"}</definedName>
    <definedName name="_____________________a4" hidden="1">{"hilight3",#N/A,FALSE,"HILIGHT3"}</definedName>
    <definedName name="_____________________a5" localSheetId="18" hidden="1">{"income",#N/A,FALSE,"INCOME"}</definedName>
    <definedName name="_____________________a5" hidden="1">{"income",#N/A,FALSE,"INCOME"}</definedName>
    <definedName name="_____________________a6" localSheetId="18" hidden="1">{"index",#N/A,FALSE,"INDEX"}</definedName>
    <definedName name="_____________________a6" hidden="1">{"index",#N/A,FALSE,"INDEX"}</definedName>
    <definedName name="_____________________a7" localSheetId="18" hidden="1">{"PRINT_EST",#N/A,FALSE,"ESTMON"}</definedName>
    <definedName name="_____________________a7" hidden="1">{"PRINT_EST",#N/A,FALSE,"ESTMON"}</definedName>
    <definedName name="_____________________a8" localSheetId="18" hidden="1">{"revsale",#N/A,FALSE,"REV-ยุพดี"}</definedName>
    <definedName name="_____________________a8" hidden="1">{"revsale",#N/A,FALSE,"REV-ยุพดี"}</definedName>
    <definedName name="_____________________a9" localSheetId="18" hidden="1">{"revable",#N/A,FALSE,"REVABLE"}</definedName>
    <definedName name="_____________________a9" hidden="1">{"revable",#N/A,FALSE,"REVABLE"}</definedName>
    <definedName name="_____________________f5" localSheetId="18" hidden="1">{"'Sheet1'!$L$16"}</definedName>
    <definedName name="_____________________f5" hidden="1">{"'Sheet1'!$L$16"}</definedName>
    <definedName name="_____________________FOH2006" localSheetId="18" hidden="1">{#N/A,#N/A,FALSE,"TL";#N/A,#N/A,FALSE,"KK";#N/A,#N/A,FALSE,"TS";#N/A,#N/A,FALSE,"KW";#N/A,#N/A,FALSE,"LP";#N/A,#N/A,FALSE,"DC"}</definedName>
    <definedName name="_____________________FOH2006" hidden="1">{#N/A,#N/A,FALSE,"TL";#N/A,#N/A,FALSE,"KK";#N/A,#N/A,FALSE,"TS";#N/A,#N/A,FALSE,"KW";#N/A,#N/A,FALSE,"LP";#N/A,#N/A,FALSE,"DC"}</definedName>
    <definedName name="_____________________gg1" localSheetId="18" hidden="1">{"'Sheet1'!$L$16"}</definedName>
    <definedName name="_____________________gg1" hidden="1">{"'Sheet1'!$L$16"}</definedName>
    <definedName name="_____________________h1" localSheetId="18" hidden="1">{"'Sheet1'!$L$16"}</definedName>
    <definedName name="_____________________h1" hidden="1">{"'Sheet1'!$L$16"}</definedName>
    <definedName name="_____________________h2" localSheetId="18" hidden="1">{"'Sheet1'!$L$16"}</definedName>
    <definedName name="_____________________h2" hidden="1">{"'Sheet1'!$L$16"}</definedName>
    <definedName name="_____________________huy1" localSheetId="18" hidden="1">{"'Sheet1'!$L$16"}</definedName>
    <definedName name="_____________________huy1" hidden="1">{"'Sheet1'!$L$16"}</definedName>
    <definedName name="_____________________NSO2" localSheetId="18" hidden="1">{"'Sheet1'!$L$16"}</definedName>
    <definedName name="_____________________NSO2" hidden="1">{"'Sheet1'!$L$16"}</definedName>
    <definedName name="_____________________nso3" localSheetId="18" hidden="1">{"'Sheet1'!$L$16"}</definedName>
    <definedName name="_____________________nso3" hidden="1">{"'Sheet1'!$L$16"}</definedName>
    <definedName name="_____________________PA3" localSheetId="18" hidden="1">{"'Sheet1'!$L$16"}</definedName>
    <definedName name="_____________________PA3" hidden="1">{"'Sheet1'!$L$16"}</definedName>
    <definedName name="_____________________T01" hidden="1">#REF!</definedName>
    <definedName name="_____________________thu1" localSheetId="18" hidden="1">{"'Sheet1'!$L$16"}</definedName>
    <definedName name="_____________________thu1" hidden="1">{"'Sheet1'!$L$16"}</definedName>
    <definedName name="_____________________thu2" localSheetId="18" hidden="1">{"'Sheet1'!$L$16"}</definedName>
    <definedName name="_____________________thu2" hidden="1">{"'Sheet1'!$L$16"}</definedName>
    <definedName name="_____________________thu4" localSheetId="18" hidden="1">{"'Sheet1'!$L$16"}</definedName>
    <definedName name="_____________________thu4" hidden="1">{"'Sheet1'!$L$16"}</definedName>
    <definedName name="_____________________thu5" localSheetId="18" hidden="1">{"'Sheet1'!$L$16"}</definedName>
    <definedName name="_____________________thu5" hidden="1">{"'Sheet1'!$L$16"}</definedName>
    <definedName name="____________________a1" localSheetId="18" hidden="1">{"cashflow",#N/A,FALSE,"CASHFLOW "}</definedName>
    <definedName name="____________________a1" hidden="1">{"cashflow",#N/A,FALSE,"CASHFLOW "}</definedName>
    <definedName name="____________________a10" localSheetId="18" hidden="1">{"sales",#N/A,FALSE,"SALES"}</definedName>
    <definedName name="____________________a10" hidden="1">{"sales",#N/A,FALSE,"SALES"}</definedName>
    <definedName name="____________________a11" localSheetId="18" hidden="1">{"'Sheet1'!$L$16"}</definedName>
    <definedName name="____________________a11" hidden="1">{"'Sheet1'!$L$16"}</definedName>
    <definedName name="____________________a12" localSheetId="18" hidden="1">{"'Sheet1'!$L$16"}</definedName>
    <definedName name="____________________a12" hidden="1">{"'Sheet1'!$L$16"}</definedName>
    <definedName name="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localSheetId="18" hidden="1">{"hilight1",#N/A,FALSE,"HILIGHT1"}</definedName>
    <definedName name="____________________a2" hidden="1">{"hilight1",#N/A,FALSE,"HILIGHT1"}</definedName>
    <definedName name="____________________a3" localSheetId="18" hidden="1">{"hilight2",#N/A,FALSE,"HILIGHT2"}</definedName>
    <definedName name="____________________a3" hidden="1">{"hilight2",#N/A,FALSE,"HILIGHT2"}</definedName>
    <definedName name="____________________a4" localSheetId="18" hidden="1">{"hilight3",#N/A,FALSE,"HILIGHT3"}</definedName>
    <definedName name="____________________a4" hidden="1">{"hilight3",#N/A,FALSE,"HILIGHT3"}</definedName>
    <definedName name="____________________a5" localSheetId="18" hidden="1">{"income",#N/A,FALSE,"INCOME"}</definedName>
    <definedName name="____________________a5" hidden="1">{"income",#N/A,FALSE,"INCOME"}</definedName>
    <definedName name="____________________a6" localSheetId="18" hidden="1">{"index",#N/A,FALSE,"INDEX"}</definedName>
    <definedName name="____________________a6" hidden="1">{"index",#N/A,FALSE,"INDEX"}</definedName>
    <definedName name="____________________a7" localSheetId="18" hidden="1">{"PRINT_EST",#N/A,FALSE,"ESTMON"}</definedName>
    <definedName name="____________________a7" hidden="1">{"PRINT_EST",#N/A,FALSE,"ESTMON"}</definedName>
    <definedName name="____________________a8" localSheetId="18" hidden="1">{"revsale",#N/A,FALSE,"REV-ยุพดี"}</definedName>
    <definedName name="____________________a8" hidden="1">{"revsale",#N/A,FALSE,"REV-ยุพดี"}</definedName>
    <definedName name="____________________a9" localSheetId="18" hidden="1">{"revable",#N/A,FALSE,"REVABLE"}</definedName>
    <definedName name="____________________a9" hidden="1">{"revable",#N/A,FALSE,"REVABLE"}</definedName>
    <definedName name="____________________f5" localSheetId="18" hidden="1">{"'Sheet1'!$L$16"}</definedName>
    <definedName name="____________________f5" hidden="1">{"'Sheet1'!$L$16"}</definedName>
    <definedName name="____________________gg1" localSheetId="18" hidden="1">{"'Sheet1'!$L$16"}</definedName>
    <definedName name="____________________gg1" hidden="1">{"'Sheet1'!$L$16"}</definedName>
    <definedName name="____________________h1" localSheetId="18" hidden="1">{"'Sheet1'!$L$16"}</definedName>
    <definedName name="____________________h1" hidden="1">{"'Sheet1'!$L$16"}</definedName>
    <definedName name="____________________h2" localSheetId="18" hidden="1">{"'Sheet1'!$L$16"}</definedName>
    <definedName name="____________________h2" hidden="1">{"'Sheet1'!$L$16"}</definedName>
    <definedName name="____________________huy1" localSheetId="18" hidden="1">{"'Sheet1'!$L$16"}</definedName>
    <definedName name="____________________huy1" hidden="1">{"'Sheet1'!$L$16"}</definedName>
    <definedName name="____________________NSO2" localSheetId="18" hidden="1">{"'Sheet1'!$L$16"}</definedName>
    <definedName name="____________________NSO2" hidden="1">{"'Sheet1'!$L$16"}</definedName>
    <definedName name="____________________nso3" localSheetId="18" hidden="1">{"'Sheet1'!$L$16"}</definedName>
    <definedName name="____________________nso3" hidden="1">{"'Sheet1'!$L$16"}</definedName>
    <definedName name="____________________PA3" localSheetId="18" hidden="1">{"'Sheet1'!$L$16"}</definedName>
    <definedName name="____________________PA3" hidden="1">{"'Sheet1'!$L$16"}</definedName>
    <definedName name="____________________T01" hidden="1">#REF!</definedName>
    <definedName name="____________________thu1" localSheetId="18" hidden="1">{"'Sheet1'!$L$16"}</definedName>
    <definedName name="____________________thu1" hidden="1">{"'Sheet1'!$L$16"}</definedName>
    <definedName name="____________________thu2" localSheetId="18" hidden="1">{"'Sheet1'!$L$16"}</definedName>
    <definedName name="____________________thu2" hidden="1">{"'Sheet1'!$L$16"}</definedName>
    <definedName name="____________________thu4" localSheetId="18" hidden="1">{"'Sheet1'!$L$16"}</definedName>
    <definedName name="____________________thu4" hidden="1">{"'Sheet1'!$L$16"}</definedName>
    <definedName name="____________________thu5" localSheetId="18" hidden="1">{"'Sheet1'!$L$16"}</definedName>
    <definedName name="____________________thu5" hidden="1">{"'Sheet1'!$L$16"}</definedName>
    <definedName name="___________________a1" localSheetId="18" hidden="1">{"cashflow",#N/A,FALSE,"CASHFLOW "}</definedName>
    <definedName name="___________________a1" hidden="1">{"cashflow",#N/A,FALSE,"CASHFLOW "}</definedName>
    <definedName name="___________________a10" localSheetId="18" hidden="1">{"sales",#N/A,FALSE,"SALES"}</definedName>
    <definedName name="___________________a10" hidden="1">{"sales",#N/A,FALSE,"SALES"}</definedName>
    <definedName name="___________________a11" localSheetId="18" hidden="1">{"'Sheet1'!$L$16"}</definedName>
    <definedName name="___________________a11" hidden="1">{"'Sheet1'!$L$16"}</definedName>
    <definedName name="___________________a12" localSheetId="18" hidden="1">{"'Sheet1'!$L$16"}</definedName>
    <definedName name="___________________a12" hidden="1">{"'Sheet1'!$L$16"}</definedName>
    <definedName name="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localSheetId="18" hidden="1">{"hilight1",#N/A,FALSE,"HILIGHT1"}</definedName>
    <definedName name="___________________a2" hidden="1">{"hilight1",#N/A,FALSE,"HILIGHT1"}</definedName>
    <definedName name="___________________a3" localSheetId="18" hidden="1">{"hilight2",#N/A,FALSE,"HILIGHT2"}</definedName>
    <definedName name="___________________a3" hidden="1">{"hilight2",#N/A,FALSE,"HILIGHT2"}</definedName>
    <definedName name="___________________a4" localSheetId="18" hidden="1">{"hilight3",#N/A,FALSE,"HILIGHT3"}</definedName>
    <definedName name="___________________a4" hidden="1">{"hilight3",#N/A,FALSE,"HILIGHT3"}</definedName>
    <definedName name="___________________a5" localSheetId="18" hidden="1">{"income",#N/A,FALSE,"INCOME"}</definedName>
    <definedName name="___________________a5" hidden="1">{"income",#N/A,FALSE,"INCOME"}</definedName>
    <definedName name="___________________a6" localSheetId="18" hidden="1">{"index",#N/A,FALSE,"INDEX"}</definedName>
    <definedName name="___________________a6" hidden="1">{"index",#N/A,FALSE,"INDEX"}</definedName>
    <definedName name="___________________a7" localSheetId="18" hidden="1">{"PRINT_EST",#N/A,FALSE,"ESTMON"}</definedName>
    <definedName name="___________________a7" hidden="1">{"PRINT_EST",#N/A,FALSE,"ESTMON"}</definedName>
    <definedName name="___________________a8" localSheetId="18" hidden="1">{"revsale",#N/A,FALSE,"REV-ยุพดี"}</definedName>
    <definedName name="___________________a8" hidden="1">{"revsale",#N/A,FALSE,"REV-ยุพดี"}</definedName>
    <definedName name="___________________a9" localSheetId="18" hidden="1">{"revable",#N/A,FALSE,"REVABLE"}</definedName>
    <definedName name="___________________a9" hidden="1">{"revable",#N/A,FALSE,"REVABLE"}</definedName>
    <definedName name="___________________f5" localSheetId="18" hidden="1">{"'Sheet1'!$L$16"}</definedName>
    <definedName name="___________________f5" hidden="1">{"'Sheet1'!$L$16"}</definedName>
    <definedName name="___________________FOH2006" localSheetId="18" hidden="1">{#N/A,#N/A,FALSE,"TL";#N/A,#N/A,FALSE,"KK";#N/A,#N/A,FALSE,"TS";#N/A,#N/A,FALSE,"KW";#N/A,#N/A,FALSE,"LP";#N/A,#N/A,FALSE,"DC"}</definedName>
    <definedName name="___________________FOH2006" hidden="1">{#N/A,#N/A,FALSE,"TL";#N/A,#N/A,FALSE,"KK";#N/A,#N/A,FALSE,"TS";#N/A,#N/A,FALSE,"KW";#N/A,#N/A,FALSE,"LP";#N/A,#N/A,FALSE,"DC"}</definedName>
    <definedName name="___________________gg1" localSheetId="18" hidden="1">{"'Sheet1'!$L$16"}</definedName>
    <definedName name="___________________gg1" hidden="1">{"'Sheet1'!$L$16"}</definedName>
    <definedName name="___________________h1" localSheetId="18" hidden="1">{"'Sheet1'!$L$16"}</definedName>
    <definedName name="___________________h1" hidden="1">{"'Sheet1'!$L$16"}</definedName>
    <definedName name="___________________h2" localSheetId="18" hidden="1">{"'Sheet1'!$L$16"}</definedName>
    <definedName name="___________________h2" hidden="1">{"'Sheet1'!$L$16"}</definedName>
    <definedName name="___________________huy1" localSheetId="18" hidden="1">{"'Sheet1'!$L$16"}</definedName>
    <definedName name="___________________huy1" hidden="1">{"'Sheet1'!$L$16"}</definedName>
    <definedName name="___________________NSO2" localSheetId="18" hidden="1">{"'Sheet1'!$L$16"}</definedName>
    <definedName name="___________________NSO2" hidden="1">{"'Sheet1'!$L$16"}</definedName>
    <definedName name="___________________nso3" localSheetId="18" hidden="1">{"'Sheet1'!$L$16"}</definedName>
    <definedName name="___________________nso3" hidden="1">{"'Sheet1'!$L$16"}</definedName>
    <definedName name="___________________PA3" localSheetId="18" hidden="1">{"'Sheet1'!$L$16"}</definedName>
    <definedName name="___________________PA3" hidden="1">{"'Sheet1'!$L$16"}</definedName>
    <definedName name="___________________T01" hidden="1">#REF!</definedName>
    <definedName name="___________________thu1" localSheetId="18" hidden="1">{"'Sheet1'!$L$16"}</definedName>
    <definedName name="___________________thu1" hidden="1">{"'Sheet1'!$L$16"}</definedName>
    <definedName name="___________________thu2" localSheetId="18" hidden="1">{"'Sheet1'!$L$16"}</definedName>
    <definedName name="___________________thu2" hidden="1">{"'Sheet1'!$L$16"}</definedName>
    <definedName name="___________________thu4" localSheetId="18" hidden="1">{"'Sheet1'!$L$16"}</definedName>
    <definedName name="___________________thu4" hidden="1">{"'Sheet1'!$L$16"}</definedName>
    <definedName name="___________________thu5" localSheetId="18" hidden="1">{"'Sheet1'!$L$16"}</definedName>
    <definedName name="___________________thu5" hidden="1">{"'Sheet1'!$L$16"}</definedName>
    <definedName name="__________________a1" localSheetId="18" hidden="1">{"cashflow",#N/A,FALSE,"CASHFLOW "}</definedName>
    <definedName name="__________________a1" hidden="1">{"cashflow",#N/A,FALSE,"CASHFLOW "}</definedName>
    <definedName name="__________________a10" localSheetId="18" hidden="1">{"sales",#N/A,FALSE,"SALES"}</definedName>
    <definedName name="__________________a10" hidden="1">{"sales",#N/A,FALSE,"SALES"}</definedName>
    <definedName name="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localSheetId="18" hidden="1">{"hilight1",#N/A,FALSE,"HILIGHT1"}</definedName>
    <definedName name="__________________a2" hidden="1">{"hilight1",#N/A,FALSE,"HILIGHT1"}</definedName>
    <definedName name="__________________a3" localSheetId="18" hidden="1">{"hilight2",#N/A,FALSE,"HILIGHT2"}</definedName>
    <definedName name="__________________a3" hidden="1">{"hilight2",#N/A,FALSE,"HILIGHT2"}</definedName>
    <definedName name="__________________a4" localSheetId="18" hidden="1">{"hilight3",#N/A,FALSE,"HILIGHT3"}</definedName>
    <definedName name="__________________a4" hidden="1">{"hilight3",#N/A,FALSE,"HILIGHT3"}</definedName>
    <definedName name="__________________a5" localSheetId="18" hidden="1">{"income",#N/A,FALSE,"INCOME"}</definedName>
    <definedName name="__________________a5" hidden="1">{"income",#N/A,FALSE,"INCOME"}</definedName>
    <definedName name="__________________a51" localSheetId="18" hidden="1">{"income",#N/A,FALSE,"INCOME"}</definedName>
    <definedName name="__________________a51" hidden="1">{"income",#N/A,FALSE,"INCOME"}</definedName>
    <definedName name="__________________a6" localSheetId="18" hidden="1">{"index",#N/A,FALSE,"INDEX"}</definedName>
    <definedName name="__________________a6" hidden="1">{"index",#N/A,FALSE,"INDEX"}</definedName>
    <definedName name="__________________a7" localSheetId="18" hidden="1">{"PRINT_EST",#N/A,FALSE,"ESTMON"}</definedName>
    <definedName name="__________________a7" hidden="1">{"PRINT_EST",#N/A,FALSE,"ESTMON"}</definedName>
    <definedName name="__________________a8" localSheetId="18" hidden="1">{"revsale",#N/A,FALSE,"REV-ยุพดี"}</definedName>
    <definedName name="__________________a8" hidden="1">{"revsale",#N/A,FALSE,"REV-ยุพดี"}</definedName>
    <definedName name="__________________a9" localSheetId="18" hidden="1">{"revable",#N/A,FALSE,"REVABLE"}</definedName>
    <definedName name="__________________a9" hidden="1">{"revable",#N/A,FALSE,"REVABLE"}</definedName>
    <definedName name="__________________B1" localSheetId="18" hidden="1">{"PRINT_EST",#N/A,FALSE,"ESTMON"}</definedName>
    <definedName name="__________________B1" hidden="1">{"PRINT_EST",#N/A,FALSE,"ESTMON"}</definedName>
    <definedName name="__________________f5" localSheetId="18" hidden="1">{"'Sheet1'!$L$16"}</definedName>
    <definedName name="__________________f5" hidden="1">{"'Sheet1'!$L$16"}</definedName>
    <definedName name="__________________FOH2006" localSheetId="18" hidden="1">{#N/A,#N/A,FALSE,"TL";#N/A,#N/A,FALSE,"KK";#N/A,#N/A,FALSE,"TS";#N/A,#N/A,FALSE,"KW";#N/A,#N/A,FALSE,"LP";#N/A,#N/A,FALSE,"DC"}</definedName>
    <definedName name="__________________FOH2006" hidden="1">{#N/A,#N/A,FALSE,"TL";#N/A,#N/A,FALSE,"KK";#N/A,#N/A,FALSE,"TS";#N/A,#N/A,FALSE,"KW";#N/A,#N/A,FALSE,"LP";#N/A,#N/A,FALSE,"DC"}</definedName>
    <definedName name="__________________gg1" localSheetId="18" hidden="1">{"'Sheet1'!$L$16"}</definedName>
    <definedName name="__________________gg1" hidden="1">{"'Sheet1'!$L$16"}</definedName>
    <definedName name="__________________h1" localSheetId="18" hidden="1">{"'Sheet1'!$L$16"}</definedName>
    <definedName name="__________________h1" hidden="1">{"'Sheet1'!$L$16"}</definedName>
    <definedName name="__________________h2" localSheetId="18" hidden="1">{"'Sheet1'!$L$16"}</definedName>
    <definedName name="__________________h2" hidden="1">{"'Sheet1'!$L$16"}</definedName>
    <definedName name="__________________huy1" localSheetId="18" hidden="1">{"'Sheet1'!$L$16"}</definedName>
    <definedName name="__________________huy1" hidden="1">{"'Sheet1'!$L$16"}</definedName>
    <definedName name="__________________KP300" localSheetId="18" hidden="1">{"level1",#N/A,FALSE,"1_LEV";"LEVEL1",#N/A,FALSE,"1_LEV"}</definedName>
    <definedName name="__________________KP300" hidden="1">{"level1",#N/A,FALSE,"1_LEV";"LEVEL1",#N/A,FALSE,"1_LEV"}</definedName>
    <definedName name="__________________NSO2" localSheetId="18" hidden="1">{"'Sheet1'!$L$16"}</definedName>
    <definedName name="__________________NSO2" hidden="1">{"'Sheet1'!$L$16"}</definedName>
    <definedName name="__________________nso3" localSheetId="18" hidden="1">{"'Sheet1'!$L$16"}</definedName>
    <definedName name="__________________nso3" hidden="1">{"'Sheet1'!$L$16"}</definedName>
    <definedName name="__________________PA3" localSheetId="18" hidden="1">{"'Sheet1'!$L$16"}</definedName>
    <definedName name="__________________PA3" hidden="1">{"'Sheet1'!$L$16"}</definedName>
    <definedName name="__________________T01" hidden="1">#REF!</definedName>
    <definedName name="__________________thu1" localSheetId="18" hidden="1">{"'Sheet1'!$L$16"}</definedName>
    <definedName name="__________________thu1" hidden="1">{"'Sheet1'!$L$16"}</definedName>
    <definedName name="__________________thu2" localSheetId="18" hidden="1">{"'Sheet1'!$L$16"}</definedName>
    <definedName name="__________________thu2" hidden="1">{"'Sheet1'!$L$16"}</definedName>
    <definedName name="__________________thu4" localSheetId="18" hidden="1">{"'Sheet1'!$L$16"}</definedName>
    <definedName name="__________________thu4" hidden="1">{"'Sheet1'!$L$16"}</definedName>
    <definedName name="__________________thu5" localSheetId="18" hidden="1">{"'Sheet1'!$L$16"}</definedName>
    <definedName name="__________________thu5" hidden="1">{"'Sheet1'!$L$16"}</definedName>
    <definedName name="_________________a1" localSheetId="18" hidden="1">{"cashflow",#N/A,FALSE,"CASHFLOW "}</definedName>
    <definedName name="_________________a1" hidden="1">{"cashflow",#N/A,FALSE,"CASHFLOW "}</definedName>
    <definedName name="_________________a10" localSheetId="18" hidden="1">{"sales",#N/A,FALSE,"SALES"}</definedName>
    <definedName name="_________________a10" hidden="1">{"sales",#N/A,FALSE,"SALES"}</definedName>
    <definedName name="_________________a11" localSheetId="18" hidden="1">{"'Sheet1'!$L$16"}</definedName>
    <definedName name="_________________a11" hidden="1">{"'Sheet1'!$L$16"}</definedName>
    <definedName name="_________________a12" localSheetId="18" hidden="1">{"'Sheet1'!$L$16"}</definedName>
    <definedName name="_________________a12" hidden="1">{"'Sheet1'!$L$16"}</definedName>
    <definedName name="_________________a133" localSheetId="18" hidden="1">{"revable",#N/A,FALSE,"REVABLE"}</definedName>
    <definedName name="_________________a133" hidden="1">{"revable",#N/A,FALSE,"REVABLE"}</definedName>
    <definedName name="_________________a2" localSheetId="18" hidden="1">{"hilight1",#N/A,FALSE,"HILIGHT1"}</definedName>
    <definedName name="_________________a2" hidden="1">{"hilight1",#N/A,FALSE,"HILIGHT1"}</definedName>
    <definedName name="_________________a3" localSheetId="18" hidden="1">{"hilight2",#N/A,FALSE,"HILIGHT2"}</definedName>
    <definedName name="_________________a3" hidden="1">{"hilight2",#N/A,FALSE,"HILIGHT2"}</definedName>
    <definedName name="_________________a4" localSheetId="18" hidden="1">{"hilight3",#N/A,FALSE,"HILIGHT3"}</definedName>
    <definedName name="_________________a4" hidden="1">{"hilight3",#N/A,FALSE,"HILIGHT3"}</definedName>
    <definedName name="_________________a5" localSheetId="18" hidden="1">{"income",#N/A,FALSE,"INCOME"}</definedName>
    <definedName name="_________________a5" hidden="1">{"income",#N/A,FALSE,"INCOME"}</definedName>
    <definedName name="_________________a51" localSheetId="18" hidden="1">{"income",#N/A,FALSE,"INCOME"}</definedName>
    <definedName name="_________________a51" hidden="1">{"income",#N/A,FALSE,"INCOME"}</definedName>
    <definedName name="_________________a6" localSheetId="18" hidden="1">{"index",#N/A,FALSE,"INDEX"}</definedName>
    <definedName name="_________________a6" hidden="1">{"index",#N/A,FALSE,"INDEX"}</definedName>
    <definedName name="_________________a7" localSheetId="18" hidden="1">{"PRINT_EST",#N/A,FALSE,"ESTMON"}</definedName>
    <definedName name="_________________a7" hidden="1">{"PRINT_EST",#N/A,FALSE,"ESTMON"}</definedName>
    <definedName name="_________________a8" localSheetId="18" hidden="1">{"revsale",#N/A,FALSE,"REV-ยุพดี"}</definedName>
    <definedName name="_________________a8" hidden="1">{"revsale",#N/A,FALSE,"REV-ยุพดี"}</definedName>
    <definedName name="_________________a9" localSheetId="18" hidden="1">{"revable",#N/A,FALSE,"REVABLE"}</definedName>
    <definedName name="_________________a9" hidden="1">{"revable",#N/A,FALSE,"REVABLE"}</definedName>
    <definedName name="_________________B1" localSheetId="18" hidden="1">{"PRINT_EST",#N/A,FALSE,"ESTMON"}</definedName>
    <definedName name="_________________B1" hidden="1">{"PRINT_EST",#N/A,FALSE,"ESTMON"}</definedName>
    <definedName name="_________________f5" localSheetId="18" hidden="1">{"'Sheet1'!$L$16"}</definedName>
    <definedName name="_________________f5" hidden="1">{"'Sheet1'!$L$16"}</definedName>
    <definedName name="_________________FOH2006" localSheetId="18" hidden="1">{#N/A,#N/A,FALSE,"TL";#N/A,#N/A,FALSE,"KK";#N/A,#N/A,FALSE,"TS";#N/A,#N/A,FALSE,"KW";#N/A,#N/A,FALSE,"LP";#N/A,#N/A,FALSE,"DC"}</definedName>
    <definedName name="_________________FOH2006" hidden="1">{#N/A,#N/A,FALSE,"TL";#N/A,#N/A,FALSE,"KK";#N/A,#N/A,FALSE,"TS";#N/A,#N/A,FALSE,"KW";#N/A,#N/A,FALSE,"LP";#N/A,#N/A,FALSE,"DC"}</definedName>
    <definedName name="____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localSheetId="18" hidden="1">{"'Sheet1'!$L$16"}</definedName>
    <definedName name="_________________NSO2" hidden="1">{"'Sheet1'!$L$16"}</definedName>
    <definedName name="_________________T01" hidden="1">#REF!</definedName>
    <definedName name="________________a1" localSheetId="18" hidden="1">{"cashflow",#N/A,FALSE,"CASHFLOW "}</definedName>
    <definedName name="________________a1" hidden="1">{"cashflow",#N/A,FALSE,"CASHFLOW "}</definedName>
    <definedName name="________________a10" localSheetId="18" hidden="1">{"sales",#N/A,FALSE,"SALES"}</definedName>
    <definedName name="________________a10" hidden="1">{"sales",#N/A,FALSE,"SALES"}</definedName>
    <definedName name="________________a11" localSheetId="18" hidden="1">{"'Sheet1'!$L$16"}</definedName>
    <definedName name="________________a11" hidden="1">{"'Sheet1'!$L$16"}</definedName>
    <definedName name="________________a12" localSheetId="18" hidden="1">{"'Sheet1'!$L$16"}</definedName>
    <definedName name="________________a12" hidden="1">{"'Sheet1'!$L$16"}</definedName>
    <definedName name="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18" hidden="1">{"hilight1",#N/A,FALSE,"HILIGHT1"}</definedName>
    <definedName name="________________a2" hidden="1">{"hilight1",#N/A,FALSE,"HILIGHT1"}</definedName>
    <definedName name="________________a3" localSheetId="18" hidden="1">{"hilight2",#N/A,FALSE,"HILIGHT2"}</definedName>
    <definedName name="________________a3" hidden="1">{"hilight2",#N/A,FALSE,"HILIGHT2"}</definedName>
    <definedName name="________________a4" localSheetId="18" hidden="1">{"hilight3",#N/A,FALSE,"HILIGHT3"}</definedName>
    <definedName name="________________a4" hidden="1">{"hilight3",#N/A,FALSE,"HILIGHT3"}</definedName>
    <definedName name="________________a5" localSheetId="18" hidden="1">{"income",#N/A,FALSE,"INCOME"}</definedName>
    <definedName name="________________a5" hidden="1">{"income",#N/A,FALSE,"INCOME"}</definedName>
    <definedName name="________________a6" localSheetId="18" hidden="1">{"index",#N/A,FALSE,"INDEX"}</definedName>
    <definedName name="________________a6" hidden="1">{"index",#N/A,FALSE,"INDEX"}</definedName>
    <definedName name="________________a7" localSheetId="18" hidden="1">{"PRINT_EST",#N/A,FALSE,"ESTMON"}</definedName>
    <definedName name="________________a7" hidden="1">{"PRINT_EST",#N/A,FALSE,"ESTMON"}</definedName>
    <definedName name="________________a8" localSheetId="18" hidden="1">{"revsale",#N/A,FALSE,"REV-ยุพดี"}</definedName>
    <definedName name="________________a8" hidden="1">{"revsale",#N/A,FALSE,"REV-ยุพดี"}</definedName>
    <definedName name="________________a9" localSheetId="18" hidden="1">{"revable",#N/A,FALSE,"REVABLE"}</definedName>
    <definedName name="________________a9" hidden="1">{"revable",#N/A,FALSE,"REVABLE"}</definedName>
    <definedName name="________________f5" localSheetId="18" hidden="1">{"'Sheet1'!$L$16"}</definedName>
    <definedName name="________________f5" hidden="1">{"'Sheet1'!$L$16"}</definedName>
    <definedName name="________________gg1" localSheetId="18" hidden="1">{"'Sheet1'!$L$16"}</definedName>
    <definedName name="________________gg1" hidden="1">{"'Sheet1'!$L$16"}</definedName>
    <definedName name="________________h1" localSheetId="18" hidden="1">{"'Sheet1'!$L$16"}</definedName>
    <definedName name="________________h1" hidden="1">{"'Sheet1'!$L$16"}</definedName>
    <definedName name="________________h2" localSheetId="18" hidden="1">{"'Sheet1'!$L$16"}</definedName>
    <definedName name="________________h2" hidden="1">{"'Sheet1'!$L$16"}</definedName>
    <definedName name="________________huy1" localSheetId="18" hidden="1">{"'Sheet1'!$L$16"}</definedName>
    <definedName name="________________huy1" hidden="1">{"'Sheet1'!$L$16"}</definedName>
    <definedName name="________________KP300" localSheetId="18" hidden="1">{"level1",#N/A,FALSE,"1_LEV";"LEVEL1",#N/A,FALSE,"1_LEV"}</definedName>
    <definedName name="________________KP300" hidden="1">{"level1",#N/A,FALSE,"1_LEV";"LEVEL1",#N/A,FALSE,"1_LEV"}</definedName>
    <definedName name="________________NSO2" localSheetId="18" hidden="1">{"'Sheet1'!$L$16"}</definedName>
    <definedName name="________________NSO2" hidden="1">{"'Sheet1'!$L$16"}</definedName>
    <definedName name="________________nso3" localSheetId="18" hidden="1">{"'Sheet1'!$L$16"}</definedName>
    <definedName name="________________nso3" hidden="1">{"'Sheet1'!$L$16"}</definedName>
    <definedName name="________________PA3" localSheetId="18" hidden="1">{"'Sheet1'!$L$16"}</definedName>
    <definedName name="________________PA3" hidden="1">{"'Sheet1'!$L$16"}</definedName>
    <definedName name="________________T01" hidden="1">#REF!</definedName>
    <definedName name="________________thu1" localSheetId="18" hidden="1">{"'Sheet1'!$L$16"}</definedName>
    <definedName name="________________thu1" hidden="1">{"'Sheet1'!$L$16"}</definedName>
    <definedName name="________________thu2" localSheetId="18" hidden="1">{"'Sheet1'!$L$16"}</definedName>
    <definedName name="________________thu2" hidden="1">{"'Sheet1'!$L$16"}</definedName>
    <definedName name="________________thu4" localSheetId="18" hidden="1">{"'Sheet1'!$L$16"}</definedName>
    <definedName name="________________thu4" hidden="1">{"'Sheet1'!$L$16"}</definedName>
    <definedName name="________________thu5" localSheetId="18" hidden="1">{"'Sheet1'!$L$16"}</definedName>
    <definedName name="________________thu5" hidden="1">{"'Sheet1'!$L$16"}</definedName>
    <definedName name="_______________a1" localSheetId="18" hidden="1">{"cashflow",#N/A,FALSE,"CASHFLOW "}</definedName>
    <definedName name="_______________a1" hidden="1">{"cashflow",#N/A,FALSE,"CASHFLOW "}</definedName>
    <definedName name="_______________a10" localSheetId="18" hidden="1">{"sales",#N/A,FALSE,"SALES"}</definedName>
    <definedName name="_______________a10" hidden="1">{"sales",#N/A,FALSE,"SALES"}</definedName>
    <definedName name="_______________a11" localSheetId="18" hidden="1">{"'Sheet1'!$L$16"}</definedName>
    <definedName name="_______________a11" hidden="1">{"'Sheet1'!$L$16"}</definedName>
    <definedName name="_______________a12" localSheetId="18" hidden="1">{"'Sheet1'!$L$16"}</definedName>
    <definedName name="_______________a12" hidden="1">{"'Sheet1'!$L$16"}</definedName>
    <definedName name="_______________a133" localSheetId="18" hidden="1">{"revable",#N/A,FALSE,"REVABLE"}</definedName>
    <definedName name="_______________a133" hidden="1">{"revable",#N/A,FALSE,"REVABLE"}</definedName>
    <definedName name="_______________a2" localSheetId="18" hidden="1">{"hilight1",#N/A,FALSE,"HILIGHT1"}</definedName>
    <definedName name="_______________a2" hidden="1">{"hilight1",#N/A,FALSE,"HILIGHT1"}</definedName>
    <definedName name="_______________a3" localSheetId="18" hidden="1">{"hilight2",#N/A,FALSE,"HILIGHT2"}</definedName>
    <definedName name="_______________a3" hidden="1">{"hilight2",#N/A,FALSE,"HILIGHT2"}</definedName>
    <definedName name="_______________a4" localSheetId="18" hidden="1">{"hilight3",#N/A,FALSE,"HILIGHT3"}</definedName>
    <definedName name="_______________a4" hidden="1">{"hilight3",#N/A,FALSE,"HILIGHT3"}</definedName>
    <definedName name="_______________a5" localSheetId="18" hidden="1">{"income",#N/A,FALSE,"INCOME"}</definedName>
    <definedName name="_______________a5" hidden="1">{"income",#N/A,FALSE,"INCOME"}</definedName>
    <definedName name="_______________a51" localSheetId="18" hidden="1">{"income",#N/A,FALSE,"INCOME"}</definedName>
    <definedName name="_______________a51" hidden="1">{"income",#N/A,FALSE,"INCOME"}</definedName>
    <definedName name="_______________a6" localSheetId="18" hidden="1">{"index",#N/A,FALSE,"INDEX"}</definedName>
    <definedName name="_______________a6" hidden="1">{"index",#N/A,FALSE,"INDEX"}</definedName>
    <definedName name="_______________a7" localSheetId="18" hidden="1">{"PRINT_EST",#N/A,FALSE,"ESTMON"}</definedName>
    <definedName name="_______________a7" hidden="1">{"PRINT_EST",#N/A,FALSE,"ESTMON"}</definedName>
    <definedName name="_______________a8" localSheetId="18" hidden="1">{"revsale",#N/A,FALSE,"REV-ยุพดี"}</definedName>
    <definedName name="_______________a8" hidden="1">{"revsale",#N/A,FALSE,"REV-ยุพดี"}</definedName>
    <definedName name="_______________a9" localSheetId="18" hidden="1">{"revable",#N/A,FALSE,"REVABLE"}</definedName>
    <definedName name="_______________a9" hidden="1">{"revable",#N/A,FALSE,"REVABLE"}</definedName>
    <definedName name="_______________apr2" localSheetId="18" hidden="1">{"'Model'!$A$1:$N$53"}</definedName>
    <definedName name="_______________apr2" hidden="1">{"'Model'!$A$1:$N$53"}</definedName>
    <definedName name="_______________B1" localSheetId="18" hidden="1">{"PRINT_EST",#N/A,FALSE,"ESTMON"}</definedName>
    <definedName name="_______________B1" hidden="1">{"PRINT_EST",#N/A,FALSE,"ESTMON"}</definedName>
    <definedName name="_______________f5" localSheetId="18" hidden="1">{"'Sheet1'!$L$16"}</definedName>
    <definedName name="_______________f5" hidden="1">{"'Sheet1'!$L$16"}</definedName>
    <definedName name="_______________FOH2006" localSheetId="18" hidden="1">{#N/A,#N/A,FALSE,"TL";#N/A,#N/A,FALSE,"KK";#N/A,#N/A,FALSE,"TS";#N/A,#N/A,FALSE,"KW";#N/A,#N/A,FALSE,"LP";#N/A,#N/A,FALSE,"DC"}</definedName>
    <definedName name="_______________FOH2006" hidden="1">{#N/A,#N/A,FALSE,"TL";#N/A,#N/A,FALSE,"KK";#N/A,#N/A,FALSE,"TS";#N/A,#N/A,FALSE,"KW";#N/A,#N/A,FALSE,"LP";#N/A,#N/A,FALSE,"DC"}</definedName>
    <definedName name="_______________h2" localSheetId="18" hidden="1">{"'Model'!$A$1:$N$53"}</definedName>
    <definedName name="_______________h2" hidden="1">{"'Model'!$A$1:$N$53"}</definedName>
    <definedName name="_______________KP300" localSheetId="18" hidden="1">{"level1",#N/A,FALSE,"1_LEV";"LEVEL1",#N/A,FALSE,"1_LEV"}</definedName>
    <definedName name="_______________KP300" hidden="1">{"level1",#N/A,FALSE,"1_LEV";"LEVEL1",#N/A,FALSE,"1_LEV"}</definedName>
    <definedName name="__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localSheetId="18" hidden="1">{"'Sheet1'!$L$16"}</definedName>
    <definedName name="_______________NSO2" hidden="1">{"'Sheet1'!$L$16"}</definedName>
    <definedName name="_______________T01" hidden="1">#REF!</definedName>
    <definedName name="______________a1" localSheetId="18" hidden="1">{"cashflow",#N/A,FALSE,"CASHFLOW "}</definedName>
    <definedName name="______________a1" hidden="1">{"cashflow",#N/A,FALSE,"CASHFLOW "}</definedName>
    <definedName name="______________a10" localSheetId="18" hidden="1">{"sales",#N/A,FALSE,"SALES"}</definedName>
    <definedName name="______________a10" hidden="1">{"sales",#N/A,FALSE,"SALES"}</definedName>
    <definedName name="______________a11" localSheetId="18" hidden="1">{"'Sheet1'!$L$16"}</definedName>
    <definedName name="______________a11" hidden="1">{"'Sheet1'!$L$16"}</definedName>
    <definedName name="______________a12" localSheetId="18" hidden="1">{"'Sheet1'!$L$16"}</definedName>
    <definedName name="______________a12" hidden="1">{"'Sheet1'!$L$16"}</definedName>
    <definedName name="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localSheetId="18" hidden="1">{"revable",#N/A,FALSE,"REVABLE"}</definedName>
    <definedName name="______________a133" hidden="1">{"revable",#N/A,FALSE,"REVABLE"}</definedName>
    <definedName name="______________a2" localSheetId="18" hidden="1">{"hilight1",#N/A,FALSE,"HILIGHT1"}</definedName>
    <definedName name="______________a2" hidden="1">{"hilight1",#N/A,FALSE,"HILIGHT1"}</definedName>
    <definedName name="______________a3" localSheetId="18" hidden="1">{"hilight2",#N/A,FALSE,"HILIGHT2"}</definedName>
    <definedName name="______________a3" hidden="1">{"hilight2",#N/A,FALSE,"HILIGHT2"}</definedName>
    <definedName name="______________a4" localSheetId="18" hidden="1">{"hilight3",#N/A,FALSE,"HILIGHT3"}</definedName>
    <definedName name="______________a4" hidden="1">{"hilight3",#N/A,FALSE,"HILIGHT3"}</definedName>
    <definedName name="______________a5" localSheetId="18" hidden="1">{"income",#N/A,FALSE,"INCOME"}</definedName>
    <definedName name="______________a5" hidden="1">{"income",#N/A,FALSE,"INCOME"}</definedName>
    <definedName name="______________a51" localSheetId="18" hidden="1">{"income",#N/A,FALSE,"INCOME"}</definedName>
    <definedName name="______________a51" hidden="1">{"income",#N/A,FALSE,"INCOME"}</definedName>
    <definedName name="______________a6" localSheetId="18" hidden="1">{"index",#N/A,FALSE,"INDEX"}</definedName>
    <definedName name="______________a6" hidden="1">{"index",#N/A,FALSE,"INDEX"}</definedName>
    <definedName name="______________a7" localSheetId="18" hidden="1">{"PRINT_EST",#N/A,FALSE,"ESTMON"}</definedName>
    <definedName name="______________a7" hidden="1">{"PRINT_EST",#N/A,FALSE,"ESTMON"}</definedName>
    <definedName name="______________a8" localSheetId="18" hidden="1">{"revsale",#N/A,FALSE,"REV-ยุพดี"}</definedName>
    <definedName name="______________a8" hidden="1">{"revsale",#N/A,FALSE,"REV-ยุพดี"}</definedName>
    <definedName name="______________a9" localSheetId="18" hidden="1">{"revable",#N/A,FALSE,"REVABLE"}</definedName>
    <definedName name="______________a9" hidden="1">{"revable",#N/A,FALSE,"REVABLE"}</definedName>
    <definedName name="______________apr2" localSheetId="18" hidden="1">{"'Model'!$A$1:$N$53"}</definedName>
    <definedName name="______________apr2" hidden="1">{"'Model'!$A$1:$N$53"}</definedName>
    <definedName name="______________B1" localSheetId="18" hidden="1">{"PRINT_EST",#N/A,FALSE,"ESTMON"}</definedName>
    <definedName name="______________B1" hidden="1">{"PRINT_EST",#N/A,FALSE,"ESTMON"}</definedName>
    <definedName name="______________f5" localSheetId="18" hidden="1">{"'Sheet1'!$L$16"}</definedName>
    <definedName name="______________f5" hidden="1">{"'Sheet1'!$L$16"}</definedName>
    <definedName name="______________FOH2006" localSheetId="18" hidden="1">{#N/A,#N/A,FALSE,"TL";#N/A,#N/A,FALSE,"KK";#N/A,#N/A,FALSE,"TS";#N/A,#N/A,FALSE,"KW";#N/A,#N/A,FALSE,"LP";#N/A,#N/A,FALSE,"DC"}</definedName>
    <definedName name="______________FOH2006" hidden="1">{#N/A,#N/A,FALSE,"TL";#N/A,#N/A,FALSE,"KK";#N/A,#N/A,FALSE,"TS";#N/A,#N/A,FALSE,"KW";#N/A,#N/A,FALSE,"LP";#N/A,#N/A,FALSE,"DC"}</definedName>
    <definedName name="______________gg1" localSheetId="18" hidden="1">{"'Sheet1'!$L$16"}</definedName>
    <definedName name="______________gg1" hidden="1">{"'Sheet1'!$L$16"}</definedName>
    <definedName name="______________h1" localSheetId="18" hidden="1">{"'Sheet1'!$L$16"}</definedName>
    <definedName name="______________h1" hidden="1">{"'Sheet1'!$L$16"}</definedName>
    <definedName name="______________h2" localSheetId="18" hidden="1">{"'Sheet1'!$L$16"}</definedName>
    <definedName name="______________h2" hidden="1">{"'Sheet1'!$L$16"}</definedName>
    <definedName name="______________huy1" localSheetId="18" hidden="1">{"'Sheet1'!$L$16"}</definedName>
    <definedName name="______________huy1" hidden="1">{"'Sheet1'!$L$16"}</definedName>
    <definedName name="______________KP300" localSheetId="18" hidden="1">{"level1",#N/A,FALSE,"1_LEV";"LEVEL1",#N/A,FALSE,"1_LEV"}</definedName>
    <definedName name="______________KP300" hidden="1">{"level1",#N/A,FALSE,"1_LEV";"LEVEL1",#N/A,FALSE,"1_LEV"}</definedName>
    <definedName name="_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localSheetId="18" hidden="1">{"'Sheet1'!$L$16"}</definedName>
    <definedName name="______________NSO2" hidden="1">{"'Sheet1'!$L$16"}</definedName>
    <definedName name="______________nso3" localSheetId="18" hidden="1">{"'Sheet1'!$L$16"}</definedName>
    <definedName name="______________nso3" hidden="1">{"'Sheet1'!$L$16"}</definedName>
    <definedName name="______________PA3" localSheetId="18" hidden="1">{"'Sheet1'!$L$16"}</definedName>
    <definedName name="______________PA3" hidden="1">{"'Sheet1'!$L$16"}</definedName>
    <definedName name="______________T01" hidden="1">#REF!</definedName>
    <definedName name="______________thu1" localSheetId="18" hidden="1">{"'Sheet1'!$L$16"}</definedName>
    <definedName name="______________thu1" hidden="1">{"'Sheet1'!$L$16"}</definedName>
    <definedName name="______________thu2" localSheetId="18" hidden="1">{"'Sheet1'!$L$16"}</definedName>
    <definedName name="______________thu2" hidden="1">{"'Sheet1'!$L$16"}</definedName>
    <definedName name="______________thu4" localSheetId="18" hidden="1">{"'Sheet1'!$L$16"}</definedName>
    <definedName name="______________thu4" hidden="1">{"'Sheet1'!$L$16"}</definedName>
    <definedName name="______________thu5" localSheetId="18" hidden="1">{"'Sheet1'!$L$16"}</definedName>
    <definedName name="______________thu5" hidden="1">{"'Sheet1'!$L$16"}</definedName>
    <definedName name="______________xlfn.BAHTTEXT" hidden="1">#NAME?</definedName>
    <definedName name="_____________a1" localSheetId="18" hidden="1">{"cashflow",#N/A,FALSE,"CASHFLOW "}</definedName>
    <definedName name="_____________a1" hidden="1">{"cashflow",#N/A,FALSE,"CASHFLOW "}</definedName>
    <definedName name="_____________a10" localSheetId="18" hidden="1">{"sales",#N/A,FALSE,"SALES"}</definedName>
    <definedName name="_____________a10" hidden="1">{"sales",#N/A,FALSE,"SALES"}</definedName>
    <definedName name="_____________a11" localSheetId="18" hidden="1">{"'Sheet1'!$L$16"}</definedName>
    <definedName name="_____________a11" hidden="1">{"'Sheet1'!$L$16"}</definedName>
    <definedName name="_____________a12" localSheetId="18" hidden="1">{"'Sheet1'!$L$16"}</definedName>
    <definedName name="_____________a12" hidden="1">{"'Sheet1'!$L$16"}</definedName>
    <definedName name="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localSheetId="18" hidden="1">{"revable",#N/A,FALSE,"REVABLE"}</definedName>
    <definedName name="_____________a133" hidden="1">{"revable",#N/A,FALSE,"REVABLE"}</definedName>
    <definedName name="_____________a2" localSheetId="18" hidden="1">{"hilight1",#N/A,FALSE,"HILIGHT1"}</definedName>
    <definedName name="_____________a2" hidden="1">{"hilight1",#N/A,FALSE,"HILIGHT1"}</definedName>
    <definedName name="_____________a3" localSheetId="18" hidden="1">{"hilight2",#N/A,FALSE,"HILIGHT2"}</definedName>
    <definedName name="_____________a3" hidden="1">{"hilight2",#N/A,FALSE,"HILIGHT2"}</definedName>
    <definedName name="_____________a4" localSheetId="18" hidden="1">{"hilight3",#N/A,FALSE,"HILIGHT3"}</definedName>
    <definedName name="_____________a4" hidden="1">{"hilight3",#N/A,FALSE,"HILIGHT3"}</definedName>
    <definedName name="_____________a5" localSheetId="18" hidden="1">{"income",#N/A,FALSE,"INCOME"}</definedName>
    <definedName name="_____________a5" hidden="1">{"income",#N/A,FALSE,"INCOME"}</definedName>
    <definedName name="_____________a51" localSheetId="18" hidden="1">{"income",#N/A,FALSE,"INCOME"}</definedName>
    <definedName name="_____________a51" hidden="1">{"income",#N/A,FALSE,"INCOME"}</definedName>
    <definedName name="_____________a6" localSheetId="18" hidden="1">{"index",#N/A,FALSE,"INDEX"}</definedName>
    <definedName name="_____________a6" hidden="1">{"index",#N/A,FALSE,"INDEX"}</definedName>
    <definedName name="_____________a7" localSheetId="18" hidden="1">{"PRINT_EST",#N/A,FALSE,"ESTMON"}</definedName>
    <definedName name="_____________a7" hidden="1">{"PRINT_EST",#N/A,FALSE,"ESTMON"}</definedName>
    <definedName name="_____________a8" localSheetId="18" hidden="1">{"revsale",#N/A,FALSE,"REV-ยุพดี"}</definedName>
    <definedName name="_____________a8" hidden="1">{"revsale",#N/A,FALSE,"REV-ยุพดี"}</definedName>
    <definedName name="_____________a9" localSheetId="18" hidden="1">{"revable",#N/A,FALSE,"REVABLE"}</definedName>
    <definedName name="_____________a9" hidden="1">{"revable",#N/A,FALSE,"REVABLE"}</definedName>
    <definedName name="_____________apr2" localSheetId="18" hidden="1">{"'Model'!$A$1:$N$53"}</definedName>
    <definedName name="_____________apr2" hidden="1">{"'Model'!$A$1:$N$53"}</definedName>
    <definedName name="_____________B1" localSheetId="18" hidden="1">{"PRINT_EST",#N/A,FALSE,"ESTMON"}</definedName>
    <definedName name="_____________B1" hidden="1">{"PRINT_EST",#N/A,FALSE,"ESTMON"}</definedName>
    <definedName name="_____________f5" localSheetId="18" hidden="1">{"'Sheet1'!$L$16"}</definedName>
    <definedName name="_____________f5" hidden="1">{"'Sheet1'!$L$16"}</definedName>
    <definedName name="_____________FOH2006" localSheetId="18" hidden="1">{#N/A,#N/A,FALSE,"TL";#N/A,#N/A,FALSE,"KK";#N/A,#N/A,FALSE,"TS";#N/A,#N/A,FALSE,"KW";#N/A,#N/A,FALSE,"LP";#N/A,#N/A,FALSE,"DC"}</definedName>
    <definedName name="_____________FOH2006" hidden="1">{#N/A,#N/A,FALSE,"TL";#N/A,#N/A,FALSE,"KK";#N/A,#N/A,FALSE,"TS";#N/A,#N/A,FALSE,"KW";#N/A,#N/A,FALSE,"LP";#N/A,#N/A,FALSE,"DC"}</definedName>
    <definedName name="_____________gg1" localSheetId="18" hidden="1">{"'Sheet1'!$L$16"}</definedName>
    <definedName name="_____________gg1" hidden="1">{"'Sheet1'!$L$16"}</definedName>
    <definedName name="_____________h1" localSheetId="18" hidden="1">{"'Sheet1'!$L$16"}</definedName>
    <definedName name="_____________h1" hidden="1">{"'Sheet1'!$L$16"}</definedName>
    <definedName name="_____________h2" localSheetId="18" hidden="1">{"'Sheet1'!$L$16"}</definedName>
    <definedName name="_____________h2" hidden="1">{"'Sheet1'!$L$16"}</definedName>
    <definedName name="_____________huy1" localSheetId="18" hidden="1">{"'Sheet1'!$L$16"}</definedName>
    <definedName name="_____________huy1" hidden="1">{"'Sheet1'!$L$16"}</definedName>
    <definedName name="_____________KP300" localSheetId="18" hidden="1">{"level1",#N/A,FALSE,"1_LEV";"LEVEL1",#N/A,FALSE,"1_LEV"}</definedName>
    <definedName name="_____________KP300" hidden="1">{"level1",#N/A,FALSE,"1_LEV";"LEVEL1",#N/A,FALSE,"1_LEV"}</definedName>
    <definedName name="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localSheetId="18" hidden="1">{"'Sheet1'!$L$16"}</definedName>
    <definedName name="_____________NSO2" hidden="1">{"'Sheet1'!$L$16"}</definedName>
    <definedName name="_____________nso3" localSheetId="18" hidden="1">{"'Sheet1'!$L$16"}</definedName>
    <definedName name="_____________nso3" hidden="1">{"'Sheet1'!$L$16"}</definedName>
    <definedName name="_____________PA3" localSheetId="18" hidden="1">{"'Sheet1'!$L$16"}</definedName>
    <definedName name="_____________PA3" hidden="1">{"'Sheet1'!$L$16"}</definedName>
    <definedName name="_____________T01" hidden="1">#REF!</definedName>
    <definedName name="_____________thu1" localSheetId="18" hidden="1">{"'Sheet1'!$L$16"}</definedName>
    <definedName name="_____________thu1" hidden="1">{"'Sheet1'!$L$16"}</definedName>
    <definedName name="_____________thu2" localSheetId="18" hidden="1">{"'Sheet1'!$L$16"}</definedName>
    <definedName name="_____________thu2" hidden="1">{"'Sheet1'!$L$16"}</definedName>
    <definedName name="_____________thu4" localSheetId="18" hidden="1">{"'Sheet1'!$L$16"}</definedName>
    <definedName name="_____________thu4" hidden="1">{"'Sheet1'!$L$16"}</definedName>
    <definedName name="_____________thu5" localSheetId="18" hidden="1">{"'Sheet1'!$L$16"}</definedName>
    <definedName name="_____________thu5" hidden="1">{"'Sheet1'!$L$16"}</definedName>
    <definedName name="_____________xlfn.BAHTTEXT" hidden="1">#NAME?</definedName>
    <definedName name="____________a1" localSheetId="18" hidden="1">{"cashflow",#N/A,FALSE,"CASHFLOW "}</definedName>
    <definedName name="____________a1" hidden="1">{"cashflow",#N/A,FALSE,"CASHFLOW "}</definedName>
    <definedName name="____________a10" localSheetId="18" hidden="1">{"sales",#N/A,FALSE,"SALES"}</definedName>
    <definedName name="____________a10" hidden="1">{"sales",#N/A,FALSE,"SALES"}</definedName>
    <definedName name="____________a11" localSheetId="18" hidden="1">{"'Sheet1'!$L$16"}</definedName>
    <definedName name="____________a11" hidden="1">{"'Sheet1'!$L$16"}</definedName>
    <definedName name="____________a12" localSheetId="18" hidden="1">{"'Sheet1'!$L$16"}</definedName>
    <definedName name="____________a12" hidden="1">{"'Sheet1'!$L$16"}</definedName>
    <definedName name="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localSheetId="18" hidden="1">{"revable",#N/A,FALSE,"REVABLE"}</definedName>
    <definedName name="____________a133" hidden="1">{"revable",#N/A,FALSE,"REVABLE"}</definedName>
    <definedName name="____________a2" localSheetId="18" hidden="1">{"hilight1",#N/A,FALSE,"HILIGHT1"}</definedName>
    <definedName name="____________a2" hidden="1">{"hilight1",#N/A,FALSE,"HILIGHT1"}</definedName>
    <definedName name="____________a3" localSheetId="18" hidden="1">{"hilight2",#N/A,FALSE,"HILIGHT2"}</definedName>
    <definedName name="____________a3" hidden="1">{"hilight2",#N/A,FALSE,"HILIGHT2"}</definedName>
    <definedName name="____________a4" localSheetId="18" hidden="1">{"hilight3",#N/A,FALSE,"HILIGHT3"}</definedName>
    <definedName name="____________a4" hidden="1">{"hilight3",#N/A,FALSE,"HILIGHT3"}</definedName>
    <definedName name="____________a5" localSheetId="18" hidden="1">{"income",#N/A,FALSE,"INCOME"}</definedName>
    <definedName name="____________a5" hidden="1">{"income",#N/A,FALSE,"INCOME"}</definedName>
    <definedName name="____________a51" localSheetId="18" hidden="1">{"income",#N/A,FALSE,"INCOME"}</definedName>
    <definedName name="____________a51" hidden="1">{"income",#N/A,FALSE,"INCOME"}</definedName>
    <definedName name="____________a6" localSheetId="18" hidden="1">{"index",#N/A,FALSE,"INDEX"}</definedName>
    <definedName name="____________a6" hidden="1">{"index",#N/A,FALSE,"INDEX"}</definedName>
    <definedName name="____________a7" localSheetId="18" hidden="1">{"PRINT_EST",#N/A,FALSE,"ESTMON"}</definedName>
    <definedName name="____________a7" hidden="1">{"PRINT_EST",#N/A,FALSE,"ESTMON"}</definedName>
    <definedName name="____________a8" localSheetId="18" hidden="1">{"revsale",#N/A,FALSE,"REV-ยุพดี"}</definedName>
    <definedName name="____________a8" hidden="1">{"revsale",#N/A,FALSE,"REV-ยุพดี"}</definedName>
    <definedName name="____________a9" localSheetId="18" hidden="1">{"revable",#N/A,FALSE,"REVABLE"}</definedName>
    <definedName name="____________a9" hidden="1">{"revable",#N/A,FALSE,"REVABLE"}</definedName>
    <definedName name="____________apr2" localSheetId="18" hidden="1">{"'Model'!$A$1:$N$53"}</definedName>
    <definedName name="____________apr2" hidden="1">{"'Model'!$A$1:$N$53"}</definedName>
    <definedName name="____________B1" localSheetId="18" hidden="1">{"PRINT_EST",#N/A,FALSE,"ESTMON"}</definedName>
    <definedName name="____________B1" hidden="1">{"PRINT_EST",#N/A,FALSE,"ESTMON"}</definedName>
    <definedName name="____________f5" localSheetId="18" hidden="1">{"'Sheet1'!$L$16"}</definedName>
    <definedName name="____________f5" hidden="1">{"'Sheet1'!$L$16"}</definedName>
    <definedName name="____________gg1" localSheetId="18" hidden="1">{"'Sheet1'!$L$16"}</definedName>
    <definedName name="____________gg1" hidden="1">{"'Sheet1'!$L$16"}</definedName>
    <definedName name="____________h1" localSheetId="18" hidden="1">{"'Sheet1'!$L$16"}</definedName>
    <definedName name="____________h1" hidden="1">{"'Sheet1'!$L$16"}</definedName>
    <definedName name="____________h2" localSheetId="18" hidden="1">{"'Sheet1'!$L$16"}</definedName>
    <definedName name="____________h2" hidden="1">{"'Sheet1'!$L$16"}</definedName>
    <definedName name="____________huy1" localSheetId="18" hidden="1">{"'Sheet1'!$L$16"}</definedName>
    <definedName name="____________huy1" hidden="1">{"'Sheet1'!$L$16"}</definedName>
    <definedName name="____________KP300" localSheetId="18" hidden="1">{"level1",#N/A,FALSE,"1_LEV";"LEVEL1",#N/A,FALSE,"1_LEV"}</definedName>
    <definedName name="____________KP300" hidden="1">{"level1",#N/A,FALSE,"1_LEV";"LEVEL1",#N/A,FALSE,"1_LEV"}</definedName>
    <definedName name="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localSheetId="18" hidden="1">{"'Sheet1'!$L$16"}</definedName>
    <definedName name="____________NSO2" hidden="1">{"'Sheet1'!$L$16"}</definedName>
    <definedName name="____________nso3" localSheetId="18" hidden="1">{"'Sheet1'!$L$16"}</definedName>
    <definedName name="____________nso3" hidden="1">{"'Sheet1'!$L$16"}</definedName>
    <definedName name="____________PA3" localSheetId="18" hidden="1">{"'Sheet1'!$L$16"}</definedName>
    <definedName name="____________PA3" hidden="1">{"'Sheet1'!$L$16"}</definedName>
    <definedName name="____________T01" hidden="1">#REF!</definedName>
    <definedName name="____________thu1" localSheetId="18" hidden="1">{"'Sheet1'!$L$16"}</definedName>
    <definedName name="____________thu1" hidden="1">{"'Sheet1'!$L$16"}</definedName>
    <definedName name="____________thu2" localSheetId="18" hidden="1">{"'Sheet1'!$L$16"}</definedName>
    <definedName name="____________thu2" hidden="1">{"'Sheet1'!$L$16"}</definedName>
    <definedName name="____________thu4" localSheetId="18" hidden="1">{"'Sheet1'!$L$16"}</definedName>
    <definedName name="____________thu4" hidden="1">{"'Sheet1'!$L$16"}</definedName>
    <definedName name="____________thu5" localSheetId="18" hidden="1">{"'Sheet1'!$L$16"}</definedName>
    <definedName name="____________thu5" hidden="1">{"'Sheet1'!$L$16"}</definedName>
    <definedName name="____________xlfn.BAHTTEXT" hidden="1">#NAME?</definedName>
    <definedName name="___________a1" localSheetId="18" hidden="1">{"cashflow",#N/A,FALSE,"CASHFLOW "}</definedName>
    <definedName name="___________a1" hidden="1">{"cashflow",#N/A,FALSE,"CASHFLOW "}</definedName>
    <definedName name="___________a10" localSheetId="18" hidden="1">{"sales",#N/A,FALSE,"SALES"}</definedName>
    <definedName name="___________a10" hidden="1">{"sales",#N/A,FALSE,"SALES"}</definedName>
    <definedName name="___________a11" localSheetId="18" hidden="1">{"'Sheet1'!$L$16"}</definedName>
    <definedName name="___________a11" hidden="1">{"'Sheet1'!$L$16"}</definedName>
    <definedName name="___________a12" localSheetId="18" hidden="1">{"'Sheet1'!$L$16"}</definedName>
    <definedName name="___________a12" hidden="1">{"'Sheet1'!$L$16"}</definedName>
    <definedName name="___________a133" localSheetId="18" hidden="1">{"revable",#N/A,FALSE,"REVABLE"}</definedName>
    <definedName name="___________a133" hidden="1">{"revable",#N/A,FALSE,"REVABLE"}</definedName>
    <definedName name="___________a2" localSheetId="18" hidden="1">{"hilight1",#N/A,FALSE,"HILIGHT1"}</definedName>
    <definedName name="___________a2" hidden="1">{"hilight1",#N/A,FALSE,"HILIGHT1"}</definedName>
    <definedName name="___________a3" localSheetId="18" hidden="1">{"hilight2",#N/A,FALSE,"HILIGHT2"}</definedName>
    <definedName name="___________a3" hidden="1">{"hilight2",#N/A,FALSE,"HILIGHT2"}</definedName>
    <definedName name="___________a4" localSheetId="18" hidden="1">{"hilight3",#N/A,FALSE,"HILIGHT3"}</definedName>
    <definedName name="___________a4" hidden="1">{"hilight3",#N/A,FALSE,"HILIGHT3"}</definedName>
    <definedName name="___________a5" localSheetId="18" hidden="1">{"income",#N/A,FALSE,"INCOME"}</definedName>
    <definedName name="___________a5" hidden="1">{"income",#N/A,FALSE,"INCOME"}</definedName>
    <definedName name="___________a51" localSheetId="18" hidden="1">{"income",#N/A,FALSE,"INCOME"}</definedName>
    <definedName name="___________a51" hidden="1">{"income",#N/A,FALSE,"INCOME"}</definedName>
    <definedName name="___________a6" localSheetId="18" hidden="1">{"index",#N/A,FALSE,"INDEX"}</definedName>
    <definedName name="___________a6" hidden="1">{"index",#N/A,FALSE,"INDEX"}</definedName>
    <definedName name="___________a7" localSheetId="18" hidden="1">{"PRINT_EST",#N/A,FALSE,"ESTMON"}</definedName>
    <definedName name="___________a7" hidden="1">{"PRINT_EST",#N/A,FALSE,"ESTMON"}</definedName>
    <definedName name="___________a8" localSheetId="18" hidden="1">{"revsale",#N/A,FALSE,"REV-ยุพดี"}</definedName>
    <definedName name="___________a8" hidden="1">{"revsale",#N/A,FALSE,"REV-ยุพดี"}</definedName>
    <definedName name="___________a9" localSheetId="18" hidden="1">{"revable",#N/A,FALSE,"REVABLE"}</definedName>
    <definedName name="___________a9" hidden="1">{"revable",#N/A,FALSE,"REVABLE"}</definedName>
    <definedName name="___________B1" localSheetId="18" hidden="1">{"PRINT_EST",#N/A,FALSE,"ESTMON"}</definedName>
    <definedName name="___________B1" hidden="1">{"PRINT_EST",#N/A,FALSE,"ESTMON"}</definedName>
    <definedName name="___________f5" localSheetId="18" hidden="1">{"'Sheet1'!$L$16"}</definedName>
    <definedName name="___________f5" hidden="1">{"'Sheet1'!$L$16"}</definedName>
    <definedName name="___________FOH2006" localSheetId="18" hidden="1">{#N/A,#N/A,FALSE,"TL";#N/A,#N/A,FALSE,"KK";#N/A,#N/A,FALSE,"TS";#N/A,#N/A,FALSE,"KW";#N/A,#N/A,FALSE,"LP";#N/A,#N/A,FALSE,"DC"}</definedName>
    <definedName name="___________FOH2006" localSheetId="0" hidden="1">{#N/A,#N/A,FALSE,"TL";#N/A,#N/A,FALSE,"KK";#N/A,#N/A,FALSE,"TS";#N/A,#N/A,FALSE,"KW";#N/A,#N/A,FALSE,"LP";#N/A,#N/A,FALSE,"DC"}</definedName>
    <definedName name="___________FOH2006" hidden="1">{#N/A,#N/A,FALSE,"TL";#N/A,#N/A,FALSE,"KK";#N/A,#N/A,FALSE,"TS";#N/A,#N/A,FALSE,"KW";#N/A,#N/A,FALSE,"LP";#N/A,#N/A,FALSE,"DC"}</definedName>
    <definedName name="___________KP300" localSheetId="18" hidden="1">{"level1",#N/A,FALSE,"1_LEV";"LEVEL1",#N/A,FALSE,"1_LEV"}</definedName>
    <definedName name="___________KP300" hidden="1">{"level1",#N/A,FALSE,"1_LEV";"LEVEL1",#N/A,FALSE,"1_LEV"}</definedName>
    <definedName name="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localSheetId="18" hidden="1">{#N/A,#N/A,FALSE,"Assessment";#N/A,#N/A,FALSE,"Staffing";#N/A,#N/A,FALSE,"Hires";#N/A,#N/A,FALSE,"Assumptions"}</definedName>
    <definedName name="___________nat2" hidden="1">{#N/A,#N/A,FALSE,"Assessment";#N/A,#N/A,FALSE,"Staffing";#N/A,#N/A,FALSE,"Hires";#N/A,#N/A,FALSE,"Assumptions"}</definedName>
    <definedName name="___________nat3" localSheetId="18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localSheetId="18" hidden="1">{"'Sheet1'!$L$16"}</definedName>
    <definedName name="___________NSO2" hidden="1">{"'Sheet1'!$L$16"}</definedName>
    <definedName name="___________PA3" localSheetId="18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a1" localSheetId="18" hidden="1">{"cashflow",#N/A,FALSE,"CASHFLOW "}</definedName>
    <definedName name="__________a1" localSheetId="0" hidden="1">{"cashflow",#N/A,FALSE,"CASHFLOW "}</definedName>
    <definedName name="__________a1" hidden="1">{"cashflow",#N/A,FALSE,"CASHFLOW "}</definedName>
    <definedName name="__________a10" localSheetId="18" hidden="1">{"sales",#N/A,FALSE,"SALES"}</definedName>
    <definedName name="__________a10" localSheetId="0" hidden="1">{"sales",#N/A,FALSE,"SALES"}</definedName>
    <definedName name="__________a10" hidden="1">{"sales",#N/A,FALSE,"SALES"}</definedName>
    <definedName name="__________a11" localSheetId="18" hidden="1">{"'Sheet1'!$L$16"}</definedName>
    <definedName name="__________a11" hidden="1">{"'Sheet1'!$L$16"}</definedName>
    <definedName name="__________a12" localSheetId="18" hidden="1">{"'Sheet1'!$L$16"}</definedName>
    <definedName name="__________a12" hidden="1">{"'Sheet1'!$L$16"}</definedName>
    <definedName name="__________a133" localSheetId="18" hidden="1">{"revable",#N/A,FALSE,"REVABLE"}</definedName>
    <definedName name="__________a133" hidden="1">{"revable",#N/A,FALSE,"REVABLE"}</definedName>
    <definedName name="__________a2" localSheetId="18" hidden="1">{"hilight1",#N/A,FALSE,"HILIGHT1"}</definedName>
    <definedName name="__________a2" localSheetId="0" hidden="1">{"hilight1",#N/A,FALSE,"HILIGHT1"}</definedName>
    <definedName name="__________a2" hidden="1">{"hilight1",#N/A,FALSE,"HILIGHT1"}</definedName>
    <definedName name="__________a3" localSheetId="18" hidden="1">{"hilight2",#N/A,FALSE,"HILIGHT2"}</definedName>
    <definedName name="__________a3" localSheetId="0" hidden="1">{"hilight2",#N/A,FALSE,"HILIGHT2"}</definedName>
    <definedName name="__________a3" hidden="1">{"hilight2",#N/A,FALSE,"HILIGHT2"}</definedName>
    <definedName name="__________a4" localSheetId="18" hidden="1">{"hilight3",#N/A,FALSE,"HILIGHT3"}</definedName>
    <definedName name="__________a4" localSheetId="0" hidden="1">{"hilight3",#N/A,FALSE,"HILIGHT3"}</definedName>
    <definedName name="__________a4" hidden="1">{"hilight3",#N/A,FALSE,"HILIGHT3"}</definedName>
    <definedName name="__________a5" localSheetId="18" hidden="1">{"income",#N/A,FALSE,"INCOME"}</definedName>
    <definedName name="__________a5" localSheetId="0" hidden="1">{"income",#N/A,FALSE,"INCOME"}</definedName>
    <definedName name="__________a5" hidden="1">{"income",#N/A,FALSE,"INCOME"}</definedName>
    <definedName name="__________a51" localSheetId="18" hidden="1">{"income",#N/A,FALSE,"INCOME"}</definedName>
    <definedName name="__________a51" hidden="1">{"income",#N/A,FALSE,"INCOME"}</definedName>
    <definedName name="__________a6" localSheetId="18" hidden="1">{"index",#N/A,FALSE,"INDEX"}</definedName>
    <definedName name="__________a6" localSheetId="0" hidden="1">{"index",#N/A,FALSE,"INDEX"}</definedName>
    <definedName name="__________a6" hidden="1">{"index",#N/A,FALSE,"INDEX"}</definedName>
    <definedName name="__________a7" localSheetId="18" hidden="1">{"PRINT_EST",#N/A,FALSE,"ESTMON"}</definedName>
    <definedName name="__________a7" localSheetId="0" hidden="1">{"PRINT_EST",#N/A,FALSE,"ESTMON"}</definedName>
    <definedName name="__________a7" hidden="1">{"PRINT_EST",#N/A,FALSE,"ESTMON"}</definedName>
    <definedName name="__________a8" localSheetId="18" hidden="1">{"revsale",#N/A,FALSE,"REV-ยุพดี"}</definedName>
    <definedName name="__________a8" localSheetId="0" hidden="1">{"revsale",#N/A,FALSE,"REV-ยุพดี"}</definedName>
    <definedName name="__________a8" hidden="1">{"revsale",#N/A,FALSE,"REV-ยุพดี"}</definedName>
    <definedName name="__________a9" localSheetId="18" hidden="1">{"revable",#N/A,FALSE,"REVABLE"}</definedName>
    <definedName name="__________a9" localSheetId="0" hidden="1">{"revable",#N/A,FALSE,"REVABLE"}</definedName>
    <definedName name="__________a9" hidden="1">{"revable",#N/A,FALSE,"REVABLE"}</definedName>
    <definedName name="__________apr2" localSheetId="18" hidden="1">{"'Model'!$A$1:$N$53"}</definedName>
    <definedName name="__________apr2" hidden="1">{"'Model'!$A$1:$N$53"}</definedName>
    <definedName name="__________b1" localSheetId="18" hidden="1">{"'Sheet1'!$L$16"}</definedName>
    <definedName name="__________b1" hidden="1">{"'Sheet1'!$L$16"}</definedName>
    <definedName name="__________b3" localSheetId="18" hidden="1">{"'Sheet1'!$L$16"}</definedName>
    <definedName name="__________b3" hidden="1">{"'Sheet1'!$L$16"}</definedName>
    <definedName name="__________b4" localSheetId="18" hidden="1">{"'Sheet1'!$L$16"}</definedName>
    <definedName name="__________b4" hidden="1">{"'Sheet1'!$L$16"}</definedName>
    <definedName name="__________b5" localSheetId="18" hidden="1">{"'Sheet1'!$L$16"}</definedName>
    <definedName name="__________b5" hidden="1">{"'Sheet1'!$L$16"}</definedName>
    <definedName name="__________b6" localSheetId="18" hidden="1">{"'Sheet1'!$L$16"}</definedName>
    <definedName name="__________b6" hidden="1">{"'Sheet1'!$L$16"}</definedName>
    <definedName name="__________b7" localSheetId="18" hidden="1">{#N/A,#N/A,FALSE,"Chi tiÆt"}</definedName>
    <definedName name="__________b7" hidden="1">{#N/A,#N/A,FALSE,"Chi tiÆt"}</definedName>
    <definedName name="__________e1" localSheetId="18" hidden="1">{"'Sheet1'!$L$16"}</definedName>
    <definedName name="__________e1" hidden="1">{"'Sheet1'!$L$16"}</definedName>
    <definedName name="__________e2" localSheetId="18" hidden="1">{"'Sheet1'!$L$16"}</definedName>
    <definedName name="__________e2" hidden="1">{"'Sheet1'!$L$16"}</definedName>
    <definedName name="__________e4" localSheetId="18" hidden="1">{"'Sheet1'!$L$16"}</definedName>
    <definedName name="__________e4" hidden="1">{"'Sheet1'!$L$16"}</definedName>
    <definedName name="__________e5" localSheetId="18" hidden="1">{"'Sheet1'!$L$16"}</definedName>
    <definedName name="__________e5" hidden="1">{"'Sheet1'!$L$16"}</definedName>
    <definedName name="__________e6" localSheetId="18" hidden="1">{"'Sheet1'!$L$16"}</definedName>
    <definedName name="__________e6" hidden="1">{"'Sheet1'!$L$16"}</definedName>
    <definedName name="__________e7" localSheetId="18" hidden="1">{"'Sheet1'!$L$16"}</definedName>
    <definedName name="__________e7" hidden="1">{"'Sheet1'!$L$16"}</definedName>
    <definedName name="__________e8" localSheetId="18" hidden="1">{#N/A,#N/A,FALSE,"Chi tiÆt"}</definedName>
    <definedName name="__________e8" hidden="1">{#N/A,#N/A,FALSE,"Chi tiÆt"}</definedName>
    <definedName name="__________f1" localSheetId="18" hidden="1">{"'Sheet1'!$L$16"}</definedName>
    <definedName name="__________f1" hidden="1">{"'Sheet1'!$L$16"}</definedName>
    <definedName name="__________f2" localSheetId="18" hidden="1">{"'Sheet1'!$L$16"}</definedName>
    <definedName name="__________f2" hidden="1">{"'Sheet1'!$L$16"}</definedName>
    <definedName name="__________f3" localSheetId="18" hidden="1">{"'Sheet1'!$L$16"}</definedName>
    <definedName name="__________f3" hidden="1">{"'Sheet1'!$L$16"}</definedName>
    <definedName name="__________f4" localSheetId="18" hidden="1">{"'Sheet1'!$L$16"}</definedName>
    <definedName name="__________f4" hidden="1">{"'Sheet1'!$L$16"}</definedName>
    <definedName name="__________f5" localSheetId="18" hidden="1">{"'Sheet1'!$L$16"}</definedName>
    <definedName name="__________f5" hidden="1">{"'Sheet1'!$L$16"}</definedName>
    <definedName name="__________f6" localSheetId="18" hidden="1">{"'Sheet1'!$L$16"}</definedName>
    <definedName name="__________f6" hidden="1">{"'Sheet1'!$L$16"}</definedName>
    <definedName name="__________f7" localSheetId="18" hidden="1">{"'Sheet1'!$L$16"}</definedName>
    <definedName name="__________f7" hidden="1">{"'Sheet1'!$L$16"}</definedName>
    <definedName name="__________f8" localSheetId="18" hidden="1">{#N/A,#N/A,FALSE,"Chi tiÆt"}</definedName>
    <definedName name="__________f8" hidden="1">{#N/A,#N/A,FALSE,"Chi tiÆt"}</definedName>
    <definedName name="__________f9" localSheetId="18" hidden="1">{#N/A,#N/A,FALSE,"Chi tiÆt"}</definedName>
    <definedName name="__________f9" hidden="1">{#N/A,#N/A,FALSE,"Chi tiÆt"}</definedName>
    <definedName name="__________FOH2006" localSheetId="18" hidden="1">{#N/A,#N/A,FALSE,"TL";#N/A,#N/A,FALSE,"KK";#N/A,#N/A,FALSE,"TS";#N/A,#N/A,FALSE,"KW";#N/A,#N/A,FALSE,"LP";#N/A,#N/A,FALSE,"DC"}</definedName>
    <definedName name="__________FOH2006" localSheetId="0" hidden="1">{#N/A,#N/A,FALSE,"TL";#N/A,#N/A,FALSE,"KK";#N/A,#N/A,FALSE,"TS";#N/A,#N/A,FALSE,"KW";#N/A,#N/A,FALSE,"LP";#N/A,#N/A,FALSE,"DC"}</definedName>
    <definedName name="__________FOH2006" hidden="1">{#N/A,#N/A,FALSE,"TL";#N/A,#N/A,FALSE,"KK";#N/A,#N/A,FALSE,"TS";#N/A,#N/A,FALSE,"KW";#N/A,#N/A,FALSE,"LP";#N/A,#N/A,FALSE,"DC"}</definedName>
    <definedName name="__________gw04" localSheetId="18" hidden="1">{#N/A,#N/A,FALSE,"Aging Summary";#N/A,#N/A,FALSE,"Ratio Analysis";#N/A,#N/A,FALSE,"Test 120 Day Accts";#N/A,#N/A,FALSE,"Tickmarks"}</definedName>
    <definedName name="__________gw04" hidden="1">{#N/A,#N/A,FALSE,"Aging Summary";#N/A,#N/A,FALSE,"Ratio Analysis";#N/A,#N/A,FALSE,"Test 120 Day Accts";#N/A,#N/A,FALSE,"Tickmarks"}</definedName>
    <definedName name="__________h2" localSheetId="18" hidden="1">{"'Model'!$A$1:$N$53"}</definedName>
    <definedName name="__________h2" hidden="1">{"'Model'!$A$1:$N$53"}</definedName>
    <definedName name="__________KP300" localSheetId="18" hidden="1">{"level1",#N/A,FALSE,"1_LEV";"LEVEL1",#N/A,FALSE,"1_LEV"}</definedName>
    <definedName name="__________KP300" hidden="1">{"level1",#N/A,FALSE,"1_LEV";"LEVEL1",#N/A,FALSE,"1_LEV"}</definedName>
    <definedName name="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localSheetId="18" hidden="1">{#N/A,#N/A,FALSE,"Assessment";#N/A,#N/A,FALSE,"Staffing";#N/A,#N/A,FALSE,"Hires";#N/A,#N/A,FALSE,"Assumptions"}</definedName>
    <definedName name="__________nat2" hidden="1">{#N/A,#N/A,FALSE,"Assessment";#N/A,#N/A,FALSE,"Staffing";#N/A,#N/A,FALSE,"Hires";#N/A,#N/A,FALSE,"Assumptions"}</definedName>
    <definedName name="__________nat3" localSheetId="18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localSheetId="18" hidden="1">{"'Sheet1'!$L$16"}</definedName>
    <definedName name="__________NSO2" hidden="1">{"'Sheet1'!$L$16"}</definedName>
    <definedName name="__________s1" localSheetId="18" hidden="1">{"'Sheet1'!$L$16"}</definedName>
    <definedName name="__________s1" hidden="1">{"'Sheet1'!$L$16"}</definedName>
    <definedName name="__________s2" localSheetId="18" hidden="1">{"'Sheet1'!$L$16"}</definedName>
    <definedName name="__________s2" hidden="1">{"'Sheet1'!$L$16"}</definedName>
    <definedName name="__________s3" localSheetId="18" hidden="1">{"'Sheet1'!$L$16"}</definedName>
    <definedName name="__________s3" hidden="1">{"'Sheet1'!$L$16"}</definedName>
    <definedName name="__________s4" localSheetId="18" hidden="1">{"'Sheet1'!$L$16"}</definedName>
    <definedName name="__________s4" hidden="1">{"'Sheet1'!$L$16"}</definedName>
    <definedName name="__________s5" localSheetId="18" hidden="1">{"'Sheet1'!$L$16"}</definedName>
    <definedName name="__________s5" hidden="1">{"'Sheet1'!$L$16"}</definedName>
    <definedName name="__________s6" localSheetId="18" hidden="1">{#N/A,#N/A,FALSE,"Chi tiÆt"}</definedName>
    <definedName name="__________s6" hidden="1">{#N/A,#N/A,FALSE,"Chi tiÆt"}</definedName>
    <definedName name="__________s7" localSheetId="18" hidden="1">{#N/A,#N/A,FALSE,"Chi tiÆt"}</definedName>
    <definedName name="__________s7" hidden="1">{#N/A,#N/A,FALSE,"Chi tiÆt"}</definedName>
    <definedName name="__________T01" hidden="1">#REF!</definedName>
    <definedName name="__________t2" localSheetId="18" hidden="1">{"'Sheet1'!$L$16"}</definedName>
    <definedName name="__________t2" hidden="1">{"'Sheet1'!$L$16"}</definedName>
    <definedName name="__________t4" localSheetId="18" hidden="1">{"'Sheet1'!$L$16"}</definedName>
    <definedName name="__________t4" hidden="1">{"'Sheet1'!$L$16"}</definedName>
    <definedName name="__________t5" localSheetId="18" hidden="1">{"'Sheet1'!$L$16"}</definedName>
    <definedName name="__________t5" hidden="1">{"'Sheet1'!$L$16"}</definedName>
    <definedName name="__________t6" localSheetId="18" hidden="1">{"'Sheet1'!$L$16"}</definedName>
    <definedName name="__________t6" hidden="1">{"'Sheet1'!$L$16"}</definedName>
    <definedName name="__________t7" localSheetId="18" hidden="1">{"'Sheet1'!$L$16"}</definedName>
    <definedName name="__________t7" hidden="1">{"'Sheet1'!$L$16"}</definedName>
    <definedName name="__________t8" localSheetId="18" hidden="1">{#N/A,#N/A,FALSE,"Chi tiÆt"}</definedName>
    <definedName name="__________t8" hidden="1">{#N/A,#N/A,FALSE,"Chi tiÆt"}</definedName>
    <definedName name="__________t9" localSheetId="18" hidden="1">{"'Sheet1'!$L$16"}</definedName>
    <definedName name="__________t9" hidden="1">{"'Sheet1'!$L$16"}</definedName>
    <definedName name="__________w2" localSheetId="18" hidden="1">{"'Sheet1'!$L$16"}</definedName>
    <definedName name="__________w2" hidden="1">{"'Sheet1'!$L$16"}</definedName>
    <definedName name="__________w3" localSheetId="18" hidden="1">{"'Sheet1'!$L$16"}</definedName>
    <definedName name="__________w3" hidden="1">{"'Sheet1'!$L$16"}</definedName>
    <definedName name="__________w4" localSheetId="18" hidden="1">{"'Sheet1'!$L$16"}</definedName>
    <definedName name="__________w4" hidden="1">{"'Sheet1'!$L$16"}</definedName>
    <definedName name="__________w5" localSheetId="18" hidden="1">{"'Sheet1'!$L$16"}</definedName>
    <definedName name="__________w5" hidden="1">{"'Sheet1'!$L$16"}</definedName>
    <definedName name="__________w6" localSheetId="18" hidden="1">{#N/A,#N/A,FALSE,"Chi tiÆt"}</definedName>
    <definedName name="__________w6" hidden="1">{#N/A,#N/A,FALSE,"Chi tiÆt"}</definedName>
    <definedName name="__________w8" localSheetId="18" hidden="1">{"'Sheet1'!$L$16"}</definedName>
    <definedName name="__________w8" hidden="1">{"'Sheet1'!$L$16"}</definedName>
    <definedName name="__________w9" localSheetId="18" hidden="1">{"'Sheet1'!$L$16"}</definedName>
    <definedName name="__________w9" hidden="1">{"'Sheet1'!$L$16"}</definedName>
    <definedName name="__________xlfn.BAHTTEXT" hidden="1">#NAME?</definedName>
    <definedName name="_________a1" localSheetId="18" hidden="1">{"cashflow",#N/A,FALSE,"CASHFLOW "}</definedName>
    <definedName name="_________a1" localSheetId="0" hidden="1">{"cashflow",#N/A,FALSE,"CASHFLOW "}</definedName>
    <definedName name="_________a1" hidden="1">{"cashflow",#N/A,FALSE,"CASHFLOW "}</definedName>
    <definedName name="_________a1_1" localSheetId="18" hidden="1">{"'Sheet1'!$L$16"}</definedName>
    <definedName name="_________a1_1" hidden="1">{"'Sheet1'!$L$16"}</definedName>
    <definedName name="_________a1_2" localSheetId="18" hidden="1">{"'Sheet1'!$L$16"}</definedName>
    <definedName name="_________a1_2" hidden="1">{"'Sheet1'!$L$16"}</definedName>
    <definedName name="_________a10" localSheetId="18" hidden="1">{"sales",#N/A,FALSE,"SALES"}</definedName>
    <definedName name="_________a10" localSheetId="0" hidden="1">{"sales",#N/A,FALSE,"SALES"}</definedName>
    <definedName name="_________a10" hidden="1">{"sales",#N/A,FALSE,"SALES"}</definedName>
    <definedName name="_________a11" localSheetId="18" hidden="1">{"'Sheet1'!$L$16"}</definedName>
    <definedName name="_________a11" hidden="1">{"'Sheet1'!$L$16"}</definedName>
    <definedName name="_________a12" localSheetId="18" hidden="1">{"'Sheet1'!$L$16"}</definedName>
    <definedName name="_________a12" hidden="1">{"'Sheet1'!$L$16"}</definedName>
    <definedName name="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localSheetId="18" hidden="1">{"revable",#N/A,FALSE,"REVABLE"}</definedName>
    <definedName name="_________a133" hidden="1">{"revable",#N/A,FALSE,"REVABLE"}</definedName>
    <definedName name="_________a2" localSheetId="18" hidden="1">{"hilight1",#N/A,FALSE,"HILIGHT1"}</definedName>
    <definedName name="_________a2" localSheetId="0" hidden="1">{"hilight1",#N/A,FALSE,"HILIGHT1"}</definedName>
    <definedName name="_________a2" hidden="1">{"hilight1",#N/A,FALSE,"HILIGHT1"}</definedName>
    <definedName name="_________a3" localSheetId="18" hidden="1">{"hilight2",#N/A,FALSE,"HILIGHT2"}</definedName>
    <definedName name="_________a3" localSheetId="0" hidden="1">{"hilight2",#N/A,FALSE,"HILIGHT2"}</definedName>
    <definedName name="_________a3" hidden="1">{"hilight2",#N/A,FALSE,"HILIGHT2"}</definedName>
    <definedName name="_________a4" localSheetId="18" hidden="1">{"hilight3",#N/A,FALSE,"HILIGHT3"}</definedName>
    <definedName name="_________a4" localSheetId="0" hidden="1">{"hilight3",#N/A,FALSE,"HILIGHT3"}</definedName>
    <definedName name="_________a4" hidden="1">{"hilight3",#N/A,FALSE,"HILIGHT3"}</definedName>
    <definedName name="_________a5" localSheetId="18" hidden="1">{"income",#N/A,FALSE,"INCOME"}</definedName>
    <definedName name="_________a5" localSheetId="0" hidden="1">{"income",#N/A,FALSE,"INCOME"}</definedName>
    <definedName name="_________a5" hidden="1">{"income",#N/A,FALSE,"INCOME"}</definedName>
    <definedName name="_________a51" localSheetId="18" hidden="1">{"income",#N/A,FALSE,"INCOME"}</definedName>
    <definedName name="_________a51" hidden="1">{"income",#N/A,FALSE,"INCOME"}</definedName>
    <definedName name="_________a6" localSheetId="18" hidden="1">{"index",#N/A,FALSE,"INDEX"}</definedName>
    <definedName name="_________a6" localSheetId="0" hidden="1">{"index",#N/A,FALSE,"INDEX"}</definedName>
    <definedName name="_________a6" hidden="1">{"index",#N/A,FALSE,"INDEX"}</definedName>
    <definedName name="_________a7" localSheetId="18" hidden="1">{"PRINT_EST",#N/A,FALSE,"ESTMON"}</definedName>
    <definedName name="_________a7" localSheetId="0" hidden="1">{"PRINT_EST",#N/A,FALSE,"ESTMON"}</definedName>
    <definedName name="_________a7" hidden="1">{"PRINT_EST",#N/A,FALSE,"ESTMON"}</definedName>
    <definedName name="_________a8" localSheetId="18" hidden="1">{"revsale",#N/A,FALSE,"REV-ยุพดี"}</definedName>
    <definedName name="_________a8" localSheetId="0" hidden="1">{"revsale",#N/A,FALSE,"REV-ยุพดี"}</definedName>
    <definedName name="_________a8" hidden="1">{"revsale",#N/A,FALSE,"REV-ยุพดี"}</definedName>
    <definedName name="_________a9" localSheetId="18" hidden="1">{"revable",#N/A,FALSE,"REVABLE"}</definedName>
    <definedName name="_________a9" localSheetId="0" hidden="1">{"revable",#N/A,FALSE,"REVABLE"}</definedName>
    <definedName name="_________a9" hidden="1">{"revable",#N/A,FALSE,"REVABLE"}</definedName>
    <definedName name="_________apr2" localSheetId="18" hidden="1">{"'Model'!$A$1:$N$53"}</definedName>
    <definedName name="_________apr2" hidden="1">{"'Model'!$A$1:$N$53"}</definedName>
    <definedName name="_________b1" localSheetId="18" hidden="1">{"'Sheet1'!$L$16"}</definedName>
    <definedName name="_________b1" hidden="1">{"'Sheet1'!$L$16"}</definedName>
    <definedName name="_________b3" localSheetId="18" hidden="1">{"'Sheet1'!$L$16"}</definedName>
    <definedName name="_________b3" hidden="1">{"'Sheet1'!$L$16"}</definedName>
    <definedName name="_________b4" localSheetId="18" hidden="1">{"'Sheet1'!$L$16"}</definedName>
    <definedName name="_________b4" hidden="1">{"'Sheet1'!$L$16"}</definedName>
    <definedName name="_________b5" localSheetId="18" hidden="1">{"'Sheet1'!$L$16"}</definedName>
    <definedName name="_________b5" hidden="1">{"'Sheet1'!$L$16"}</definedName>
    <definedName name="_________b6" localSheetId="18" hidden="1">{"'Sheet1'!$L$16"}</definedName>
    <definedName name="_________b6" hidden="1">{"'Sheet1'!$L$16"}</definedName>
    <definedName name="_________b7" localSheetId="18" hidden="1">{#N/A,#N/A,FALSE,"Chi tiÆt"}</definedName>
    <definedName name="_________b7" hidden="1">{#N/A,#N/A,FALSE,"Chi tiÆt"}</definedName>
    <definedName name="_________e1" localSheetId="18" hidden="1">{"'Sheet1'!$L$16"}</definedName>
    <definedName name="_________e1" hidden="1">{"'Sheet1'!$L$16"}</definedName>
    <definedName name="_________e2" localSheetId="18" hidden="1">{"'Sheet1'!$L$16"}</definedName>
    <definedName name="_________e2" hidden="1">{"'Sheet1'!$L$16"}</definedName>
    <definedName name="_________e4" localSheetId="18" hidden="1">{"'Sheet1'!$L$16"}</definedName>
    <definedName name="_________e4" hidden="1">{"'Sheet1'!$L$16"}</definedName>
    <definedName name="_________e5" localSheetId="18" hidden="1">{"'Sheet1'!$L$16"}</definedName>
    <definedName name="_________e5" hidden="1">{"'Sheet1'!$L$16"}</definedName>
    <definedName name="_________e6" localSheetId="18" hidden="1">{"'Sheet1'!$L$16"}</definedName>
    <definedName name="_________e6" hidden="1">{"'Sheet1'!$L$16"}</definedName>
    <definedName name="_________e7" localSheetId="18" hidden="1">{"'Sheet1'!$L$16"}</definedName>
    <definedName name="_________e7" hidden="1">{"'Sheet1'!$L$16"}</definedName>
    <definedName name="_________e8" localSheetId="18" hidden="1">{#N/A,#N/A,FALSE,"Chi tiÆt"}</definedName>
    <definedName name="_________e8" hidden="1">{#N/A,#N/A,FALSE,"Chi tiÆt"}</definedName>
    <definedName name="_________f1" localSheetId="18" hidden="1">{"'Sheet1'!$L$16"}</definedName>
    <definedName name="_________f1" hidden="1">{"'Sheet1'!$L$16"}</definedName>
    <definedName name="_________f2" localSheetId="18" hidden="1">{"'Sheet1'!$L$16"}</definedName>
    <definedName name="_________f2" hidden="1">{"'Sheet1'!$L$16"}</definedName>
    <definedName name="_________f3" localSheetId="18" hidden="1">{"'Sheet1'!$L$16"}</definedName>
    <definedName name="_________f3" hidden="1">{"'Sheet1'!$L$16"}</definedName>
    <definedName name="_________f4" localSheetId="18" hidden="1">{"'Sheet1'!$L$16"}</definedName>
    <definedName name="_________f4" hidden="1">{"'Sheet1'!$L$16"}</definedName>
    <definedName name="_________f5" localSheetId="18" hidden="1">{"'Sheet1'!$L$16"}</definedName>
    <definedName name="_________f5" hidden="1">{"'Sheet1'!$L$16"}</definedName>
    <definedName name="_________f6" localSheetId="18" hidden="1">{"'Sheet1'!$L$16"}</definedName>
    <definedName name="_________f6" hidden="1">{"'Sheet1'!$L$16"}</definedName>
    <definedName name="_________f7" localSheetId="18" hidden="1">{"'Sheet1'!$L$16"}</definedName>
    <definedName name="_________f7" hidden="1">{"'Sheet1'!$L$16"}</definedName>
    <definedName name="_________f8" localSheetId="18" hidden="1">{#N/A,#N/A,FALSE,"Chi tiÆt"}</definedName>
    <definedName name="_________f8" hidden="1">{#N/A,#N/A,FALSE,"Chi tiÆt"}</definedName>
    <definedName name="_________f9" localSheetId="18" hidden="1">{#N/A,#N/A,FALSE,"Chi tiÆt"}</definedName>
    <definedName name="_________f9" hidden="1">{#N/A,#N/A,FALSE,"Chi tiÆt"}</definedName>
    <definedName name="_________FOH2006" localSheetId="18" hidden="1">{#N/A,#N/A,FALSE,"TL";#N/A,#N/A,FALSE,"KK";#N/A,#N/A,FALSE,"TS";#N/A,#N/A,FALSE,"KW";#N/A,#N/A,FALSE,"LP";#N/A,#N/A,FALSE,"DC"}</definedName>
    <definedName name="_________FOH2006" localSheetId="0" hidden="1">{#N/A,#N/A,FALSE,"TL";#N/A,#N/A,FALSE,"KK";#N/A,#N/A,FALSE,"TS";#N/A,#N/A,FALSE,"KW";#N/A,#N/A,FALSE,"LP";#N/A,#N/A,FALSE,"DC"}</definedName>
    <definedName name="_________FOH2006" hidden="1">{#N/A,#N/A,FALSE,"TL";#N/A,#N/A,FALSE,"KK";#N/A,#N/A,FALSE,"TS";#N/A,#N/A,FALSE,"KW";#N/A,#N/A,FALSE,"LP";#N/A,#N/A,FALSE,"DC"}</definedName>
    <definedName name="_________Goi8" localSheetId="18" hidden="1">{"'Sheet1'!$L$16"}</definedName>
    <definedName name="_________Goi8" hidden="1">{"'Sheet1'!$L$16"}</definedName>
    <definedName name="_________gw04" localSheetId="18" hidden="1">{#N/A,#N/A,FALSE,"Aging Summary";#N/A,#N/A,FALSE,"Ratio Analysis";#N/A,#N/A,FALSE,"Test 120 Day Accts";#N/A,#N/A,FALSE,"Tickmarks"}</definedName>
    <definedName name="_________gw04" hidden="1">{#N/A,#N/A,FALSE,"Aging Summary";#N/A,#N/A,FALSE,"Ratio Analysis";#N/A,#N/A,FALSE,"Test 120 Day Accts";#N/A,#N/A,FALSE,"Tickmarks"}</definedName>
    <definedName name="_________h2" localSheetId="18" hidden="1">{"'Model'!$A$1:$N$53"}</definedName>
    <definedName name="_________h2" hidden="1">{"'Model'!$A$1:$N$53"}</definedName>
    <definedName name="_________KP300" localSheetId="18" hidden="1">{"level1",#N/A,FALSE,"1_LEV";"LEVEL1",#N/A,FALSE,"1_LEV"}</definedName>
    <definedName name="_________KP300" hidden="1">{"level1",#N/A,FALSE,"1_LEV";"LEVEL1",#N/A,FALSE,"1_LEV"}</definedName>
    <definedName name="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localSheetId="18" hidden="1">{#N/A,#N/A,FALSE,"Assessment";#N/A,#N/A,FALSE,"Staffing";#N/A,#N/A,FALSE,"Hires";#N/A,#N/A,FALSE,"Assumptions"}</definedName>
    <definedName name="_________nat2" hidden="1">{#N/A,#N/A,FALSE,"Assessment";#N/A,#N/A,FALSE,"Staffing";#N/A,#N/A,FALSE,"Hires";#N/A,#N/A,FALSE,"Assumptions"}</definedName>
    <definedName name="_________nat3" localSheetId="18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localSheetId="18" hidden="1">{"'Sheet1'!$L$16"}</definedName>
    <definedName name="_________NSO2" hidden="1">{"'Sheet1'!$L$16"}</definedName>
    <definedName name="_________NSO2_1" localSheetId="18" hidden="1">{"'Sheet1'!$L$16"}</definedName>
    <definedName name="_________NSO2_1" hidden="1">{"'Sheet1'!$L$16"}</definedName>
    <definedName name="_________NSO2_2" localSheetId="18" hidden="1">{"'Sheet1'!$L$16"}</definedName>
    <definedName name="_________NSO2_2" hidden="1">{"'Sheet1'!$L$16"}</definedName>
    <definedName name="_________PA3" localSheetId="18" hidden="1">{"'Sheet1'!$L$16"}</definedName>
    <definedName name="_________PA3" hidden="1">{"'Sheet1'!$L$16"}</definedName>
    <definedName name="_________s1" localSheetId="18" hidden="1">{"'Sheet1'!$L$16"}</definedName>
    <definedName name="_________s1" hidden="1">{"'Sheet1'!$L$16"}</definedName>
    <definedName name="_________s2" localSheetId="18" hidden="1">{"'Sheet1'!$L$16"}</definedName>
    <definedName name="_________s2" hidden="1">{"'Sheet1'!$L$16"}</definedName>
    <definedName name="_________s3" localSheetId="18" hidden="1">{"'Sheet1'!$L$16"}</definedName>
    <definedName name="_________s3" hidden="1">{"'Sheet1'!$L$16"}</definedName>
    <definedName name="_________s4" localSheetId="18" hidden="1">{"'Sheet1'!$L$16"}</definedName>
    <definedName name="_________s4" hidden="1">{"'Sheet1'!$L$16"}</definedName>
    <definedName name="_________s5" localSheetId="18" hidden="1">{"'Sheet1'!$L$16"}</definedName>
    <definedName name="_________s5" hidden="1">{"'Sheet1'!$L$16"}</definedName>
    <definedName name="_________s6" localSheetId="18" hidden="1">{#N/A,#N/A,FALSE,"Chi tiÆt"}</definedName>
    <definedName name="_________s6" hidden="1">{#N/A,#N/A,FALSE,"Chi tiÆt"}</definedName>
    <definedName name="_________s7" localSheetId="18" hidden="1">{#N/A,#N/A,FALSE,"Chi tiÆt"}</definedName>
    <definedName name="_________s7" hidden="1">{#N/A,#N/A,FALSE,"Chi tiÆt"}</definedName>
    <definedName name="_________T01" hidden="1">#REF!</definedName>
    <definedName name="_________t2" localSheetId="18" hidden="1">{"'Sheet1'!$L$16"}</definedName>
    <definedName name="_________t2" hidden="1">{"'Sheet1'!$L$16"}</definedName>
    <definedName name="_________t4" localSheetId="18" hidden="1">{"'Sheet1'!$L$16"}</definedName>
    <definedName name="_________t4" hidden="1">{"'Sheet1'!$L$16"}</definedName>
    <definedName name="_________t5" localSheetId="18" hidden="1">{"'Sheet1'!$L$16"}</definedName>
    <definedName name="_________t5" hidden="1">{"'Sheet1'!$L$16"}</definedName>
    <definedName name="_________t6" localSheetId="18" hidden="1">{"'Sheet1'!$L$16"}</definedName>
    <definedName name="_________t6" hidden="1">{"'Sheet1'!$L$16"}</definedName>
    <definedName name="_________t7" localSheetId="18" hidden="1">{"'Sheet1'!$L$16"}</definedName>
    <definedName name="_________t7" hidden="1">{"'Sheet1'!$L$16"}</definedName>
    <definedName name="_________t8" localSheetId="18" hidden="1">{#N/A,#N/A,FALSE,"Chi tiÆt"}</definedName>
    <definedName name="_________t8" hidden="1">{#N/A,#N/A,FALSE,"Chi tiÆt"}</definedName>
    <definedName name="_________t9" localSheetId="18" hidden="1">{"'Sheet1'!$L$16"}</definedName>
    <definedName name="_________t9" hidden="1">{"'Sheet1'!$L$16"}</definedName>
    <definedName name="_________w2" localSheetId="18" hidden="1">{"'Sheet1'!$L$16"}</definedName>
    <definedName name="_________w2" hidden="1">{"'Sheet1'!$L$16"}</definedName>
    <definedName name="_________w3" localSheetId="18" hidden="1">{"'Sheet1'!$L$16"}</definedName>
    <definedName name="_________w3" hidden="1">{"'Sheet1'!$L$16"}</definedName>
    <definedName name="_________w4" localSheetId="18" hidden="1">{"'Sheet1'!$L$16"}</definedName>
    <definedName name="_________w4" hidden="1">{"'Sheet1'!$L$16"}</definedName>
    <definedName name="_________w5" localSheetId="18" hidden="1">{"'Sheet1'!$L$16"}</definedName>
    <definedName name="_________w5" hidden="1">{"'Sheet1'!$L$16"}</definedName>
    <definedName name="_________w6" localSheetId="18" hidden="1">{#N/A,#N/A,FALSE,"Chi tiÆt"}</definedName>
    <definedName name="_________w6" hidden="1">{#N/A,#N/A,FALSE,"Chi tiÆt"}</definedName>
    <definedName name="_________w8" localSheetId="18" hidden="1">{"'Sheet1'!$L$16"}</definedName>
    <definedName name="_________w8" hidden="1">{"'Sheet1'!$L$16"}</definedName>
    <definedName name="_________w9" localSheetId="18" hidden="1">{"'Sheet1'!$L$16"}</definedName>
    <definedName name="_________w9" hidden="1">{"'Sheet1'!$L$16"}</definedName>
    <definedName name="_________xlfn.BAHTTEXT" hidden="1">#NAME?</definedName>
    <definedName name="________a1" localSheetId="18" hidden="1">{"cashflow",#N/A,FALSE,"CASHFLOW "}</definedName>
    <definedName name="________a1" localSheetId="0" hidden="1">{"cashflow",#N/A,FALSE,"CASHFLOW "}</definedName>
    <definedName name="________a1" hidden="1">{"cashflow",#N/A,FALSE,"CASHFLOW "}</definedName>
    <definedName name="________a1_1" localSheetId="18" hidden="1">{"'Sheet1'!$L$16"}</definedName>
    <definedName name="________a1_1" hidden="1">{"'Sheet1'!$L$16"}</definedName>
    <definedName name="________a1_2" localSheetId="18" hidden="1">{"'Sheet1'!$L$16"}</definedName>
    <definedName name="________a1_2" hidden="1">{"'Sheet1'!$L$16"}</definedName>
    <definedName name="________a10" localSheetId="18" hidden="1">{"sales",#N/A,FALSE,"SALES"}</definedName>
    <definedName name="________a10" localSheetId="0" hidden="1">{"sales",#N/A,FALSE,"SALES"}</definedName>
    <definedName name="________a10" hidden="1">{"sales",#N/A,FALSE,"SALES"}</definedName>
    <definedName name="________a11" localSheetId="18" hidden="1">{"'Sheet1'!$L$16"}</definedName>
    <definedName name="________a11" hidden="1">{"'Sheet1'!$L$16"}</definedName>
    <definedName name="________a12" localSheetId="18" hidden="1">{"'Sheet1'!$L$16"}</definedName>
    <definedName name="________a12" hidden="1">{"'Sheet1'!$L$16"}</definedName>
    <definedName name="________a133" localSheetId="18" hidden="1">{"revable",#N/A,FALSE,"REVABLE"}</definedName>
    <definedName name="________a133" hidden="1">{"revable",#N/A,FALSE,"REVABLE"}</definedName>
    <definedName name="________a2" localSheetId="18" hidden="1">{"hilight1",#N/A,FALSE,"HILIGHT1"}</definedName>
    <definedName name="________a2" localSheetId="0" hidden="1">{"hilight1",#N/A,FALSE,"HILIGHT1"}</definedName>
    <definedName name="________a2" hidden="1">{"hilight1",#N/A,FALSE,"HILIGHT1"}</definedName>
    <definedName name="________a3" localSheetId="18" hidden="1">{"hilight2",#N/A,FALSE,"HILIGHT2"}</definedName>
    <definedName name="________a3" localSheetId="0" hidden="1">{"hilight2",#N/A,FALSE,"HILIGHT2"}</definedName>
    <definedName name="________a3" hidden="1">{"hilight2",#N/A,FALSE,"HILIGHT2"}</definedName>
    <definedName name="________a4" localSheetId="18" hidden="1">{"hilight3",#N/A,FALSE,"HILIGHT3"}</definedName>
    <definedName name="________a4" localSheetId="0" hidden="1">{"hilight3",#N/A,FALSE,"HILIGHT3"}</definedName>
    <definedName name="________a4" hidden="1">{"hilight3",#N/A,FALSE,"HILIGHT3"}</definedName>
    <definedName name="________a5" localSheetId="18" hidden="1">{"income",#N/A,FALSE,"INCOME"}</definedName>
    <definedName name="________a5" localSheetId="0" hidden="1">{"income",#N/A,FALSE,"INCOME"}</definedName>
    <definedName name="________a5" hidden="1">{"income",#N/A,FALSE,"INCOME"}</definedName>
    <definedName name="________a51" localSheetId="18" hidden="1">{"income",#N/A,FALSE,"INCOME"}</definedName>
    <definedName name="________a51" hidden="1">{"income",#N/A,FALSE,"INCOME"}</definedName>
    <definedName name="________a6" localSheetId="18" hidden="1">{"index",#N/A,FALSE,"INDEX"}</definedName>
    <definedName name="________a6" localSheetId="0" hidden="1">{"index",#N/A,FALSE,"INDEX"}</definedName>
    <definedName name="________a6" hidden="1">{"index",#N/A,FALSE,"INDEX"}</definedName>
    <definedName name="________a7" localSheetId="18" hidden="1">{"PRINT_EST",#N/A,FALSE,"ESTMON"}</definedName>
    <definedName name="________a7" localSheetId="0" hidden="1">{"PRINT_EST",#N/A,FALSE,"ESTMON"}</definedName>
    <definedName name="________a7" hidden="1">{"PRINT_EST",#N/A,FALSE,"ESTMON"}</definedName>
    <definedName name="________a8" localSheetId="18" hidden="1">{"revsale",#N/A,FALSE,"REV-ยุพดี"}</definedName>
    <definedName name="________a8" localSheetId="0" hidden="1">{"revsale",#N/A,FALSE,"REV-ยุพดี"}</definedName>
    <definedName name="________a8" hidden="1">{"revsale",#N/A,FALSE,"REV-ยุพดี"}</definedName>
    <definedName name="________a9" localSheetId="18" hidden="1">{"revable",#N/A,FALSE,"REVABLE"}</definedName>
    <definedName name="________a9" localSheetId="0" hidden="1">{"revable",#N/A,FALSE,"REVABLE"}</definedName>
    <definedName name="________a9" hidden="1">{"revable",#N/A,FALSE,"REVABLE"}</definedName>
    <definedName name="________apr2" localSheetId="18" hidden="1">{"'Model'!$A$1:$N$53"}</definedName>
    <definedName name="________apr2" hidden="1">{"'Model'!$A$1:$N$53"}</definedName>
    <definedName name="________b1" localSheetId="18" hidden="1">{"'Sheet1'!$L$16"}</definedName>
    <definedName name="________b1" hidden="1">{"'Sheet1'!$L$16"}</definedName>
    <definedName name="________b3" localSheetId="18" hidden="1">{"'Sheet1'!$L$16"}</definedName>
    <definedName name="________b3" hidden="1">{"'Sheet1'!$L$16"}</definedName>
    <definedName name="________b4" localSheetId="18" hidden="1">{"'Sheet1'!$L$16"}</definedName>
    <definedName name="________b4" hidden="1">{"'Sheet1'!$L$16"}</definedName>
    <definedName name="________b5" localSheetId="18" hidden="1">{"'Sheet1'!$L$16"}</definedName>
    <definedName name="________b5" hidden="1">{"'Sheet1'!$L$16"}</definedName>
    <definedName name="________b6" localSheetId="18" hidden="1">{"'Sheet1'!$L$16"}</definedName>
    <definedName name="________b6" hidden="1">{"'Sheet1'!$L$16"}</definedName>
    <definedName name="________b7" localSheetId="18" hidden="1">{#N/A,#N/A,FALSE,"Chi tiÆt"}</definedName>
    <definedName name="________b7" hidden="1">{#N/A,#N/A,FALSE,"Chi tiÆt"}</definedName>
    <definedName name="________e1" localSheetId="18" hidden="1">{"'Sheet1'!$L$16"}</definedName>
    <definedName name="________e1" hidden="1">{"'Sheet1'!$L$16"}</definedName>
    <definedName name="________e2" localSheetId="18" hidden="1">{"'Sheet1'!$L$16"}</definedName>
    <definedName name="________e2" hidden="1">{"'Sheet1'!$L$16"}</definedName>
    <definedName name="________e4" localSheetId="18" hidden="1">{"'Sheet1'!$L$16"}</definedName>
    <definedName name="________e4" hidden="1">{"'Sheet1'!$L$16"}</definedName>
    <definedName name="________e5" localSheetId="18" hidden="1">{"'Sheet1'!$L$16"}</definedName>
    <definedName name="________e5" hidden="1">{"'Sheet1'!$L$16"}</definedName>
    <definedName name="________e6" localSheetId="18" hidden="1">{"'Sheet1'!$L$16"}</definedName>
    <definedName name="________e6" hidden="1">{"'Sheet1'!$L$16"}</definedName>
    <definedName name="________e7" localSheetId="18" hidden="1">{"'Sheet1'!$L$16"}</definedName>
    <definedName name="________e7" hidden="1">{"'Sheet1'!$L$16"}</definedName>
    <definedName name="________e8" localSheetId="18" hidden="1">{#N/A,#N/A,FALSE,"Chi tiÆt"}</definedName>
    <definedName name="________e8" hidden="1">{#N/A,#N/A,FALSE,"Chi tiÆt"}</definedName>
    <definedName name="________f1" localSheetId="18" hidden="1">{"'Sheet1'!$L$16"}</definedName>
    <definedName name="________f1" hidden="1">{"'Sheet1'!$L$16"}</definedName>
    <definedName name="________f2" localSheetId="18" hidden="1">{"'Sheet1'!$L$16"}</definedName>
    <definedName name="________f2" hidden="1">{"'Sheet1'!$L$16"}</definedName>
    <definedName name="________f3" localSheetId="18" hidden="1">{"'Sheet1'!$L$16"}</definedName>
    <definedName name="________f3" hidden="1">{"'Sheet1'!$L$16"}</definedName>
    <definedName name="________f4" localSheetId="18" hidden="1">{"'Sheet1'!$L$16"}</definedName>
    <definedName name="________f4" hidden="1">{"'Sheet1'!$L$16"}</definedName>
    <definedName name="________f5" localSheetId="18" hidden="1">{"'Sheet1'!$L$16"}</definedName>
    <definedName name="________f5" hidden="1">{"'Sheet1'!$L$16"}</definedName>
    <definedName name="________f6" localSheetId="18" hidden="1">{"'Sheet1'!$L$16"}</definedName>
    <definedName name="________f6" hidden="1">{"'Sheet1'!$L$16"}</definedName>
    <definedName name="________f7" localSheetId="18" hidden="1">{"'Sheet1'!$L$16"}</definedName>
    <definedName name="________f7" hidden="1">{"'Sheet1'!$L$16"}</definedName>
    <definedName name="________f8" localSheetId="18" hidden="1">{#N/A,#N/A,FALSE,"Chi tiÆt"}</definedName>
    <definedName name="________f8" hidden="1">{#N/A,#N/A,FALSE,"Chi tiÆt"}</definedName>
    <definedName name="________f9" localSheetId="18" hidden="1">{#N/A,#N/A,FALSE,"Chi tiÆt"}</definedName>
    <definedName name="________f9" hidden="1">{#N/A,#N/A,FALSE,"Chi tiÆt"}</definedName>
    <definedName name="________FOH2006" localSheetId="18" hidden="1">{#N/A,#N/A,FALSE,"TL";#N/A,#N/A,FALSE,"KK";#N/A,#N/A,FALSE,"TS";#N/A,#N/A,FALSE,"KW";#N/A,#N/A,FALSE,"LP";#N/A,#N/A,FALSE,"DC"}</definedName>
    <definedName name="________FOH2006" localSheetId="0" hidden="1">{#N/A,#N/A,FALSE,"TL";#N/A,#N/A,FALSE,"KK";#N/A,#N/A,FALSE,"TS";#N/A,#N/A,FALSE,"KW";#N/A,#N/A,FALSE,"LP";#N/A,#N/A,FALSE,"DC"}</definedName>
    <definedName name="________FOH2006" hidden="1">{#N/A,#N/A,FALSE,"TL";#N/A,#N/A,FALSE,"KK";#N/A,#N/A,FALSE,"TS";#N/A,#N/A,FALSE,"KW";#N/A,#N/A,FALSE,"LP";#N/A,#N/A,FALSE,"DC"}</definedName>
    <definedName name="________gw04" localSheetId="18" hidden="1">{#N/A,#N/A,FALSE,"Aging Summary";#N/A,#N/A,FALSE,"Ratio Analysis";#N/A,#N/A,FALSE,"Test 120 Day Accts";#N/A,#N/A,FALSE,"Tickmarks"}</definedName>
    <definedName name="________gw04" hidden="1">{#N/A,#N/A,FALSE,"Aging Summary";#N/A,#N/A,FALSE,"Ratio Analysis";#N/A,#N/A,FALSE,"Test 120 Day Accts";#N/A,#N/A,FALSE,"Tickmarks"}</definedName>
    <definedName name="____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localSheetId="18" hidden="1">{"'Model'!$A$1:$N$53"}</definedName>
    <definedName name="________h2" hidden="1">{"'Model'!$A$1:$N$53"}</definedName>
    <definedName name="________KP300" localSheetId="18" hidden="1">{"level1",#N/A,FALSE,"1_LEV";"LEVEL1",#N/A,FALSE,"1_LEV"}</definedName>
    <definedName name="________KP300" hidden="1">{"level1",#N/A,FALSE,"1_LEV";"LEVEL1",#N/A,FALSE,"1_LEV"}</definedName>
    <definedName name="________Lan1" localSheetId="18" hidden="1">{"'Sheet1'!$L$16"}</definedName>
    <definedName name="________Lan1" hidden="1">{"'Sheet1'!$L$16"}</definedName>
    <definedName name="________LAN3" localSheetId="18" hidden="1">{"'Sheet1'!$L$16"}</definedName>
    <definedName name="________LAN3" hidden="1">{"'Sheet1'!$L$16"}</definedName>
    <definedName name="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localSheetId="18" hidden="1">{#N/A,#N/A,FALSE,"RECONC'L";#N/A,#N/A,FALSE,"WORKCAP";#N/A,#N/A,FALSE,"RECONC'L";#N/A,#N/A,FALSE,"ACCRUAL";#N/A,#N/A,FALSE,"DEBTOR";#N/A,#N/A,FALSE,"ADMALLOC"}</definedName>
    <definedName name="________n1" hidden="1">{#N/A,#N/A,FALSE,"RECONC'L";#N/A,#N/A,FALSE,"WORKCAP";#N/A,#N/A,FALSE,"RECONC'L";#N/A,#N/A,FALSE,"ACCRUAL";#N/A,#N/A,FALSE,"DEBTOR";#N/A,#N/A,FALSE,"ADMALLOC"}</definedName>
    <definedName name="________nat2" localSheetId="18" hidden="1">{#N/A,#N/A,FALSE,"Assessment";#N/A,#N/A,FALSE,"Staffing";#N/A,#N/A,FALSE,"Hires";#N/A,#N/A,FALSE,"Assumptions"}</definedName>
    <definedName name="________nat2" hidden="1">{#N/A,#N/A,FALSE,"Assessment";#N/A,#N/A,FALSE,"Staffing";#N/A,#N/A,FALSE,"Hires";#N/A,#N/A,FALSE,"Assumptions"}</definedName>
    <definedName name="________nat3" localSheetId="18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localSheetId="18" hidden="1">{"'Sheet1'!$L$16"}</definedName>
    <definedName name="________NSO2" hidden="1">{"'Sheet1'!$L$16"}</definedName>
    <definedName name="________NSO2_1" localSheetId="18" hidden="1">{"'Sheet1'!$L$16"}</definedName>
    <definedName name="________NSO2_1" hidden="1">{"'Sheet1'!$L$16"}</definedName>
    <definedName name="________NSO2_2" localSheetId="18" hidden="1">{"'Sheet1'!$L$16"}</definedName>
    <definedName name="________NSO2_2" hidden="1">{"'Sheet1'!$L$16"}</definedName>
    <definedName name="________q2" localSheetId="18" hidden="1">{"PAGE 1",#N/A,FALSE,"หน้า 1,2,3";"PAGE 2",#N/A,FALSE,"หน้า 1,2,3";"PAGE 3",#N/A,FALSE,"หน้า 1,2,3"}</definedName>
    <definedName name="________q2" hidden="1">{"PAGE 1",#N/A,FALSE,"หน้า 1,2,3";"PAGE 2",#N/A,FALSE,"หน้า 1,2,3";"PAGE 3",#N/A,FALSE,"หน้า 1,2,3"}</definedName>
    <definedName name="________q3" localSheetId="18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localSheetId="18" hidden="1">{"'Sheet1'!$L$16"}</definedName>
    <definedName name="________s1" hidden="1">{"'Sheet1'!$L$16"}</definedName>
    <definedName name="________s2" localSheetId="18" hidden="1">{"'Sheet1'!$L$16"}</definedName>
    <definedName name="________s2" hidden="1">{"'Sheet1'!$L$16"}</definedName>
    <definedName name="________s3" localSheetId="18" hidden="1">{"'Sheet1'!$L$16"}</definedName>
    <definedName name="________s3" hidden="1">{"'Sheet1'!$L$16"}</definedName>
    <definedName name="________s4" localSheetId="18" hidden="1">{"'Sheet1'!$L$16"}</definedName>
    <definedName name="________s4" hidden="1">{"'Sheet1'!$L$16"}</definedName>
    <definedName name="________s5" localSheetId="18" hidden="1">{"'Sheet1'!$L$16"}</definedName>
    <definedName name="________s5" hidden="1">{"'Sheet1'!$L$16"}</definedName>
    <definedName name="________s6" localSheetId="18" hidden="1">{#N/A,#N/A,FALSE,"Chi tiÆt"}</definedName>
    <definedName name="________s6" hidden="1">{#N/A,#N/A,FALSE,"Chi tiÆt"}</definedName>
    <definedName name="________s7" localSheetId="18" hidden="1">{#N/A,#N/A,FALSE,"Chi tiÆt"}</definedName>
    <definedName name="________s7" hidden="1">{#N/A,#N/A,FALSE,"Chi tiÆt"}</definedName>
    <definedName name="________T01" hidden="1">#REF!</definedName>
    <definedName name="________t2" localSheetId="18" hidden="1">{"'Sheet1'!$L$16"}</definedName>
    <definedName name="________t2" hidden="1">{"'Sheet1'!$L$16"}</definedName>
    <definedName name="________t4" localSheetId="18" hidden="1">{"'Sheet1'!$L$16"}</definedName>
    <definedName name="________t4" hidden="1">{"'Sheet1'!$L$16"}</definedName>
    <definedName name="________t5" localSheetId="18" hidden="1">{"'Sheet1'!$L$16"}</definedName>
    <definedName name="________t5" hidden="1">{"'Sheet1'!$L$16"}</definedName>
    <definedName name="________t6" localSheetId="18" hidden="1">{"'Sheet1'!$L$16"}</definedName>
    <definedName name="________t6" hidden="1">{"'Sheet1'!$L$16"}</definedName>
    <definedName name="________t7" localSheetId="18" hidden="1">{"'Sheet1'!$L$16"}</definedName>
    <definedName name="________t7" hidden="1">{"'Sheet1'!$L$16"}</definedName>
    <definedName name="________t8" localSheetId="18" hidden="1">{#N/A,#N/A,FALSE,"Chi tiÆt"}</definedName>
    <definedName name="________t8" hidden="1">{#N/A,#N/A,FALSE,"Chi tiÆt"}</definedName>
    <definedName name="________t9" localSheetId="18" hidden="1">{"'Sheet1'!$L$16"}</definedName>
    <definedName name="________t9" hidden="1">{"'Sheet1'!$L$16"}</definedName>
    <definedName name="________w2" localSheetId="18" hidden="1">{"'Sheet1'!$L$16"}</definedName>
    <definedName name="________w2" hidden="1">{"'Sheet1'!$L$16"}</definedName>
    <definedName name="________w3" localSheetId="18" hidden="1">{"'Sheet1'!$L$16"}</definedName>
    <definedName name="________w3" hidden="1">{"'Sheet1'!$L$16"}</definedName>
    <definedName name="________w4" localSheetId="18" hidden="1">{"'Sheet1'!$L$16"}</definedName>
    <definedName name="________w4" hidden="1">{"'Sheet1'!$L$16"}</definedName>
    <definedName name="________w5" localSheetId="18" hidden="1">{"'Sheet1'!$L$16"}</definedName>
    <definedName name="________w5" hidden="1">{"'Sheet1'!$L$16"}</definedName>
    <definedName name="________w6" localSheetId="18" hidden="1">{#N/A,#N/A,FALSE,"Chi tiÆt"}</definedName>
    <definedName name="________w6" hidden="1">{#N/A,#N/A,FALSE,"Chi tiÆt"}</definedName>
    <definedName name="________w8" localSheetId="18" hidden="1">{"'Sheet1'!$L$16"}</definedName>
    <definedName name="________w8" hidden="1">{"'Sheet1'!$L$16"}</definedName>
    <definedName name="________w9" localSheetId="18" hidden="1">{"'Sheet1'!$L$16"}</definedName>
    <definedName name="________w9" hidden="1">{"'Sheet1'!$L$16"}</definedName>
    <definedName name="________xlfn.BAHTTEXT" hidden="1">#NAME?</definedName>
    <definedName name="_______a1" localSheetId="18" hidden="1">{"cashflow",#N/A,FALSE,"CASHFLOW "}</definedName>
    <definedName name="_______a1" localSheetId="0" hidden="1">{"cashflow",#N/A,FALSE,"CASHFLOW "}</definedName>
    <definedName name="_______a1" hidden="1">{"cashflow",#N/A,FALSE,"CASHFLOW "}</definedName>
    <definedName name="_______a1_1" localSheetId="18" hidden="1">{"'Sheet1'!$L$16"}</definedName>
    <definedName name="_______a1_1" hidden="1">{"'Sheet1'!$L$16"}</definedName>
    <definedName name="_______a1_2" localSheetId="18" hidden="1">{"'Sheet1'!$L$16"}</definedName>
    <definedName name="_______a1_2" hidden="1">{"'Sheet1'!$L$16"}</definedName>
    <definedName name="_______a10" localSheetId="18" hidden="1">{"sales",#N/A,FALSE,"SALES"}</definedName>
    <definedName name="_______a10" localSheetId="0" hidden="1">{"sales",#N/A,FALSE,"SALES"}</definedName>
    <definedName name="_______a10" hidden="1">{"sales",#N/A,FALSE,"SALES"}</definedName>
    <definedName name="_______a11" localSheetId="18" hidden="1">{"'Sheet1'!$L$16"}</definedName>
    <definedName name="_______a11" hidden="1">{"'Sheet1'!$L$16"}</definedName>
    <definedName name="_______a12" localSheetId="18" hidden="1">{"'Sheet1'!$L$16"}</definedName>
    <definedName name="_______a12" hidden="1">{"'Sheet1'!$L$16"}</definedName>
    <definedName name="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localSheetId="18" hidden="1">{"revable",#N/A,FALSE,"REVABLE"}</definedName>
    <definedName name="_______a133" hidden="1">{"revable",#N/A,FALSE,"REVABLE"}</definedName>
    <definedName name="_______a2" localSheetId="18" hidden="1">{"hilight1",#N/A,FALSE,"HILIGHT1"}</definedName>
    <definedName name="_______a2" localSheetId="0" hidden="1">{"hilight1",#N/A,FALSE,"HILIGHT1"}</definedName>
    <definedName name="_______a2" hidden="1">{"hilight1",#N/A,FALSE,"HILIGHT1"}</definedName>
    <definedName name="_______a3" localSheetId="18" hidden="1">{"hilight2",#N/A,FALSE,"HILIGHT2"}</definedName>
    <definedName name="_______a3" localSheetId="0" hidden="1">{"hilight2",#N/A,FALSE,"HILIGHT2"}</definedName>
    <definedName name="_______a3" hidden="1">{"hilight2",#N/A,FALSE,"HILIGHT2"}</definedName>
    <definedName name="_______a4" localSheetId="18" hidden="1">{"hilight3",#N/A,FALSE,"HILIGHT3"}</definedName>
    <definedName name="_______a4" localSheetId="0" hidden="1">{"hilight3",#N/A,FALSE,"HILIGHT3"}</definedName>
    <definedName name="_______a4" hidden="1">{"hilight3",#N/A,FALSE,"HILIGHT3"}</definedName>
    <definedName name="_______a5" localSheetId="18" hidden="1">{"income",#N/A,FALSE,"INCOME"}</definedName>
    <definedName name="_______a5" localSheetId="0" hidden="1">{"income",#N/A,FALSE,"INCOME"}</definedName>
    <definedName name="_______a5" hidden="1">{"income",#N/A,FALSE,"INCOME"}</definedName>
    <definedName name="_______a51" localSheetId="18" hidden="1">{"income",#N/A,FALSE,"INCOME"}</definedName>
    <definedName name="_______a51" hidden="1">{"income",#N/A,FALSE,"INCOME"}</definedName>
    <definedName name="_______a6" localSheetId="18" hidden="1">{"index",#N/A,FALSE,"INDEX"}</definedName>
    <definedName name="_______a6" localSheetId="0" hidden="1">{"index",#N/A,FALSE,"INDEX"}</definedName>
    <definedName name="_______a6" hidden="1">{"index",#N/A,FALSE,"INDEX"}</definedName>
    <definedName name="_______a7" localSheetId="18" hidden="1">{"PRINT_EST",#N/A,FALSE,"ESTMON"}</definedName>
    <definedName name="_______a7" localSheetId="0" hidden="1">{"PRINT_EST",#N/A,FALSE,"ESTMON"}</definedName>
    <definedName name="_______a7" hidden="1">{"PRINT_EST",#N/A,FALSE,"ESTMON"}</definedName>
    <definedName name="_______a8" localSheetId="18" hidden="1">{"revsale",#N/A,FALSE,"REV-ยุพดี"}</definedName>
    <definedName name="_______a8" localSheetId="0" hidden="1">{"revsale",#N/A,FALSE,"REV-ยุพดี"}</definedName>
    <definedName name="_______a8" hidden="1">{"revsale",#N/A,FALSE,"REV-ยุพดี"}</definedName>
    <definedName name="_______a9" localSheetId="18" hidden="1">{"revable",#N/A,FALSE,"REVABLE"}</definedName>
    <definedName name="_______a9" localSheetId="0" hidden="1">{"revable",#N/A,FALSE,"REVABLE"}</definedName>
    <definedName name="_______a9" hidden="1">{"revable",#N/A,FALSE,"REVABLE"}</definedName>
    <definedName name="_______apr2" localSheetId="18" hidden="1">{"'Model'!$A$1:$N$53"}</definedName>
    <definedName name="_______apr2" hidden="1">{"'Model'!$A$1:$N$53"}</definedName>
    <definedName name="_______b1" localSheetId="18" hidden="1">{"'Sheet1'!$L$16"}</definedName>
    <definedName name="_______b1" hidden="1">{"'Sheet1'!$L$16"}</definedName>
    <definedName name="_______b3" localSheetId="18" hidden="1">{"'Sheet1'!$L$16"}</definedName>
    <definedName name="_______b3" hidden="1">{"'Sheet1'!$L$16"}</definedName>
    <definedName name="_______b4" localSheetId="18" hidden="1">{"'Sheet1'!$L$16"}</definedName>
    <definedName name="_______b4" hidden="1">{"'Sheet1'!$L$16"}</definedName>
    <definedName name="_______b5" localSheetId="18" hidden="1">{"'Sheet1'!$L$16"}</definedName>
    <definedName name="_______b5" hidden="1">{"'Sheet1'!$L$16"}</definedName>
    <definedName name="_______b6" localSheetId="18" hidden="1">{"'Sheet1'!$L$16"}</definedName>
    <definedName name="_______b6" hidden="1">{"'Sheet1'!$L$16"}</definedName>
    <definedName name="_______b7" localSheetId="18" hidden="1">{#N/A,#N/A,FALSE,"Chi tiÆt"}</definedName>
    <definedName name="_______b7" hidden="1">{#N/A,#N/A,FALSE,"Chi tiÆt"}</definedName>
    <definedName name="_______e1" localSheetId="18" hidden="1">{"'Sheet1'!$L$16"}</definedName>
    <definedName name="_______e1" hidden="1">{"'Sheet1'!$L$16"}</definedName>
    <definedName name="_______e2" localSheetId="18" hidden="1">{"'Sheet1'!$L$16"}</definedName>
    <definedName name="_______e2" hidden="1">{"'Sheet1'!$L$16"}</definedName>
    <definedName name="_______e4" localSheetId="18" hidden="1">{"'Sheet1'!$L$16"}</definedName>
    <definedName name="_______e4" hidden="1">{"'Sheet1'!$L$16"}</definedName>
    <definedName name="_______e5" localSheetId="18" hidden="1">{"'Sheet1'!$L$16"}</definedName>
    <definedName name="_______e5" hidden="1">{"'Sheet1'!$L$16"}</definedName>
    <definedName name="_______e6" localSheetId="18" hidden="1">{"'Sheet1'!$L$16"}</definedName>
    <definedName name="_______e6" hidden="1">{"'Sheet1'!$L$16"}</definedName>
    <definedName name="_______e7" localSheetId="18" hidden="1">{"'Sheet1'!$L$16"}</definedName>
    <definedName name="_______e7" hidden="1">{"'Sheet1'!$L$16"}</definedName>
    <definedName name="_______e8" localSheetId="18" hidden="1">{#N/A,#N/A,FALSE,"Chi tiÆt"}</definedName>
    <definedName name="_______e8" hidden="1">{#N/A,#N/A,FALSE,"Chi tiÆt"}</definedName>
    <definedName name="_______F1" localSheetId="18" hidden="1">{"'Sheet1'!$L$16"}</definedName>
    <definedName name="_______F1" hidden="1">{"'Sheet1'!$L$16"}</definedName>
    <definedName name="_______f2" localSheetId="18" hidden="1">{"'Sheet1'!$L$16"}</definedName>
    <definedName name="_______f2" hidden="1">{"'Sheet1'!$L$16"}</definedName>
    <definedName name="_______f3" localSheetId="18" hidden="1">{"'Sheet1'!$L$16"}</definedName>
    <definedName name="_______f3" hidden="1">{"'Sheet1'!$L$16"}</definedName>
    <definedName name="_______f4" localSheetId="18" hidden="1">{"'Sheet1'!$L$16"}</definedName>
    <definedName name="_______f4" hidden="1">{"'Sheet1'!$L$16"}</definedName>
    <definedName name="_______f5" localSheetId="18" hidden="1">{"'Sheet1'!$L$16"}</definedName>
    <definedName name="_______f5" hidden="1">{"'Sheet1'!$L$16"}</definedName>
    <definedName name="_______f6" localSheetId="18" hidden="1">{"'Sheet1'!$L$16"}</definedName>
    <definedName name="_______f6" hidden="1">{"'Sheet1'!$L$16"}</definedName>
    <definedName name="_______f7" localSheetId="18" hidden="1">{"'Sheet1'!$L$16"}</definedName>
    <definedName name="_______f7" hidden="1">{"'Sheet1'!$L$16"}</definedName>
    <definedName name="_______f8" localSheetId="18" hidden="1">{#N/A,#N/A,FALSE,"Chi tiÆt"}</definedName>
    <definedName name="_______f8" hidden="1">{#N/A,#N/A,FALSE,"Chi tiÆt"}</definedName>
    <definedName name="_______f9" localSheetId="18" hidden="1">{#N/A,#N/A,FALSE,"Chi tiÆt"}</definedName>
    <definedName name="_______f9" hidden="1">{#N/A,#N/A,FALSE,"Chi tiÆt"}</definedName>
    <definedName name="_______fd4" hidden="1">#REF!</definedName>
    <definedName name="_______FOH2006" localSheetId="18" hidden="1">{#N/A,#N/A,FALSE,"TL";#N/A,#N/A,FALSE,"KK";#N/A,#N/A,FALSE,"TS";#N/A,#N/A,FALSE,"KW";#N/A,#N/A,FALSE,"LP";#N/A,#N/A,FALSE,"DC"}</definedName>
    <definedName name="_______FOH2006" localSheetId="0" hidden="1">{#N/A,#N/A,FALSE,"TL";#N/A,#N/A,FALSE,"KK";#N/A,#N/A,FALSE,"TS";#N/A,#N/A,FALSE,"KW";#N/A,#N/A,FALSE,"LP";#N/A,#N/A,FALSE,"DC"}</definedName>
    <definedName name="_______FOH2006" hidden="1">{#N/A,#N/A,FALSE,"TL";#N/A,#N/A,FALSE,"KK";#N/A,#N/A,FALSE,"TS";#N/A,#N/A,FALSE,"KW";#N/A,#N/A,FALSE,"LP";#N/A,#N/A,FALSE,"DC"}</definedName>
    <definedName name="_______gw04" localSheetId="18" hidden="1">{#N/A,#N/A,FALSE,"Aging Summary";#N/A,#N/A,FALSE,"Ratio Analysis";#N/A,#N/A,FALSE,"Test 120 Day Accts";#N/A,#N/A,FALSE,"Tickmarks"}</definedName>
    <definedName name="_______gw04" hidden="1">{#N/A,#N/A,FALSE,"Aging Summary";#N/A,#N/A,FALSE,"Ratio Analysis";#N/A,#N/A,FALSE,"Test 120 Day Accts";#N/A,#N/A,FALSE,"Tickmarks"}</definedName>
    <definedName name="___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localSheetId="18" hidden="1">{"'Model'!$A$1:$N$53"}</definedName>
    <definedName name="_______h2" hidden="1">{"'Model'!$A$1:$N$53"}</definedName>
    <definedName name="_______huy1" localSheetId="18" hidden="1">{"'Sheet1'!$L$16"}</definedName>
    <definedName name="_______huy1" hidden="1">{"'Sheet1'!$L$16"}</definedName>
    <definedName name="_______KP300" localSheetId="18" hidden="1">{"level1",#N/A,FALSE,"1_LEV";"LEVEL1",#N/A,FALSE,"1_LEV"}</definedName>
    <definedName name="_______KP300" hidden="1">{"level1",#N/A,FALSE,"1_LEV";"LEVEL1",#N/A,FALSE,"1_LEV"}</definedName>
    <definedName name="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localSheetId="18" hidden="1">{#N/A,#N/A,FALSE,"RECONC'L";#N/A,#N/A,FALSE,"WORKCAP";#N/A,#N/A,FALSE,"RECONC'L";#N/A,#N/A,FALSE,"ACCRUAL";#N/A,#N/A,FALSE,"DEBTOR";#N/A,#N/A,FALSE,"ADMALLOC"}</definedName>
    <definedName name="_______n1" hidden="1">{#N/A,#N/A,FALSE,"RECONC'L";#N/A,#N/A,FALSE,"WORKCAP";#N/A,#N/A,FALSE,"RECONC'L";#N/A,#N/A,FALSE,"ACCRUAL";#N/A,#N/A,FALSE,"DEBTOR";#N/A,#N/A,FALSE,"ADMALLOC"}</definedName>
    <definedName name="_______nat2" localSheetId="18" hidden="1">{#N/A,#N/A,FALSE,"Assessment";#N/A,#N/A,FALSE,"Staffing";#N/A,#N/A,FALSE,"Hires";#N/A,#N/A,FALSE,"Assumptions"}</definedName>
    <definedName name="_______nat2" hidden="1">{#N/A,#N/A,FALSE,"Assessment";#N/A,#N/A,FALSE,"Staffing";#N/A,#N/A,FALSE,"Hires";#N/A,#N/A,FALSE,"Assumptions"}</definedName>
    <definedName name="_______nat3" localSheetId="18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localSheetId="18" hidden="1">{"'Sheet1'!$L$16"}</definedName>
    <definedName name="_______NSO2" hidden="1">{"'Sheet1'!$L$16"}</definedName>
    <definedName name="_______NSO2_1" localSheetId="18" hidden="1">{"'Sheet1'!$L$16"}</definedName>
    <definedName name="_______NSO2_1" hidden="1">{"'Sheet1'!$L$16"}</definedName>
    <definedName name="_______NSO2_2" localSheetId="18" hidden="1">{"'Sheet1'!$L$16"}</definedName>
    <definedName name="_______NSO2_2" hidden="1">{"'Sheet1'!$L$16"}</definedName>
    <definedName name="_______NSO3" localSheetId="18" hidden="1">{"'Sheet1'!$L$16"}</definedName>
    <definedName name="_______NSO3" hidden="1">{"'Sheet1'!$L$16"}</definedName>
    <definedName name="_______PA3" localSheetId="18" hidden="1">{"'Sheet1'!$L$16"}</definedName>
    <definedName name="_______PA3" hidden="1">{"'Sheet1'!$L$16"}</definedName>
    <definedName name="_______q2" localSheetId="18" hidden="1">{"PAGE 1",#N/A,FALSE,"หน้า 1,2,3";"PAGE 2",#N/A,FALSE,"หน้า 1,2,3";"PAGE 3",#N/A,FALSE,"หน้า 1,2,3"}</definedName>
    <definedName name="_______q2" hidden="1">{"PAGE 1",#N/A,FALSE,"หน้า 1,2,3";"PAGE 2",#N/A,FALSE,"หน้า 1,2,3";"PAGE 3",#N/A,FALSE,"หน้า 1,2,3"}</definedName>
    <definedName name="_______q3" localSheetId="18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localSheetId="18" hidden="1">{"'Sheet1'!$L$16"}</definedName>
    <definedName name="_______s1" hidden="1">{"'Sheet1'!$L$16"}</definedName>
    <definedName name="_______s2" localSheetId="18" hidden="1">{"'Sheet1'!$L$16"}</definedName>
    <definedName name="_______s2" hidden="1">{"'Sheet1'!$L$16"}</definedName>
    <definedName name="_______s3" localSheetId="18" hidden="1">{"'Sheet1'!$L$16"}</definedName>
    <definedName name="_______s3" hidden="1">{"'Sheet1'!$L$16"}</definedName>
    <definedName name="_______s4" localSheetId="18" hidden="1">{"'Sheet1'!$L$16"}</definedName>
    <definedName name="_______s4" hidden="1">{"'Sheet1'!$L$16"}</definedName>
    <definedName name="_______s5" localSheetId="18" hidden="1">{"'Sheet1'!$L$16"}</definedName>
    <definedName name="_______s5" hidden="1">{"'Sheet1'!$L$16"}</definedName>
    <definedName name="_______s6" localSheetId="18" hidden="1">{#N/A,#N/A,FALSE,"Chi tiÆt"}</definedName>
    <definedName name="_______s6" hidden="1">{#N/A,#N/A,FALSE,"Chi tiÆt"}</definedName>
    <definedName name="_______s7" localSheetId="18" hidden="1">{#N/A,#N/A,FALSE,"Chi tiÆt"}</definedName>
    <definedName name="_______s7" hidden="1">{#N/A,#N/A,FALSE,"Chi tiÆt"}</definedName>
    <definedName name="_______T01" hidden="1">#REF!</definedName>
    <definedName name="_______t2" localSheetId="18" hidden="1">{"'Sheet1'!$L$16"}</definedName>
    <definedName name="_______t2" hidden="1">{"'Sheet1'!$L$16"}</definedName>
    <definedName name="_______t4" localSheetId="18" hidden="1">{"'Sheet1'!$L$16"}</definedName>
    <definedName name="_______t4" hidden="1">{"'Sheet1'!$L$16"}</definedName>
    <definedName name="_______t5" localSheetId="18" hidden="1">{"'Sheet1'!$L$16"}</definedName>
    <definedName name="_______t5" hidden="1">{"'Sheet1'!$L$16"}</definedName>
    <definedName name="_______t6" localSheetId="18" hidden="1">{"'Sheet1'!$L$16"}</definedName>
    <definedName name="_______t6" hidden="1">{"'Sheet1'!$L$16"}</definedName>
    <definedName name="_______t7" localSheetId="18" hidden="1">{"'Sheet1'!$L$16"}</definedName>
    <definedName name="_______t7" hidden="1">{"'Sheet1'!$L$16"}</definedName>
    <definedName name="_______t8" localSheetId="18" hidden="1">{#N/A,#N/A,FALSE,"Chi tiÆt"}</definedName>
    <definedName name="_______t8" hidden="1">{#N/A,#N/A,FALSE,"Chi tiÆt"}</definedName>
    <definedName name="_______t9" localSheetId="18" hidden="1">{"'Sheet1'!$L$16"}</definedName>
    <definedName name="_______t9" hidden="1">{"'Sheet1'!$L$16"}</definedName>
    <definedName name="_______w2" localSheetId="18" hidden="1">{"'Sheet1'!$L$16"}</definedName>
    <definedName name="_______w2" hidden="1">{"'Sheet1'!$L$16"}</definedName>
    <definedName name="_______w3" localSheetId="18" hidden="1">{"'Sheet1'!$L$16"}</definedName>
    <definedName name="_______w3" hidden="1">{"'Sheet1'!$L$16"}</definedName>
    <definedName name="_______w4" localSheetId="18" hidden="1">{"'Sheet1'!$L$16"}</definedName>
    <definedName name="_______w4" hidden="1">{"'Sheet1'!$L$16"}</definedName>
    <definedName name="_______w5" localSheetId="18" hidden="1">{"'Sheet1'!$L$16"}</definedName>
    <definedName name="_______w5" hidden="1">{"'Sheet1'!$L$16"}</definedName>
    <definedName name="_______w6" localSheetId="18" hidden="1">{#N/A,#N/A,FALSE,"Chi tiÆt"}</definedName>
    <definedName name="_______w6" hidden="1">{#N/A,#N/A,FALSE,"Chi tiÆt"}</definedName>
    <definedName name="_______w8" localSheetId="18" hidden="1">{"'Sheet1'!$L$16"}</definedName>
    <definedName name="_______w8" hidden="1">{"'Sheet1'!$L$16"}</definedName>
    <definedName name="_______w9" localSheetId="18" hidden="1">{"'Sheet1'!$L$16"}</definedName>
    <definedName name="_______w9" hidden="1">{"'Sheet1'!$L$16"}</definedName>
    <definedName name="_______xlfn.BAHTTEXT" hidden="1">#NAME?</definedName>
    <definedName name="_______Z1" localSheetId="18" hidden="1">{"'ตัวอย่าง'!$A$1:$O$21"}</definedName>
    <definedName name="_______Z1" localSheetId="0" hidden="1">{"'ตัวอย่าง'!$A$1:$O$21"}</definedName>
    <definedName name="_______Z1" hidden="1">{"'ตัวอย่าง'!$A$1:$O$21"}</definedName>
    <definedName name="______a1" localSheetId="18" hidden="1">{"cashflow",#N/A,FALSE,"CASHFLOW "}</definedName>
    <definedName name="______a1" localSheetId="0" hidden="1">{"cashflow",#N/A,FALSE,"CASHFLOW "}</definedName>
    <definedName name="______a1" hidden="1">{"cashflow",#N/A,FALSE,"CASHFLOW "}</definedName>
    <definedName name="______a1_1" localSheetId="18" hidden="1">{"'Sheet1'!$L$16"}</definedName>
    <definedName name="______a1_1" hidden="1">{"'Sheet1'!$L$16"}</definedName>
    <definedName name="______a1_2" localSheetId="18" hidden="1">{"'Sheet1'!$L$16"}</definedName>
    <definedName name="______a1_2" hidden="1">{"'Sheet1'!$L$16"}</definedName>
    <definedName name="______a10" localSheetId="18" hidden="1">{"sales",#N/A,FALSE,"SALES"}</definedName>
    <definedName name="______a10" localSheetId="0" hidden="1">{"sales",#N/A,FALSE,"SALES"}</definedName>
    <definedName name="______a10" hidden="1">{"sales",#N/A,FALSE,"SALES"}</definedName>
    <definedName name="______a11" localSheetId="18" hidden="1">{"'Sheet1'!$L$16"}</definedName>
    <definedName name="______a11" hidden="1">{"'Sheet1'!$L$16"}</definedName>
    <definedName name="______a12" localSheetId="18" hidden="1">{"'Sheet1'!$L$16"}</definedName>
    <definedName name="______a12" hidden="1">{"'Sheet1'!$L$16"}</definedName>
    <definedName name="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localSheetId="18" hidden="1">{"revable",#N/A,FALSE,"REVABLE"}</definedName>
    <definedName name="______a133" hidden="1">{"revable",#N/A,FALSE,"REVABLE"}</definedName>
    <definedName name="______a2" localSheetId="18" hidden="1">{"hilight1",#N/A,FALSE,"HILIGHT1"}</definedName>
    <definedName name="______a2" localSheetId="0" hidden="1">{"hilight1",#N/A,FALSE,"HILIGHT1"}</definedName>
    <definedName name="______a2" hidden="1">{"hilight1",#N/A,FALSE,"HILIGHT1"}</definedName>
    <definedName name="______a3" localSheetId="18" hidden="1">{"hilight2",#N/A,FALSE,"HILIGHT2"}</definedName>
    <definedName name="______a3" localSheetId="0" hidden="1">{"hilight2",#N/A,FALSE,"HILIGHT2"}</definedName>
    <definedName name="______a3" hidden="1">{"hilight2",#N/A,FALSE,"HILIGHT2"}</definedName>
    <definedName name="______a4" localSheetId="18" hidden="1">{"hilight3",#N/A,FALSE,"HILIGHT3"}</definedName>
    <definedName name="______a4" localSheetId="0" hidden="1">{"hilight3",#N/A,FALSE,"HILIGHT3"}</definedName>
    <definedName name="______a4" hidden="1">{"hilight3",#N/A,FALSE,"HILIGHT3"}</definedName>
    <definedName name="______a5" localSheetId="18" hidden="1">{"income",#N/A,FALSE,"INCOME"}</definedName>
    <definedName name="______a5" localSheetId="0" hidden="1">{"income",#N/A,FALSE,"INCOME"}</definedName>
    <definedName name="______a5" hidden="1">{"income",#N/A,FALSE,"INCOME"}</definedName>
    <definedName name="______a51" localSheetId="18" hidden="1">{"income",#N/A,FALSE,"INCOME"}</definedName>
    <definedName name="______a51" hidden="1">{"income",#N/A,FALSE,"INCOME"}</definedName>
    <definedName name="______a6" localSheetId="18" hidden="1">{"index",#N/A,FALSE,"INDEX"}</definedName>
    <definedName name="______a6" localSheetId="0" hidden="1">{"index",#N/A,FALSE,"INDEX"}</definedName>
    <definedName name="______a6" hidden="1">{"index",#N/A,FALSE,"INDEX"}</definedName>
    <definedName name="______a7" localSheetId="18" hidden="1">{"PRINT_EST",#N/A,FALSE,"ESTMON"}</definedName>
    <definedName name="______a7" localSheetId="0" hidden="1">{"PRINT_EST",#N/A,FALSE,"ESTMON"}</definedName>
    <definedName name="______a7" hidden="1">{"PRINT_EST",#N/A,FALSE,"ESTMON"}</definedName>
    <definedName name="______a8" localSheetId="18" hidden="1">{"revsale",#N/A,FALSE,"REV-ยุพดี"}</definedName>
    <definedName name="______a8" localSheetId="0" hidden="1">{"revsale",#N/A,FALSE,"REV-ยุพดี"}</definedName>
    <definedName name="______a8" hidden="1">{"revsale",#N/A,FALSE,"REV-ยุพดี"}</definedName>
    <definedName name="______a9" localSheetId="18" hidden="1">{"revable",#N/A,FALSE,"REVABLE"}</definedName>
    <definedName name="______a9" localSheetId="0" hidden="1">{"revable",#N/A,FALSE,"REVABLE"}</definedName>
    <definedName name="______a9" hidden="1">{"revable",#N/A,FALSE,"REVABLE"}</definedName>
    <definedName name="______a99" localSheetId="18" hidden="1">{"revable",#N/A,FALSE,"REVABLE"}</definedName>
    <definedName name="______a99" hidden="1">{"revable",#N/A,FALSE,"REVABLE"}</definedName>
    <definedName name="______aa1" localSheetId="18" hidden="1">{"cashflow",#N/A,FALSE,"CASHFLOW "}</definedName>
    <definedName name="______aa1" hidden="1">{"cashflow",#N/A,FALSE,"CASHFLOW "}</definedName>
    <definedName name="______apr2" localSheetId="18" hidden="1">{"'Model'!$A$1:$N$53"}</definedName>
    <definedName name="______apr2" hidden="1">{"'Model'!$A$1:$N$53"}</definedName>
    <definedName name="______b1" localSheetId="18" hidden="1">{"'Sheet1'!$L$16"}</definedName>
    <definedName name="______b1" hidden="1">{"'Sheet1'!$L$16"}</definedName>
    <definedName name="______b3" localSheetId="18" hidden="1">{"'Sheet1'!$L$16"}</definedName>
    <definedName name="______b3" hidden="1">{"'Sheet1'!$L$16"}</definedName>
    <definedName name="______b4" localSheetId="18" hidden="1">{"'Sheet1'!$L$16"}</definedName>
    <definedName name="______b4" hidden="1">{"'Sheet1'!$L$16"}</definedName>
    <definedName name="______b5" localSheetId="18" hidden="1">{"'Sheet1'!$L$16"}</definedName>
    <definedName name="______b5" hidden="1">{"'Sheet1'!$L$16"}</definedName>
    <definedName name="______b6" localSheetId="18" hidden="1">{"'Sheet1'!$L$16"}</definedName>
    <definedName name="______b6" hidden="1">{"'Sheet1'!$L$16"}</definedName>
    <definedName name="______b7" localSheetId="18" hidden="1">{#N/A,#N/A,FALSE,"Chi tiÆt"}</definedName>
    <definedName name="______b7" hidden="1">{#N/A,#N/A,FALSE,"Chi tiÆt"}</definedName>
    <definedName name="______e1" localSheetId="18" hidden="1">{"'Sheet1'!$L$16"}</definedName>
    <definedName name="______e1" hidden="1">{"'Sheet1'!$L$16"}</definedName>
    <definedName name="______e2" localSheetId="18" hidden="1">{"'Sheet1'!$L$16"}</definedName>
    <definedName name="______e2" hidden="1">{"'Sheet1'!$L$16"}</definedName>
    <definedName name="______e4" localSheetId="18" hidden="1">{"'Sheet1'!$L$16"}</definedName>
    <definedName name="______e4" hidden="1">{"'Sheet1'!$L$16"}</definedName>
    <definedName name="______e5" localSheetId="18" hidden="1">{"'Sheet1'!$L$16"}</definedName>
    <definedName name="______e5" hidden="1">{"'Sheet1'!$L$16"}</definedName>
    <definedName name="______e6" localSheetId="18" hidden="1">{"'Sheet1'!$L$16"}</definedName>
    <definedName name="______e6" hidden="1">{"'Sheet1'!$L$16"}</definedName>
    <definedName name="______e7" localSheetId="18" hidden="1">{"'Sheet1'!$L$16"}</definedName>
    <definedName name="______e7" hidden="1">{"'Sheet1'!$L$16"}</definedName>
    <definedName name="______e8" localSheetId="18" hidden="1">{#N/A,#N/A,FALSE,"Chi tiÆt"}</definedName>
    <definedName name="______e8" hidden="1">{#N/A,#N/A,FALSE,"Chi tiÆt"}</definedName>
    <definedName name="______f1" localSheetId="18" hidden="1">{"'Sheet1'!$L$16"}</definedName>
    <definedName name="______f1" hidden="1">{"'Sheet1'!$L$16"}</definedName>
    <definedName name="______f2" localSheetId="18" hidden="1">{"'Sheet1'!$L$16"}</definedName>
    <definedName name="______f2" hidden="1">{"'Sheet1'!$L$16"}</definedName>
    <definedName name="______f3" localSheetId="18" hidden="1">{"'Sheet1'!$L$16"}</definedName>
    <definedName name="______f3" hidden="1">{"'Sheet1'!$L$16"}</definedName>
    <definedName name="______f4" localSheetId="18" hidden="1">{"'Sheet1'!$L$16"}</definedName>
    <definedName name="______f4" hidden="1">{"'Sheet1'!$L$16"}</definedName>
    <definedName name="______f5" localSheetId="18" hidden="1">{"'Sheet1'!$L$16"}</definedName>
    <definedName name="______f5" hidden="1">{"'Sheet1'!$L$16"}</definedName>
    <definedName name="______f6" localSheetId="18" hidden="1">{"'Sheet1'!$L$16"}</definedName>
    <definedName name="______f6" hidden="1">{"'Sheet1'!$L$16"}</definedName>
    <definedName name="______f7" localSheetId="18" hidden="1">{"'Sheet1'!$L$16"}</definedName>
    <definedName name="______f7" hidden="1">{"'Sheet1'!$L$16"}</definedName>
    <definedName name="______f8" localSheetId="18" hidden="1">{#N/A,#N/A,FALSE,"Chi tiÆt"}</definedName>
    <definedName name="______f8" hidden="1">{#N/A,#N/A,FALSE,"Chi tiÆt"}</definedName>
    <definedName name="______f9" localSheetId="18" hidden="1">{#N/A,#N/A,FALSE,"Chi tiÆt"}</definedName>
    <definedName name="______f9" hidden="1">{#N/A,#N/A,FALSE,"Chi tiÆt"}</definedName>
    <definedName name="______fd4" hidden="1">#REF!</definedName>
    <definedName name="______FOH2006" localSheetId="18" hidden="1">{#N/A,#N/A,FALSE,"TL";#N/A,#N/A,FALSE,"KK";#N/A,#N/A,FALSE,"TS";#N/A,#N/A,FALSE,"KW";#N/A,#N/A,FALSE,"LP";#N/A,#N/A,FALSE,"DC"}</definedName>
    <definedName name="______FOH2006" localSheetId="0" hidden="1">{#N/A,#N/A,FALSE,"TL";#N/A,#N/A,FALSE,"KK";#N/A,#N/A,FALSE,"TS";#N/A,#N/A,FALSE,"KW";#N/A,#N/A,FALSE,"LP";#N/A,#N/A,FALSE,"DC"}</definedName>
    <definedName name="______FOH2006" hidden="1">{#N/A,#N/A,FALSE,"TL";#N/A,#N/A,FALSE,"KK";#N/A,#N/A,FALSE,"TS";#N/A,#N/A,FALSE,"KW";#N/A,#N/A,FALSE,"LP";#N/A,#N/A,FALSE,"DC"}</definedName>
    <definedName name="______gw04" localSheetId="18" hidden="1">{#N/A,#N/A,FALSE,"Aging Summary";#N/A,#N/A,FALSE,"Ratio Analysis";#N/A,#N/A,FALSE,"Test 120 Day Accts";#N/A,#N/A,FALSE,"Tickmarks"}</definedName>
    <definedName name="______gw04" hidden="1">{#N/A,#N/A,FALSE,"Aging Summary";#N/A,#N/A,FALSE,"Ratio Analysis";#N/A,#N/A,FALSE,"Test 120 Day Accts";#N/A,#N/A,FALSE,"Tickmarks"}</definedName>
    <definedName name="__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localSheetId="18" hidden="1">{"'Model'!$A$1:$N$53"}</definedName>
    <definedName name="______h2" hidden="1">{"'Model'!$A$1:$N$53"}</definedName>
    <definedName name="______huy1" localSheetId="18" hidden="1">{"'Sheet1'!$L$16"}</definedName>
    <definedName name="______huy1" hidden="1">{"'Sheet1'!$L$16"}</definedName>
    <definedName name="______KP300" localSheetId="18" hidden="1">{"level1",#N/A,FALSE,"1_LEV";"LEVEL1",#N/A,FALSE,"1_LEV"}</definedName>
    <definedName name="______KP300" hidden="1">{"level1",#N/A,FALSE,"1_LEV";"LEVEL1",#N/A,FALSE,"1_LEV"}</definedName>
    <definedName name="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localSheetId="18" hidden="1">{#N/A,#N/A,FALSE,"RECONC'L";#N/A,#N/A,FALSE,"WORKCAP";#N/A,#N/A,FALSE,"RECONC'L";#N/A,#N/A,FALSE,"ACCRUAL";#N/A,#N/A,FALSE,"DEBTOR";#N/A,#N/A,FALSE,"ADMALLOC"}</definedName>
    <definedName name="______n1" hidden="1">{#N/A,#N/A,FALSE,"RECONC'L";#N/A,#N/A,FALSE,"WORKCAP";#N/A,#N/A,FALSE,"RECONC'L";#N/A,#N/A,FALSE,"ACCRUAL";#N/A,#N/A,FALSE,"DEBTOR";#N/A,#N/A,FALSE,"ADMALLOC"}</definedName>
    <definedName name="______nat2" localSheetId="18" hidden="1">{#N/A,#N/A,FALSE,"Assessment";#N/A,#N/A,FALSE,"Staffing";#N/A,#N/A,FALSE,"Hires";#N/A,#N/A,FALSE,"Assumptions"}</definedName>
    <definedName name="______nat2" hidden="1">{#N/A,#N/A,FALSE,"Assessment";#N/A,#N/A,FALSE,"Staffing";#N/A,#N/A,FALSE,"Hires";#N/A,#N/A,FALSE,"Assumptions"}</definedName>
    <definedName name="______nat3" localSheetId="18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localSheetId="18" hidden="1">{"'Sheet1'!$L$16"}</definedName>
    <definedName name="______NSO2" hidden="1">{"'Sheet1'!$L$16"}</definedName>
    <definedName name="______NSO2_1" localSheetId="18" hidden="1">{"'Sheet1'!$L$16"}</definedName>
    <definedName name="______NSO2_1" hidden="1">{"'Sheet1'!$L$16"}</definedName>
    <definedName name="______NSO2_2" localSheetId="18" hidden="1">{"'Sheet1'!$L$16"}</definedName>
    <definedName name="______NSO2_2" hidden="1">{"'Sheet1'!$L$16"}</definedName>
    <definedName name="______NSO3" localSheetId="18" hidden="1">{"'Sheet1'!$L$16"}</definedName>
    <definedName name="______NSO3" hidden="1">{"'Sheet1'!$L$16"}</definedName>
    <definedName name="______q2" localSheetId="18" hidden="1">{"PAGE 1",#N/A,FALSE,"หน้า 1,2,3";"PAGE 2",#N/A,FALSE,"หน้า 1,2,3";"PAGE 3",#N/A,FALSE,"หน้า 1,2,3"}</definedName>
    <definedName name="______q2" hidden="1">{"PAGE 1",#N/A,FALSE,"หน้า 1,2,3";"PAGE 2",#N/A,FALSE,"หน้า 1,2,3";"PAGE 3",#N/A,FALSE,"หน้า 1,2,3"}</definedName>
    <definedName name="______q3" localSheetId="18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localSheetId="18" hidden="1">{"'Sheet1'!$L$16"}</definedName>
    <definedName name="______s1" hidden="1">{"'Sheet1'!$L$16"}</definedName>
    <definedName name="______s2" localSheetId="18" hidden="1">{"'Sheet1'!$L$16"}</definedName>
    <definedName name="______s2" hidden="1">{"'Sheet1'!$L$16"}</definedName>
    <definedName name="______s3" localSheetId="18" hidden="1">{"'Sheet1'!$L$16"}</definedName>
    <definedName name="______s3" hidden="1">{"'Sheet1'!$L$16"}</definedName>
    <definedName name="______s4" localSheetId="18" hidden="1">{"'Sheet1'!$L$16"}</definedName>
    <definedName name="______s4" hidden="1">{"'Sheet1'!$L$16"}</definedName>
    <definedName name="______s5" localSheetId="18" hidden="1">{"'Sheet1'!$L$16"}</definedName>
    <definedName name="______s5" hidden="1">{"'Sheet1'!$L$16"}</definedName>
    <definedName name="______s6" localSheetId="18" hidden="1">{#N/A,#N/A,FALSE,"Chi tiÆt"}</definedName>
    <definedName name="______s6" hidden="1">{#N/A,#N/A,FALSE,"Chi tiÆt"}</definedName>
    <definedName name="______s7" localSheetId="18" hidden="1">{#N/A,#N/A,FALSE,"Chi tiÆt"}</definedName>
    <definedName name="______s7" hidden="1">{#N/A,#N/A,FALSE,"Chi tiÆt"}</definedName>
    <definedName name="______T01" hidden="1">#REF!</definedName>
    <definedName name="______t2" localSheetId="18" hidden="1">{"'Sheet1'!$L$16"}</definedName>
    <definedName name="______t2" hidden="1">{"'Sheet1'!$L$16"}</definedName>
    <definedName name="______t4" localSheetId="18" hidden="1">{"'Sheet1'!$L$16"}</definedName>
    <definedName name="______t4" hidden="1">{"'Sheet1'!$L$16"}</definedName>
    <definedName name="______t5" localSheetId="18" hidden="1">{"'Sheet1'!$L$16"}</definedName>
    <definedName name="______t5" hidden="1">{"'Sheet1'!$L$16"}</definedName>
    <definedName name="______t6" localSheetId="18" hidden="1">{"'Sheet1'!$L$16"}</definedName>
    <definedName name="______t6" hidden="1">{"'Sheet1'!$L$16"}</definedName>
    <definedName name="______t7" localSheetId="18" hidden="1">{"'Sheet1'!$L$16"}</definedName>
    <definedName name="______t7" hidden="1">{"'Sheet1'!$L$16"}</definedName>
    <definedName name="______t8" localSheetId="18" hidden="1">{#N/A,#N/A,FALSE,"Chi tiÆt"}</definedName>
    <definedName name="______t8" hidden="1">{#N/A,#N/A,FALSE,"Chi tiÆt"}</definedName>
    <definedName name="______t9" localSheetId="18" hidden="1">{"'Sheet1'!$L$16"}</definedName>
    <definedName name="______t9" hidden="1">{"'Sheet1'!$L$16"}</definedName>
    <definedName name="______w2" localSheetId="18" hidden="1">{"'Sheet1'!$L$16"}</definedName>
    <definedName name="______w2" hidden="1">{"'Sheet1'!$L$16"}</definedName>
    <definedName name="______w3" localSheetId="18" hidden="1">{"'Sheet1'!$L$16"}</definedName>
    <definedName name="______w3" hidden="1">{"'Sheet1'!$L$16"}</definedName>
    <definedName name="______w4" localSheetId="18" hidden="1">{"'Sheet1'!$L$16"}</definedName>
    <definedName name="______w4" hidden="1">{"'Sheet1'!$L$16"}</definedName>
    <definedName name="______w5" localSheetId="18" hidden="1">{"'Sheet1'!$L$16"}</definedName>
    <definedName name="______w5" hidden="1">{"'Sheet1'!$L$16"}</definedName>
    <definedName name="______w6" localSheetId="18" hidden="1">{#N/A,#N/A,FALSE,"Chi tiÆt"}</definedName>
    <definedName name="______w6" hidden="1">{#N/A,#N/A,FALSE,"Chi tiÆt"}</definedName>
    <definedName name="______w8" localSheetId="18" hidden="1">{"'Sheet1'!$L$16"}</definedName>
    <definedName name="______w8" hidden="1">{"'Sheet1'!$L$16"}</definedName>
    <definedName name="______w9" localSheetId="18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localSheetId="18" hidden="1">{"'ตัวอย่าง'!$A$1:$O$21"}</definedName>
    <definedName name="______Z1" localSheetId="0" hidden="1">{"'ตัวอย่าง'!$A$1:$O$21"}</definedName>
    <definedName name="______Z1" hidden="1">{"'ตัวอย่าง'!$A$1:$O$21"}</definedName>
    <definedName name="_____a1" localSheetId="18" hidden="1">{"cashflow",#N/A,FALSE,"CASHFLOW "}</definedName>
    <definedName name="_____a1" localSheetId="0" hidden="1">{"cashflow",#N/A,FALSE,"CASHFLOW "}</definedName>
    <definedName name="_____a1" hidden="1">{"cashflow",#N/A,FALSE,"CASHFLOW "}</definedName>
    <definedName name="_____a1_1" localSheetId="18" hidden="1">{"'Sheet1'!$L$16"}</definedName>
    <definedName name="_____a1_1" hidden="1">{"'Sheet1'!$L$16"}</definedName>
    <definedName name="_____a1_2" localSheetId="18" hidden="1">{"'Sheet1'!$L$16"}</definedName>
    <definedName name="_____a1_2" hidden="1">{"'Sheet1'!$L$16"}</definedName>
    <definedName name="_____a10" localSheetId="18" hidden="1">{"sales",#N/A,FALSE,"SALES"}</definedName>
    <definedName name="_____a10" localSheetId="0" hidden="1">{"sales",#N/A,FALSE,"SALES"}</definedName>
    <definedName name="_____a10" hidden="1">{"sales",#N/A,FALSE,"SALES"}</definedName>
    <definedName name="_____a11" localSheetId="18" hidden="1">{"'Sheet1'!$L$16"}</definedName>
    <definedName name="_____a11" hidden="1">{"'Sheet1'!$L$16"}</definedName>
    <definedName name="_____a12" localSheetId="18" hidden="1">{"'Sheet1'!$L$16"}</definedName>
    <definedName name="_____a12" hidden="1">{"'Sheet1'!$L$16"}</definedName>
    <definedName name="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localSheetId="18" hidden="1">{"revable",#N/A,FALSE,"REVABLE"}</definedName>
    <definedName name="_____a133" hidden="1">{"revable",#N/A,FALSE,"REVABLE"}</definedName>
    <definedName name="_____a2" localSheetId="18" hidden="1">{"hilight1",#N/A,FALSE,"HILIGHT1"}</definedName>
    <definedName name="_____a2" localSheetId="0" hidden="1">{"hilight1",#N/A,FALSE,"HILIGHT1"}</definedName>
    <definedName name="_____a2" hidden="1">{"hilight1",#N/A,FALSE,"HILIGHT1"}</definedName>
    <definedName name="_____a3" localSheetId="18" hidden="1">{"hilight2",#N/A,FALSE,"HILIGHT2"}</definedName>
    <definedName name="_____a3" localSheetId="0" hidden="1">{"hilight2",#N/A,FALSE,"HILIGHT2"}</definedName>
    <definedName name="_____a3" hidden="1">{"hilight2",#N/A,FALSE,"HILIGHT2"}</definedName>
    <definedName name="_____a4" localSheetId="18" hidden="1">{"hilight3",#N/A,FALSE,"HILIGHT3"}</definedName>
    <definedName name="_____a4" localSheetId="0" hidden="1">{"hilight3",#N/A,FALSE,"HILIGHT3"}</definedName>
    <definedName name="_____a4" hidden="1">{"hilight3",#N/A,FALSE,"HILIGHT3"}</definedName>
    <definedName name="_____a5" localSheetId="18" hidden="1">{"income",#N/A,FALSE,"INCOME"}</definedName>
    <definedName name="_____a5" localSheetId="0" hidden="1">{"income",#N/A,FALSE,"INCOME"}</definedName>
    <definedName name="_____a5" hidden="1">{"income",#N/A,FALSE,"INCOME"}</definedName>
    <definedName name="_____a51" localSheetId="18" hidden="1">{"income",#N/A,FALSE,"INCOME"}</definedName>
    <definedName name="_____a51" hidden="1">{"income",#N/A,FALSE,"INCOME"}</definedName>
    <definedName name="_____a6" localSheetId="18" hidden="1">{"index",#N/A,FALSE,"INDEX"}</definedName>
    <definedName name="_____a6" localSheetId="0" hidden="1">{"index",#N/A,FALSE,"INDEX"}</definedName>
    <definedName name="_____a6" hidden="1">{"index",#N/A,FALSE,"INDEX"}</definedName>
    <definedName name="_____a7" localSheetId="18" hidden="1">{"PRINT_EST",#N/A,FALSE,"ESTMON"}</definedName>
    <definedName name="_____a7" localSheetId="0" hidden="1">{"PRINT_EST",#N/A,FALSE,"ESTMON"}</definedName>
    <definedName name="_____a7" hidden="1">{"PRINT_EST",#N/A,FALSE,"ESTMON"}</definedName>
    <definedName name="_____a8" localSheetId="18" hidden="1">{"revsale",#N/A,FALSE,"REV-ยุพดี"}</definedName>
    <definedName name="_____a8" localSheetId="0" hidden="1">{"revsale",#N/A,FALSE,"REV-ยุพดี"}</definedName>
    <definedName name="_____a8" hidden="1">{"revsale",#N/A,FALSE,"REV-ยุพดี"}</definedName>
    <definedName name="_____a9" localSheetId="18" hidden="1">{"revable",#N/A,FALSE,"REVABLE"}</definedName>
    <definedName name="_____a9" localSheetId="0" hidden="1">{"revable",#N/A,FALSE,"REVABLE"}</definedName>
    <definedName name="_____a9" hidden="1">{"revable",#N/A,FALSE,"REVABLE"}</definedName>
    <definedName name="_____a99" localSheetId="18" hidden="1">{"revable",#N/A,FALSE,"REVABLE"}</definedName>
    <definedName name="_____a99" hidden="1">{"revable",#N/A,FALSE,"REVABLE"}</definedName>
    <definedName name="_____aa1" localSheetId="18" hidden="1">{"cashflow",#N/A,FALSE,"CASHFLOW "}</definedName>
    <definedName name="_____aa1" hidden="1">{"cashflow",#N/A,FALSE,"CASHFLOW "}</definedName>
    <definedName name="_____apr2" localSheetId="18" hidden="1">{"'Model'!$A$1:$N$53"}</definedName>
    <definedName name="_____apr2" hidden="1">{"'Model'!$A$1:$N$53"}</definedName>
    <definedName name="_____b1" localSheetId="18" hidden="1">{"'Sheet1'!$L$16"}</definedName>
    <definedName name="_____b1" hidden="1">{"'Sheet1'!$L$16"}</definedName>
    <definedName name="_____b3" localSheetId="18" hidden="1">{"'Sheet1'!$L$16"}</definedName>
    <definedName name="_____b3" hidden="1">{"'Sheet1'!$L$16"}</definedName>
    <definedName name="_____b4" localSheetId="18" hidden="1">{"'Sheet1'!$L$16"}</definedName>
    <definedName name="_____b4" hidden="1">{"'Sheet1'!$L$16"}</definedName>
    <definedName name="_____b5" localSheetId="18" hidden="1">{"'Sheet1'!$L$16"}</definedName>
    <definedName name="_____b5" hidden="1">{"'Sheet1'!$L$16"}</definedName>
    <definedName name="_____b6" localSheetId="18" hidden="1">{"'Sheet1'!$L$16"}</definedName>
    <definedName name="_____b6" hidden="1">{"'Sheet1'!$L$16"}</definedName>
    <definedName name="_____b7" localSheetId="18" hidden="1">{#N/A,#N/A,FALSE,"Chi tiÆt"}</definedName>
    <definedName name="_____b7" hidden="1">{#N/A,#N/A,FALSE,"Chi tiÆt"}</definedName>
    <definedName name="_____e1" localSheetId="18" hidden="1">{"'Sheet1'!$L$16"}</definedName>
    <definedName name="_____e1" hidden="1">{"'Sheet1'!$L$16"}</definedName>
    <definedName name="_____e2" localSheetId="18" hidden="1">{"'Sheet1'!$L$16"}</definedName>
    <definedName name="_____e2" hidden="1">{"'Sheet1'!$L$16"}</definedName>
    <definedName name="_____e4" localSheetId="18" hidden="1">{"'Sheet1'!$L$16"}</definedName>
    <definedName name="_____e4" hidden="1">{"'Sheet1'!$L$16"}</definedName>
    <definedName name="_____e5" localSheetId="18" hidden="1">{"'Sheet1'!$L$16"}</definedName>
    <definedName name="_____e5" hidden="1">{"'Sheet1'!$L$16"}</definedName>
    <definedName name="_____e6" localSheetId="18" hidden="1">{"'Sheet1'!$L$16"}</definedName>
    <definedName name="_____e6" hidden="1">{"'Sheet1'!$L$16"}</definedName>
    <definedName name="_____e7" localSheetId="18" hidden="1">{"'Sheet1'!$L$16"}</definedName>
    <definedName name="_____e7" hidden="1">{"'Sheet1'!$L$16"}</definedName>
    <definedName name="_____e8" localSheetId="18" hidden="1">{#N/A,#N/A,FALSE,"Chi tiÆt"}</definedName>
    <definedName name="_____e8" hidden="1">{#N/A,#N/A,FALSE,"Chi tiÆt"}</definedName>
    <definedName name="_____f1" localSheetId="18" hidden="1">{"'Sheet1'!$L$16"}</definedName>
    <definedName name="_____f1" hidden="1">{"'Sheet1'!$L$16"}</definedName>
    <definedName name="_____f2" localSheetId="18" hidden="1">{"'Sheet1'!$L$16"}</definedName>
    <definedName name="_____f2" hidden="1">{"'Sheet1'!$L$16"}</definedName>
    <definedName name="_____f3" localSheetId="18" hidden="1">{"'Sheet1'!$L$16"}</definedName>
    <definedName name="_____f3" hidden="1">{"'Sheet1'!$L$16"}</definedName>
    <definedName name="_____f4" localSheetId="18" hidden="1">{"'Sheet1'!$L$16"}</definedName>
    <definedName name="_____f4" hidden="1">{"'Sheet1'!$L$16"}</definedName>
    <definedName name="_____f5" localSheetId="18" hidden="1">{"'Sheet1'!$L$16"}</definedName>
    <definedName name="_____f5" hidden="1">{"'Sheet1'!$L$16"}</definedName>
    <definedName name="_____f6" localSheetId="18" hidden="1">{"'Sheet1'!$L$16"}</definedName>
    <definedName name="_____f6" hidden="1">{"'Sheet1'!$L$16"}</definedName>
    <definedName name="_____f7" localSheetId="18" hidden="1">{"'Sheet1'!$L$16"}</definedName>
    <definedName name="_____f7" hidden="1">{"'Sheet1'!$L$16"}</definedName>
    <definedName name="_____f8" localSheetId="18" hidden="1">{#N/A,#N/A,FALSE,"Chi tiÆt"}</definedName>
    <definedName name="_____f8" hidden="1">{#N/A,#N/A,FALSE,"Chi tiÆt"}</definedName>
    <definedName name="_____f9" localSheetId="18" hidden="1">{#N/A,#N/A,FALSE,"Chi tiÆt"}</definedName>
    <definedName name="_____f9" hidden="1">{#N/A,#N/A,FALSE,"Chi tiÆt"}</definedName>
    <definedName name="_____fd4" hidden="1">#REF!</definedName>
    <definedName name="_____FOH2006" localSheetId="18" hidden="1">{#N/A,#N/A,FALSE,"TL";#N/A,#N/A,FALSE,"KK";#N/A,#N/A,FALSE,"TS";#N/A,#N/A,FALSE,"KW";#N/A,#N/A,FALSE,"LP";#N/A,#N/A,FALSE,"DC"}</definedName>
    <definedName name="_____FOH2006" localSheetId="0" hidden="1">{#N/A,#N/A,FALSE,"TL";#N/A,#N/A,FALSE,"KK";#N/A,#N/A,FALSE,"TS";#N/A,#N/A,FALSE,"KW";#N/A,#N/A,FALSE,"LP";#N/A,#N/A,FALSE,"DC"}</definedName>
    <definedName name="_____FOH2006" hidden="1">{#N/A,#N/A,FALSE,"TL";#N/A,#N/A,FALSE,"KK";#N/A,#N/A,FALSE,"TS";#N/A,#N/A,FALSE,"KW";#N/A,#N/A,FALSE,"LP";#N/A,#N/A,FALSE,"DC"}</definedName>
    <definedName name="_____gw04" localSheetId="18" hidden="1">{#N/A,#N/A,FALSE,"Aging Summary";#N/A,#N/A,FALSE,"Ratio Analysis";#N/A,#N/A,FALSE,"Test 120 Day Accts";#N/A,#N/A,FALSE,"Tickmarks"}</definedName>
    <definedName name="_____gw04" hidden="1">{#N/A,#N/A,FALSE,"Aging Summary";#N/A,#N/A,FALSE,"Ratio Analysis";#N/A,#N/A,FALSE,"Test 120 Day Accts";#N/A,#N/A,FALSE,"Tickmarks"}</definedName>
    <definedName name="_____H1" localSheetId="18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2" localSheetId="18" hidden="1">{"'Model'!$A$1:$N$53"}</definedName>
    <definedName name="_____h2" hidden="1">{"'Model'!$A$1:$N$53"}</definedName>
    <definedName name="_____huy1" localSheetId="18" hidden="1">{"'Sheet1'!$L$16"}</definedName>
    <definedName name="_____huy1" hidden="1">{"'Sheet1'!$L$16"}</definedName>
    <definedName name="_____KP300" localSheetId="18" hidden="1">{"level1",#N/A,FALSE,"1_LEV";"LEVEL1",#N/A,FALSE,"1_LEV"}</definedName>
    <definedName name="_____KP300" hidden="1">{"level1",#N/A,FALSE,"1_LEV";"LEVEL1",#N/A,FALSE,"1_LEV"}</definedName>
    <definedName name="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localSheetId="18" hidden="1">{#N/A,#N/A,FALSE,"RECONC'L";#N/A,#N/A,FALSE,"WORKCAP";#N/A,#N/A,FALSE,"RECONC'L";#N/A,#N/A,FALSE,"ACCRUAL";#N/A,#N/A,FALSE,"DEBTOR";#N/A,#N/A,FALSE,"ADMALLOC"}</definedName>
    <definedName name="_____n1" hidden="1">{#N/A,#N/A,FALSE,"RECONC'L";#N/A,#N/A,FALSE,"WORKCAP";#N/A,#N/A,FALSE,"RECONC'L";#N/A,#N/A,FALSE,"ACCRUAL";#N/A,#N/A,FALSE,"DEBTOR";#N/A,#N/A,FALSE,"ADMALLOC"}</definedName>
    <definedName name="_____nat2" localSheetId="18" hidden="1">{#N/A,#N/A,FALSE,"Assessment";#N/A,#N/A,FALSE,"Staffing";#N/A,#N/A,FALSE,"Hires";#N/A,#N/A,FALSE,"Assumptions"}</definedName>
    <definedName name="_____nat2" localSheetId="0" hidden="1">{#N/A,#N/A,FALSE,"Assessment";#N/A,#N/A,FALSE,"Staffing";#N/A,#N/A,FALSE,"Hires";#N/A,#N/A,FALSE,"Assumptions"}</definedName>
    <definedName name="_____nat2" hidden="1">{#N/A,#N/A,FALSE,"Assessment";#N/A,#N/A,FALSE,"Staffing";#N/A,#N/A,FALSE,"Hires";#N/A,#N/A,FALSE,"Assumptions"}</definedName>
    <definedName name="_____nat3" localSheetId="18" hidden="1">{#N/A,#N/A,FALSE,"Assessment";#N/A,#N/A,FALSE,"Staffing";#N/A,#N/A,FALSE,"Hires";#N/A,#N/A,FALSE,"Assumptions"}</definedName>
    <definedName name="_____nat3" localSheetId="0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localSheetId="18" hidden="1">{"'Sheet1'!$L$16"}</definedName>
    <definedName name="_____NSO2" hidden="1">{"'Sheet1'!$L$16"}</definedName>
    <definedName name="_____NSO2_1" localSheetId="18" hidden="1">{"'Sheet1'!$L$16"}</definedName>
    <definedName name="_____NSO2_1" hidden="1">{"'Sheet1'!$L$16"}</definedName>
    <definedName name="_____NSO2_2" localSheetId="18" hidden="1">{"'Sheet1'!$L$16"}</definedName>
    <definedName name="_____NSO2_2" hidden="1">{"'Sheet1'!$L$16"}</definedName>
    <definedName name="_____NSO3" localSheetId="18" hidden="1">{"'Sheet1'!$L$16"}</definedName>
    <definedName name="_____NSO3" hidden="1">{"'Sheet1'!$L$16"}</definedName>
    <definedName name="_____PA3" localSheetId="18" hidden="1">{"'Sheet1'!$L$16"}</definedName>
    <definedName name="_____PA3" hidden="1">{"'Sheet1'!$L$16"}</definedName>
    <definedName name="_____PUR6" localSheetId="18" hidden="1">{#N/A,#N/A,FALSE,"Sheet2"}</definedName>
    <definedName name="_____PUR6" hidden="1">{#N/A,#N/A,FALSE,"Sheet2"}</definedName>
    <definedName name="_____q2" localSheetId="18" hidden="1">{"PAGE 1",#N/A,FALSE,"หน้า 1,2,3";"PAGE 2",#N/A,FALSE,"หน้า 1,2,3";"PAGE 3",#N/A,FALSE,"หน้า 1,2,3"}</definedName>
    <definedName name="_____q2" hidden="1">{"PAGE 1",#N/A,FALSE,"หน้า 1,2,3";"PAGE 2",#N/A,FALSE,"หน้า 1,2,3";"PAGE 3",#N/A,FALSE,"หน้า 1,2,3"}</definedName>
    <definedName name="_____q3" localSheetId="18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localSheetId="18" hidden="1">{#N/A,#N/A,FALSE,"Sheet2"}</definedName>
    <definedName name="_____QUY3" hidden="1">{#N/A,#N/A,FALSE,"Sheet2"}</definedName>
    <definedName name="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localSheetId="18" hidden="1">{"'Sheet1'!$L$16"}</definedName>
    <definedName name="_____s1" hidden="1">{"'Sheet1'!$L$16"}</definedName>
    <definedName name="_____s2" localSheetId="18" hidden="1">{"'Sheet1'!$L$16"}</definedName>
    <definedName name="_____s2" hidden="1">{"'Sheet1'!$L$16"}</definedName>
    <definedName name="_____s3" localSheetId="18" hidden="1">{"'Sheet1'!$L$16"}</definedName>
    <definedName name="_____s3" hidden="1">{"'Sheet1'!$L$16"}</definedName>
    <definedName name="_____s4" localSheetId="18" hidden="1">{"'Sheet1'!$L$16"}</definedName>
    <definedName name="_____s4" hidden="1">{"'Sheet1'!$L$16"}</definedName>
    <definedName name="_____s5" localSheetId="18" hidden="1">{"'Sheet1'!$L$16"}</definedName>
    <definedName name="_____s5" hidden="1">{"'Sheet1'!$L$16"}</definedName>
    <definedName name="_____s6" localSheetId="18" hidden="1">{#N/A,#N/A,FALSE,"Chi tiÆt"}</definedName>
    <definedName name="_____s6" hidden="1">{#N/A,#N/A,FALSE,"Chi tiÆt"}</definedName>
    <definedName name="_____s7" localSheetId="18" hidden="1">{#N/A,#N/A,FALSE,"Chi tiÆt"}</definedName>
    <definedName name="_____s7" hidden="1">{#N/A,#N/A,FALSE,"Chi tiÆt"}</definedName>
    <definedName name="_____T01" hidden="1">#REF!</definedName>
    <definedName name="_____t2" localSheetId="18" hidden="1">{"'Sheet1'!$L$16"}</definedName>
    <definedName name="_____t2" hidden="1">{"'Sheet1'!$L$16"}</definedName>
    <definedName name="_____t4" localSheetId="18" hidden="1">{"'Sheet1'!$L$16"}</definedName>
    <definedName name="_____t4" hidden="1">{"'Sheet1'!$L$16"}</definedName>
    <definedName name="_____t5" localSheetId="18" hidden="1">{"'Sheet1'!$L$16"}</definedName>
    <definedName name="_____t5" hidden="1">{"'Sheet1'!$L$16"}</definedName>
    <definedName name="_____t6" localSheetId="18" hidden="1">{"'Sheet1'!$L$16"}</definedName>
    <definedName name="_____t6" hidden="1">{"'Sheet1'!$L$16"}</definedName>
    <definedName name="_____t7" localSheetId="18" hidden="1">{"'Sheet1'!$L$16"}</definedName>
    <definedName name="_____t7" hidden="1">{"'Sheet1'!$L$16"}</definedName>
    <definedName name="_____t8" localSheetId="18" hidden="1">{#N/A,#N/A,FALSE,"Chi tiÆt"}</definedName>
    <definedName name="_____t8" hidden="1">{#N/A,#N/A,FALSE,"Chi tiÆt"}</definedName>
    <definedName name="_____t9" localSheetId="18" hidden="1">{"'Sheet1'!$L$16"}</definedName>
    <definedName name="_____t9" hidden="1">{"'Sheet1'!$L$16"}</definedName>
    <definedName name="_____w2" localSheetId="18" hidden="1">{"'Sheet1'!$L$16"}</definedName>
    <definedName name="_____w2" hidden="1">{"'Sheet1'!$L$16"}</definedName>
    <definedName name="_____w3" localSheetId="18" hidden="1">{"'Sheet1'!$L$16"}</definedName>
    <definedName name="_____w3" hidden="1">{"'Sheet1'!$L$16"}</definedName>
    <definedName name="_____w4" localSheetId="18" hidden="1">{"'Sheet1'!$L$16"}</definedName>
    <definedName name="_____w4" hidden="1">{"'Sheet1'!$L$16"}</definedName>
    <definedName name="_____w5" localSheetId="18" hidden="1">{"'Sheet1'!$L$16"}</definedName>
    <definedName name="_____w5" hidden="1">{"'Sheet1'!$L$16"}</definedName>
    <definedName name="_____w6" localSheetId="18" hidden="1">{#N/A,#N/A,FALSE,"Chi tiÆt"}</definedName>
    <definedName name="_____w6" hidden="1">{#N/A,#N/A,FALSE,"Chi tiÆt"}</definedName>
    <definedName name="_____w8" localSheetId="18" hidden="1">{"'Sheet1'!$L$16"}</definedName>
    <definedName name="_____w8" hidden="1">{"'Sheet1'!$L$16"}</definedName>
    <definedName name="_____w9" localSheetId="18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localSheetId="18" hidden="1">{"'ตัวอย่าง'!$A$1:$O$21"}</definedName>
    <definedName name="_____Z1" localSheetId="0" hidden="1">{"'ตัวอย่าง'!$A$1:$O$21"}</definedName>
    <definedName name="_____Z1" hidden="1">{"'ตัวอย่าง'!$A$1:$O$21"}</definedName>
    <definedName name="____a1" localSheetId="18" hidden="1">{"cashflow",#N/A,FALSE,"CASHFLOW "}</definedName>
    <definedName name="____a1" localSheetId="0" hidden="1">{"cashflow",#N/A,FALSE,"CASHFLOW "}</definedName>
    <definedName name="____a1" hidden="1">{"cashflow",#N/A,FALSE,"CASHFLOW "}</definedName>
    <definedName name="____a1_1" localSheetId="18" hidden="1">{"'Sheet1'!$L$16"}</definedName>
    <definedName name="____a1_1" hidden="1">{"'Sheet1'!$L$16"}</definedName>
    <definedName name="____a1_2" localSheetId="18" hidden="1">{"'Sheet1'!$L$16"}</definedName>
    <definedName name="____a1_2" hidden="1">{"'Sheet1'!$L$16"}</definedName>
    <definedName name="____a10" localSheetId="18" hidden="1">{"sales",#N/A,FALSE,"SALES"}</definedName>
    <definedName name="____a10" localSheetId="0" hidden="1">{"sales",#N/A,FALSE,"SALES"}</definedName>
    <definedName name="____a10" hidden="1">{"sales",#N/A,FALSE,"SALES"}</definedName>
    <definedName name="____a11" localSheetId="18" hidden="1">{"'Sheet1'!$L$16"}</definedName>
    <definedName name="____a11" hidden="1">{"'Sheet1'!$L$16"}</definedName>
    <definedName name="____a12" localSheetId="18" hidden="1">{"'Sheet1'!$L$16"}</definedName>
    <definedName name="____a12" hidden="1">{"'Sheet1'!$L$16"}</definedName>
    <definedName name="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localSheetId="18" hidden="1">{"revable",#N/A,FALSE,"REVABLE"}</definedName>
    <definedName name="____a133" hidden="1">{"revable",#N/A,FALSE,"REVABLE"}</definedName>
    <definedName name="____a2" localSheetId="18" hidden="1">{"hilight1",#N/A,FALSE,"HILIGHT1"}</definedName>
    <definedName name="____a2" localSheetId="0" hidden="1">{"hilight1",#N/A,FALSE,"HILIGHT1"}</definedName>
    <definedName name="____a2" hidden="1">{"hilight1",#N/A,FALSE,"HILIGHT1"}</definedName>
    <definedName name="____a3" localSheetId="18" hidden="1">{"hilight2",#N/A,FALSE,"HILIGHT2"}</definedName>
    <definedName name="____a3" localSheetId="0" hidden="1">{"hilight2",#N/A,FALSE,"HILIGHT2"}</definedName>
    <definedName name="____a3" hidden="1">{"hilight2",#N/A,FALSE,"HILIGHT2"}</definedName>
    <definedName name="____a4" localSheetId="18" hidden="1">{"hilight3",#N/A,FALSE,"HILIGHT3"}</definedName>
    <definedName name="____a4" localSheetId="0" hidden="1">{"hilight3",#N/A,FALSE,"HILIGHT3"}</definedName>
    <definedName name="____a4" hidden="1">{"hilight3",#N/A,FALSE,"HILIGHT3"}</definedName>
    <definedName name="____a5" localSheetId="18" hidden="1">{"income",#N/A,FALSE,"INCOME"}</definedName>
    <definedName name="____a5" localSheetId="0" hidden="1">{"income",#N/A,FALSE,"INCOME"}</definedName>
    <definedName name="____a5" hidden="1">{"income",#N/A,FALSE,"INCOME"}</definedName>
    <definedName name="____a51" localSheetId="18" hidden="1">{"income",#N/A,FALSE,"INCOME"}</definedName>
    <definedName name="____a51" hidden="1">{"income",#N/A,FALSE,"INCOME"}</definedName>
    <definedName name="____a6" localSheetId="18" hidden="1">{"index",#N/A,FALSE,"INDEX"}</definedName>
    <definedName name="____a6" localSheetId="0" hidden="1">{"index",#N/A,FALSE,"INDEX"}</definedName>
    <definedName name="____a6" hidden="1">{"index",#N/A,FALSE,"INDEX"}</definedName>
    <definedName name="____a7" localSheetId="18" hidden="1">{"PRINT_EST",#N/A,FALSE,"ESTMON"}</definedName>
    <definedName name="____a7" localSheetId="0" hidden="1">{"PRINT_EST",#N/A,FALSE,"ESTMON"}</definedName>
    <definedName name="____a7" hidden="1">{"PRINT_EST",#N/A,FALSE,"ESTMON"}</definedName>
    <definedName name="____a8" localSheetId="18" hidden="1">{"revsale",#N/A,FALSE,"REV-ยุพดี"}</definedName>
    <definedName name="____a8" localSheetId="0" hidden="1">{"revsale",#N/A,FALSE,"REV-ยุพดี"}</definedName>
    <definedName name="____a8" hidden="1">{"revsale",#N/A,FALSE,"REV-ยุพดี"}</definedName>
    <definedName name="____a9" localSheetId="18" hidden="1">{"revable",#N/A,FALSE,"REVABLE"}</definedName>
    <definedName name="____a9" localSheetId="0" hidden="1">{"revable",#N/A,FALSE,"REVABLE"}</definedName>
    <definedName name="____a9" hidden="1">{"revable",#N/A,FALSE,"REVABLE"}</definedName>
    <definedName name="____a99" localSheetId="18" hidden="1">{"revable",#N/A,FALSE,"REVABLE"}</definedName>
    <definedName name="____a99" hidden="1">{"revable",#N/A,FALSE,"REVABLE"}</definedName>
    <definedName name="____aa1" localSheetId="18" hidden="1">{"cashflow",#N/A,FALSE,"CASHFLOW "}</definedName>
    <definedName name="____aa1" hidden="1">{"cashflow",#N/A,FALSE,"CASHFLOW "}</definedName>
    <definedName name="____apr2" localSheetId="18" hidden="1">{"'Model'!$A$1:$N$53"}</definedName>
    <definedName name="____apr2" hidden="1">{"'Model'!$A$1:$N$53"}</definedName>
    <definedName name="____b1" localSheetId="18" hidden="1">{"'Sheet1'!$L$16"}</definedName>
    <definedName name="____b1" hidden="1">{"'Sheet1'!$L$16"}</definedName>
    <definedName name="____b3" localSheetId="18" hidden="1">{"'Sheet1'!$L$16"}</definedName>
    <definedName name="____b3" hidden="1">{"'Sheet1'!$L$16"}</definedName>
    <definedName name="____b4" localSheetId="18" hidden="1">{"'Sheet1'!$L$16"}</definedName>
    <definedName name="____b4" hidden="1">{"'Sheet1'!$L$16"}</definedName>
    <definedName name="____b5" localSheetId="18" hidden="1">{"'Sheet1'!$L$16"}</definedName>
    <definedName name="____b5" hidden="1">{"'Sheet1'!$L$16"}</definedName>
    <definedName name="____b6" localSheetId="18" hidden="1">{"'Sheet1'!$L$16"}</definedName>
    <definedName name="____b6" hidden="1">{"'Sheet1'!$L$16"}</definedName>
    <definedName name="____b7" localSheetId="18" hidden="1">{#N/A,#N/A,FALSE,"Chi tiÆt"}</definedName>
    <definedName name="____b7" hidden="1">{#N/A,#N/A,FALSE,"Chi tiÆt"}</definedName>
    <definedName name="____cap1111" localSheetId="18" hidden="1">{"index",#N/A,FALSE,"INDEX"}</definedName>
    <definedName name="____cap1111" hidden="1">{"index",#N/A,FALSE,"INDEX"}</definedName>
    <definedName name="____cap6666" localSheetId="18" hidden="1">{"index",#N/A,FALSE,"INDEX"}</definedName>
    <definedName name="____cap6666" hidden="1">{"index",#N/A,FALSE,"INDEX"}</definedName>
    <definedName name="____e1" localSheetId="18" hidden="1">{"'Sheet1'!$L$16"}</definedName>
    <definedName name="____e1" hidden="1">{"'Sheet1'!$L$16"}</definedName>
    <definedName name="____e2" localSheetId="18" hidden="1">{"'Sheet1'!$L$16"}</definedName>
    <definedName name="____e2" hidden="1">{"'Sheet1'!$L$16"}</definedName>
    <definedName name="____e4" localSheetId="18" hidden="1">{"'Sheet1'!$L$16"}</definedName>
    <definedName name="____e4" hidden="1">{"'Sheet1'!$L$16"}</definedName>
    <definedName name="____e5" localSheetId="18" hidden="1">{"'Sheet1'!$L$16"}</definedName>
    <definedName name="____e5" hidden="1">{"'Sheet1'!$L$16"}</definedName>
    <definedName name="____e6" localSheetId="18" hidden="1">{"'Sheet1'!$L$16"}</definedName>
    <definedName name="____e6" hidden="1">{"'Sheet1'!$L$16"}</definedName>
    <definedName name="____e7" localSheetId="18" hidden="1">{"'Sheet1'!$L$16"}</definedName>
    <definedName name="____e7" hidden="1">{"'Sheet1'!$L$16"}</definedName>
    <definedName name="____e8" localSheetId="18" hidden="1">{#N/A,#N/A,FALSE,"Chi tiÆt"}</definedName>
    <definedName name="____e8" hidden="1">{#N/A,#N/A,FALSE,"Chi tiÆt"}</definedName>
    <definedName name="____f1" localSheetId="18" hidden="1">{"'Sheet1'!$L$16"}</definedName>
    <definedName name="____f1" hidden="1">{"'Sheet1'!$L$16"}</definedName>
    <definedName name="____f2" localSheetId="18" hidden="1">{"'Sheet1'!$L$16"}</definedName>
    <definedName name="____f2" hidden="1">{"'Sheet1'!$L$16"}</definedName>
    <definedName name="____f3" localSheetId="18" hidden="1">{"'Sheet1'!$L$16"}</definedName>
    <definedName name="____f3" hidden="1">{"'Sheet1'!$L$16"}</definedName>
    <definedName name="____f4" localSheetId="18" hidden="1">{"'Sheet1'!$L$16"}</definedName>
    <definedName name="____f4" hidden="1">{"'Sheet1'!$L$16"}</definedName>
    <definedName name="____f5" localSheetId="18" hidden="1">{"'Sheet1'!$L$16"}</definedName>
    <definedName name="____f5" hidden="1">{"'Sheet1'!$L$16"}</definedName>
    <definedName name="____f6" localSheetId="18" hidden="1">{"'Sheet1'!$L$16"}</definedName>
    <definedName name="____f6" hidden="1">{"'Sheet1'!$L$16"}</definedName>
    <definedName name="____f7" localSheetId="18" hidden="1">{"'Sheet1'!$L$16"}</definedName>
    <definedName name="____f7" hidden="1">{"'Sheet1'!$L$16"}</definedName>
    <definedName name="____f8" localSheetId="18" hidden="1">{#N/A,#N/A,FALSE,"Chi tiÆt"}</definedName>
    <definedName name="____f8" hidden="1">{#N/A,#N/A,FALSE,"Chi tiÆt"}</definedName>
    <definedName name="____f9" localSheetId="18" hidden="1">{#N/A,#N/A,FALSE,"Chi tiÆt"}</definedName>
    <definedName name="____f9" hidden="1">{#N/A,#N/A,FALSE,"Chi tiÆt"}</definedName>
    <definedName name="____fd4" hidden="1">#REF!</definedName>
    <definedName name="____FOH2006" localSheetId="18" hidden="1">{#N/A,#N/A,FALSE,"TL";#N/A,#N/A,FALSE,"KK";#N/A,#N/A,FALSE,"TS";#N/A,#N/A,FALSE,"KW";#N/A,#N/A,FALSE,"LP";#N/A,#N/A,FALSE,"DC"}</definedName>
    <definedName name="____FOH2006" localSheetId="0" hidden="1">{#N/A,#N/A,FALSE,"TL";#N/A,#N/A,FALSE,"KK";#N/A,#N/A,FALSE,"TS";#N/A,#N/A,FALSE,"KW";#N/A,#N/A,FALSE,"LP";#N/A,#N/A,FALSE,"DC"}</definedName>
    <definedName name="____FOH2006" hidden="1">{#N/A,#N/A,FALSE,"TL";#N/A,#N/A,FALSE,"KK";#N/A,#N/A,FALSE,"TS";#N/A,#N/A,FALSE,"KW";#N/A,#N/A,FALSE,"LP";#N/A,#N/A,FALSE,"DC"}</definedName>
    <definedName name="____gw04" localSheetId="18" hidden="1">{#N/A,#N/A,FALSE,"Aging Summary";#N/A,#N/A,FALSE,"Ratio Analysis";#N/A,#N/A,FALSE,"Test 120 Day Accts";#N/A,#N/A,FALSE,"Tickmarks"}</definedName>
    <definedName name="____gw04" hidden="1">{#N/A,#N/A,FALSE,"Aging Summary";#N/A,#N/A,FALSE,"Ratio Analysis";#N/A,#N/A,FALSE,"Test 120 Day Accts";#N/A,#N/A,FALSE,"Tickmarks"}</definedName>
    <definedName name="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localSheetId="18" hidden="1">{"'Model'!$A$1:$N$53"}</definedName>
    <definedName name="____h2" hidden="1">{"'Model'!$A$1:$N$53"}</definedName>
    <definedName name="____huy1" localSheetId="18" hidden="1">{"'Sheet1'!$L$16"}</definedName>
    <definedName name="____huy1" hidden="1">{"'Sheet1'!$L$16"}</definedName>
    <definedName name="____KP300" localSheetId="18" hidden="1">{"level1",#N/A,FALSE,"1_LEV";"LEVEL1",#N/A,FALSE,"1_LEV"}</definedName>
    <definedName name="____KP300" hidden="1">{"level1",#N/A,FALSE,"1_LEV";"LEVEL1",#N/A,FALSE,"1_LEV"}</definedName>
    <definedName name="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localSheetId="18" hidden="1">{#N/A,#N/A,FALSE,"RECONC'L";#N/A,#N/A,FALSE,"WORKCAP";#N/A,#N/A,FALSE,"RECONC'L";#N/A,#N/A,FALSE,"ACCRUAL";#N/A,#N/A,FALSE,"DEBTOR";#N/A,#N/A,FALSE,"ADMALLOC"}</definedName>
    <definedName name="____n1" hidden="1">{#N/A,#N/A,FALSE,"RECONC'L";#N/A,#N/A,FALSE,"WORKCAP";#N/A,#N/A,FALSE,"RECONC'L";#N/A,#N/A,FALSE,"ACCRUAL";#N/A,#N/A,FALSE,"DEBTOR";#N/A,#N/A,FALSE,"ADMALLOC"}</definedName>
    <definedName name="____nat2" localSheetId="18" hidden="1">{#N/A,#N/A,FALSE,"Assessment";#N/A,#N/A,FALSE,"Staffing";#N/A,#N/A,FALSE,"Hires";#N/A,#N/A,FALSE,"Assumptions"}</definedName>
    <definedName name="____nat2" localSheetId="0" hidden="1">{#N/A,#N/A,FALSE,"Assessment";#N/A,#N/A,FALSE,"Staffing";#N/A,#N/A,FALSE,"Hires";#N/A,#N/A,FALSE,"Assumptions"}</definedName>
    <definedName name="____nat2" hidden="1">{#N/A,#N/A,FALSE,"Assessment";#N/A,#N/A,FALSE,"Staffing";#N/A,#N/A,FALSE,"Hires";#N/A,#N/A,FALSE,"Assumptions"}</definedName>
    <definedName name="____nat3" localSheetId="18" hidden="1">{#N/A,#N/A,FALSE,"Assessment";#N/A,#N/A,FALSE,"Staffing";#N/A,#N/A,FALSE,"Hires";#N/A,#N/A,FALSE,"Assumptions"}</definedName>
    <definedName name="____nat3" localSheetId="0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localSheetId="18" hidden="1">{"'Sheet1'!$L$16"}</definedName>
    <definedName name="____NSO2" localSheetId="23" hidden="1">{"'Sheet1'!$L$16"}</definedName>
    <definedName name="____NSO2" localSheetId="21" hidden="1">{"'Sheet1'!$L$16"}</definedName>
    <definedName name="____NSO2" localSheetId="20" hidden="1">{"'Sheet1'!$L$16"}</definedName>
    <definedName name="____NSO2" localSheetId="0" hidden="1">{"'Sheet1'!$L$16"}</definedName>
    <definedName name="____NSO2" hidden="1">{"'Sheet1'!$L$16"}</definedName>
    <definedName name="____NSO2_1" localSheetId="18" hidden="1">{"'Sheet1'!$L$16"}</definedName>
    <definedName name="____NSO2_1" hidden="1">{"'Sheet1'!$L$16"}</definedName>
    <definedName name="____NSO2_2" localSheetId="18" hidden="1">{"'Sheet1'!$L$16"}</definedName>
    <definedName name="____NSO2_2" hidden="1">{"'Sheet1'!$L$16"}</definedName>
    <definedName name="____NSO3" localSheetId="18" hidden="1">{"'Sheet1'!$L$16"}</definedName>
    <definedName name="____NSO3" hidden="1">{"'Sheet1'!$L$16"}</definedName>
    <definedName name="____PA3" localSheetId="18" hidden="1">{"'Sheet1'!$L$16"}</definedName>
    <definedName name="____PA3" hidden="1">{"'Sheet1'!$L$16"}</definedName>
    <definedName name="____PUR6" localSheetId="18" hidden="1">{#N/A,#N/A,FALSE,"Sheet2"}</definedName>
    <definedName name="____PUR6" hidden="1">{#N/A,#N/A,FALSE,"Sheet2"}</definedName>
    <definedName name="____q2" localSheetId="18" hidden="1">{"PAGE 1",#N/A,FALSE,"หน้า 1,2,3";"PAGE 2",#N/A,FALSE,"หน้า 1,2,3";"PAGE 3",#N/A,FALSE,"หน้า 1,2,3"}</definedName>
    <definedName name="____q2" hidden="1">{"PAGE 1",#N/A,FALSE,"หน้า 1,2,3";"PAGE 2",#N/A,FALSE,"หน้า 1,2,3";"PAGE 3",#N/A,FALSE,"หน้า 1,2,3"}</definedName>
    <definedName name="____q3" localSheetId="18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localSheetId="18" hidden="1">{#N/A,#N/A,FALSE,"Sheet2"}</definedName>
    <definedName name="____QUY3" hidden="1">{#N/A,#N/A,FALSE,"Sheet2"}</definedName>
    <definedName name="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localSheetId="18" hidden="1">{"'Sheet1'!$L$16"}</definedName>
    <definedName name="____s1" hidden="1">{"'Sheet1'!$L$16"}</definedName>
    <definedName name="____s2" localSheetId="18" hidden="1">{"'Sheet1'!$L$16"}</definedName>
    <definedName name="____s2" hidden="1">{"'Sheet1'!$L$16"}</definedName>
    <definedName name="____s3" localSheetId="18" hidden="1">{"'Sheet1'!$L$16"}</definedName>
    <definedName name="____s3" hidden="1">{"'Sheet1'!$L$16"}</definedName>
    <definedName name="____s4" localSheetId="18" hidden="1">{"'Sheet1'!$L$16"}</definedName>
    <definedName name="____s4" hidden="1">{"'Sheet1'!$L$16"}</definedName>
    <definedName name="____s5" localSheetId="18" hidden="1">{"'Sheet1'!$L$16"}</definedName>
    <definedName name="____s5" hidden="1">{"'Sheet1'!$L$16"}</definedName>
    <definedName name="____s6" localSheetId="18" hidden="1">{#N/A,#N/A,FALSE,"Chi tiÆt"}</definedName>
    <definedName name="____s6" hidden="1">{#N/A,#N/A,FALSE,"Chi tiÆt"}</definedName>
    <definedName name="____s7" localSheetId="18" hidden="1">{#N/A,#N/A,FALSE,"Chi tiÆt"}</definedName>
    <definedName name="____s7" hidden="1">{#N/A,#N/A,FALSE,"Chi tiÆt"}</definedName>
    <definedName name="____T01" hidden="1">#REF!</definedName>
    <definedName name="____t2" localSheetId="18" hidden="1">{"'Sheet1'!$L$16"}</definedName>
    <definedName name="____t2" hidden="1">{"'Sheet1'!$L$16"}</definedName>
    <definedName name="____t4" localSheetId="18" hidden="1">{"'Sheet1'!$L$16"}</definedName>
    <definedName name="____t4" hidden="1">{"'Sheet1'!$L$16"}</definedName>
    <definedName name="____t5" localSheetId="18" hidden="1">{"'Sheet1'!$L$16"}</definedName>
    <definedName name="____t5" hidden="1">{"'Sheet1'!$L$16"}</definedName>
    <definedName name="____t6" localSheetId="18" hidden="1">{"'Sheet1'!$L$16"}</definedName>
    <definedName name="____t6" hidden="1">{"'Sheet1'!$L$16"}</definedName>
    <definedName name="____t7" localSheetId="18" hidden="1">{"'Sheet1'!$L$16"}</definedName>
    <definedName name="____t7" hidden="1">{"'Sheet1'!$L$16"}</definedName>
    <definedName name="____t8" localSheetId="18" hidden="1">{#N/A,#N/A,FALSE,"Chi tiÆt"}</definedName>
    <definedName name="____t8" hidden="1">{#N/A,#N/A,FALSE,"Chi tiÆt"}</definedName>
    <definedName name="____t9" localSheetId="18" hidden="1">{"'Sheet1'!$L$16"}</definedName>
    <definedName name="____t9" hidden="1">{"'Sheet1'!$L$16"}</definedName>
    <definedName name="____tt3" localSheetId="18" hidden="1">{"'Sheet1'!$L$16"}</definedName>
    <definedName name="____tt3" hidden="1">{"'Sheet1'!$L$16"}</definedName>
    <definedName name="____U3" localSheetId="18" hidden="1">{#N/A,#N/A,FALSE,"Aging Summary";#N/A,#N/A,FALSE,"Ratio Analysis";#N/A,#N/A,FALSE,"Test 120 Day Accts";#N/A,#N/A,FALSE,"Tickmarks"}</definedName>
    <definedName name="____U3" hidden="1">{#N/A,#N/A,FALSE,"Aging Summary";#N/A,#N/A,FALSE,"Ratio Analysis";#N/A,#N/A,FALSE,"Test 120 Day Accts";#N/A,#N/A,FALSE,"Tickmarks"}</definedName>
    <definedName name="____w2" localSheetId="18" hidden="1">{"'Sheet1'!$L$16"}</definedName>
    <definedName name="____w2" hidden="1">{"'Sheet1'!$L$16"}</definedName>
    <definedName name="____w3" localSheetId="18" hidden="1">{"'Sheet1'!$L$16"}</definedName>
    <definedName name="____w3" hidden="1">{"'Sheet1'!$L$16"}</definedName>
    <definedName name="____w4" localSheetId="18" hidden="1">{"'Sheet1'!$L$16"}</definedName>
    <definedName name="____w4" hidden="1">{"'Sheet1'!$L$16"}</definedName>
    <definedName name="____w5" localSheetId="18" hidden="1">{"'Sheet1'!$L$16"}</definedName>
    <definedName name="____w5" hidden="1">{"'Sheet1'!$L$16"}</definedName>
    <definedName name="____w6" localSheetId="18" hidden="1">{#N/A,#N/A,FALSE,"Chi tiÆt"}</definedName>
    <definedName name="____w6" hidden="1">{#N/A,#N/A,FALSE,"Chi tiÆt"}</definedName>
    <definedName name="____w8" localSheetId="18" hidden="1">{"'Sheet1'!$L$16"}</definedName>
    <definedName name="____w8" hidden="1">{"'Sheet1'!$L$16"}</definedName>
    <definedName name="____w9" localSheetId="18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localSheetId="18" hidden="1">{"'ตัวอย่าง'!$A$1:$O$21"}</definedName>
    <definedName name="____Z1" localSheetId="0" hidden="1">{"'ตัวอย่าง'!$A$1:$O$21"}</definedName>
    <definedName name="____Z1" hidden="1">{"'ตัวอย่าง'!$A$1:$O$21"}</definedName>
    <definedName name="___111" localSheetId="18" hidden="1">{"'Sheet1'!$L$16"}</definedName>
    <definedName name="___111" hidden="1">{"'Sheet1'!$L$16"}</definedName>
    <definedName name="___a1" localSheetId="18" hidden="1">{"cashflow",#N/A,FALSE,"CASHFLOW "}</definedName>
    <definedName name="___a1" localSheetId="0" hidden="1">{"cashflow",#N/A,FALSE,"CASHFLOW "}</definedName>
    <definedName name="___a1" hidden="1">{"cashflow",#N/A,FALSE,"CASHFLOW "}</definedName>
    <definedName name="___a1_1" localSheetId="18" hidden="1">{"'Sheet1'!$L$16"}</definedName>
    <definedName name="___a1_1" hidden="1">{"'Sheet1'!$L$16"}</definedName>
    <definedName name="___a1_2" localSheetId="18" hidden="1">{"'Sheet1'!$L$16"}</definedName>
    <definedName name="___a1_2" hidden="1">{"'Sheet1'!$L$16"}</definedName>
    <definedName name="___a10" localSheetId="18" hidden="1">{"sales",#N/A,FALSE,"SALES"}</definedName>
    <definedName name="___a10" localSheetId="0" hidden="1">{"sales",#N/A,FALSE,"SALES"}</definedName>
    <definedName name="___a10" hidden="1">{"sales",#N/A,FALSE,"SALES"}</definedName>
    <definedName name="___a11" localSheetId="18" hidden="1">{"'Sheet1'!$L$16"}</definedName>
    <definedName name="___a11" hidden="1">{"'Sheet1'!$L$16"}</definedName>
    <definedName name="___a12" localSheetId="18" hidden="1">{"'Sheet1'!$L$16"}</definedName>
    <definedName name="___a12" hidden="1">{"'Sheet1'!$L$16"}</definedName>
    <definedName name="___A123" hidden="1">#REF!</definedName>
    <definedName name="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localSheetId="18" hidden="1">{"revable",#N/A,FALSE,"REVABLE"}</definedName>
    <definedName name="___a133" hidden="1">{"revable",#N/A,FALSE,"REVABLE"}</definedName>
    <definedName name="___a2" localSheetId="18" hidden="1">{"hilight1",#N/A,FALSE,"HILIGHT1"}</definedName>
    <definedName name="___a2" localSheetId="0" hidden="1">{"hilight1",#N/A,FALSE,"HILIGHT1"}</definedName>
    <definedName name="___a2" hidden="1">{"hilight1",#N/A,FALSE,"HILIGHT1"}</definedName>
    <definedName name="___a3" localSheetId="18" hidden="1">{"hilight2",#N/A,FALSE,"HILIGHT2"}</definedName>
    <definedName name="___a3" localSheetId="0" hidden="1">{"hilight2",#N/A,FALSE,"HILIGHT2"}</definedName>
    <definedName name="___a3" hidden="1">{"hilight2",#N/A,FALSE,"HILIGHT2"}</definedName>
    <definedName name="___a4" localSheetId="18" hidden="1">{"hilight3",#N/A,FALSE,"HILIGHT3"}</definedName>
    <definedName name="___a4" localSheetId="0" hidden="1">{"hilight3",#N/A,FALSE,"HILIGHT3"}</definedName>
    <definedName name="___a4" hidden="1">{"hilight3",#N/A,FALSE,"HILIGHT3"}</definedName>
    <definedName name="___a5" localSheetId="18" hidden="1">{"income",#N/A,FALSE,"INCOME"}</definedName>
    <definedName name="___a5" localSheetId="0" hidden="1">{"income",#N/A,FALSE,"INCOME"}</definedName>
    <definedName name="___a5" hidden="1">{"income",#N/A,FALSE,"INCOME"}</definedName>
    <definedName name="___a51" localSheetId="18" hidden="1">{"income",#N/A,FALSE,"INCOME"}</definedName>
    <definedName name="___a51" hidden="1">{"income",#N/A,FALSE,"INCOME"}</definedName>
    <definedName name="___a6" localSheetId="18" hidden="1">{"index",#N/A,FALSE,"INDEX"}</definedName>
    <definedName name="___a6" localSheetId="0" hidden="1">{"index",#N/A,FALSE,"INDEX"}</definedName>
    <definedName name="___a6" hidden="1">{"index",#N/A,FALSE,"INDEX"}</definedName>
    <definedName name="___a7" localSheetId="18" hidden="1">{"PRINT_EST",#N/A,FALSE,"ESTMON"}</definedName>
    <definedName name="___a7" localSheetId="0" hidden="1">{"PRINT_EST",#N/A,FALSE,"ESTMON"}</definedName>
    <definedName name="___a7" hidden="1">{"PRINT_EST",#N/A,FALSE,"ESTMON"}</definedName>
    <definedName name="___a8" localSheetId="18" hidden="1">{"revsale",#N/A,FALSE,"REV-ยุพดี"}</definedName>
    <definedName name="___a8" localSheetId="0" hidden="1">{"revsale",#N/A,FALSE,"REV-ยุพดี"}</definedName>
    <definedName name="___a8" hidden="1">{"revsale",#N/A,FALSE,"REV-ยุพดี"}</definedName>
    <definedName name="___a9" localSheetId="18" hidden="1">{"revable",#N/A,FALSE,"REVABLE"}</definedName>
    <definedName name="___a9" localSheetId="0" hidden="1">{"revable",#N/A,FALSE,"REVABLE"}</definedName>
    <definedName name="___a9" hidden="1">{"revable",#N/A,FALSE,"REVABLE"}</definedName>
    <definedName name="___aa1" localSheetId="18" hidden="1">{"cashflow",#N/A,FALSE,"CASHFLOW "}</definedName>
    <definedName name="___aa1" hidden="1">{"cashflow",#N/A,FALSE,"CASHFLOW "}</definedName>
    <definedName name="___apr2" localSheetId="18" hidden="1">{"'Model'!$A$1:$N$53"}</definedName>
    <definedName name="___apr2" hidden="1">{"'Model'!$A$1:$N$53"}</definedName>
    <definedName name="___B1" localSheetId="18" hidden="1">{"PRINT_EST",#N/A,FALSE,"ESTMON"}</definedName>
    <definedName name="___B1" hidden="1">{"PRINT_EST",#N/A,FALSE,"ESTMON"}</definedName>
    <definedName name="___b3" localSheetId="18" hidden="1">{"'Sheet1'!$L$16"}</definedName>
    <definedName name="___b3" hidden="1">{"'Sheet1'!$L$16"}</definedName>
    <definedName name="___b4" localSheetId="18" hidden="1">{"'Sheet1'!$L$16"}</definedName>
    <definedName name="___b4" hidden="1">{"'Sheet1'!$L$16"}</definedName>
    <definedName name="___b5" localSheetId="18" hidden="1">{"'Sheet1'!$L$16"}</definedName>
    <definedName name="___b5" hidden="1">{"'Sheet1'!$L$16"}</definedName>
    <definedName name="___b6" localSheetId="18" hidden="1">{"'Sheet1'!$L$16"}</definedName>
    <definedName name="___b6" hidden="1">{"'Sheet1'!$L$16"}</definedName>
    <definedName name="___b7" localSheetId="18" hidden="1">{#N/A,#N/A,FALSE,"Chi tiÆt"}</definedName>
    <definedName name="___b7" hidden="1">{#N/A,#N/A,FALSE,"Chi tiÆt"}</definedName>
    <definedName name="___e1" localSheetId="18" hidden="1">{"'Sheet1'!$L$16"}</definedName>
    <definedName name="___e1" hidden="1">{"'Sheet1'!$L$16"}</definedName>
    <definedName name="___e2" localSheetId="18" hidden="1">{"'Sheet1'!$L$16"}</definedName>
    <definedName name="___e2" hidden="1">{"'Sheet1'!$L$16"}</definedName>
    <definedName name="___e4" localSheetId="18" hidden="1">{"'Sheet1'!$L$16"}</definedName>
    <definedName name="___e4" hidden="1">{"'Sheet1'!$L$16"}</definedName>
    <definedName name="___e5" localSheetId="18" hidden="1">{"'Sheet1'!$L$16"}</definedName>
    <definedName name="___e5" hidden="1">{"'Sheet1'!$L$16"}</definedName>
    <definedName name="___e6" localSheetId="18" hidden="1">{"'Sheet1'!$L$16"}</definedName>
    <definedName name="___e6" hidden="1">{"'Sheet1'!$L$16"}</definedName>
    <definedName name="___e7" localSheetId="18" hidden="1">{"'Sheet1'!$L$16"}</definedName>
    <definedName name="___e7" hidden="1">{"'Sheet1'!$L$16"}</definedName>
    <definedName name="___e8" localSheetId="18" hidden="1">{#N/A,#N/A,FALSE,"Chi tiÆt"}</definedName>
    <definedName name="___e8" hidden="1">{#N/A,#N/A,FALSE,"Chi tiÆt"}</definedName>
    <definedName name="___f1" localSheetId="18" hidden="1">{"'Sheet1'!$L$16"}</definedName>
    <definedName name="___f1" hidden="1">{"'Sheet1'!$L$16"}</definedName>
    <definedName name="___f2" localSheetId="18" hidden="1">{"'Sheet1'!$L$16"}</definedName>
    <definedName name="___f2" hidden="1">{"'Sheet1'!$L$16"}</definedName>
    <definedName name="___f3" localSheetId="18" hidden="1">{"'Sheet1'!$L$16"}</definedName>
    <definedName name="___f3" hidden="1">{"'Sheet1'!$L$16"}</definedName>
    <definedName name="___f4" localSheetId="18" hidden="1">{"'Sheet1'!$L$16"}</definedName>
    <definedName name="___f4" hidden="1">{"'Sheet1'!$L$16"}</definedName>
    <definedName name="___f5" localSheetId="18" hidden="1">{"'Sheet1'!$L$16"}</definedName>
    <definedName name="___f5" hidden="1">{"'Sheet1'!$L$16"}</definedName>
    <definedName name="___f6" localSheetId="18" hidden="1">{"'Sheet1'!$L$16"}</definedName>
    <definedName name="___f6" hidden="1">{"'Sheet1'!$L$16"}</definedName>
    <definedName name="___f7" localSheetId="18" hidden="1">{"'Sheet1'!$L$16"}</definedName>
    <definedName name="___f7" hidden="1">{"'Sheet1'!$L$16"}</definedName>
    <definedName name="___f8" localSheetId="18" hidden="1">{#N/A,#N/A,FALSE,"Chi tiÆt"}</definedName>
    <definedName name="___f8" hidden="1">{#N/A,#N/A,FALSE,"Chi tiÆt"}</definedName>
    <definedName name="___f9" localSheetId="18" hidden="1">{#N/A,#N/A,FALSE,"Chi tiÆt"}</definedName>
    <definedName name="___f9" hidden="1">{#N/A,#N/A,FALSE,"Chi tiÆt"}</definedName>
    <definedName name="___fd4" hidden="1">#REF!</definedName>
    <definedName name="___FOH2006" localSheetId="18" hidden="1">{#N/A,#N/A,FALSE,"TL";#N/A,#N/A,FALSE,"KK";#N/A,#N/A,FALSE,"TS";#N/A,#N/A,FALSE,"KW";#N/A,#N/A,FALSE,"LP";#N/A,#N/A,FALSE,"DC"}</definedName>
    <definedName name="___FOH2006" localSheetId="0" hidden="1">{#N/A,#N/A,FALSE,"TL";#N/A,#N/A,FALSE,"KK";#N/A,#N/A,FALSE,"TS";#N/A,#N/A,FALSE,"KW";#N/A,#N/A,FALSE,"LP";#N/A,#N/A,FALSE,"DC"}</definedName>
    <definedName name="___FOH2006" hidden="1">{#N/A,#N/A,FALSE,"TL";#N/A,#N/A,FALSE,"KK";#N/A,#N/A,FALSE,"TS";#N/A,#N/A,FALSE,"KW";#N/A,#N/A,FALSE,"LP";#N/A,#N/A,FALSE,"DC"}</definedName>
    <definedName name="___gg1" localSheetId="18" hidden="1">{"'Sheet1'!$L$16"}</definedName>
    <definedName name="___gg1" hidden="1">{"'Sheet1'!$L$16"}</definedName>
    <definedName name="___Goi8" localSheetId="18" hidden="1">{"'Sheet1'!$L$16"}</definedName>
    <definedName name="___Goi8" hidden="1">{"'Sheet1'!$L$16"}</definedName>
    <definedName name="___gw04" localSheetId="18" hidden="1">{#N/A,#N/A,FALSE,"Aging Summary";#N/A,#N/A,FALSE,"Ratio Analysis";#N/A,#N/A,FALSE,"Test 120 Day Accts";#N/A,#N/A,FALSE,"Tickmarks"}</definedName>
    <definedName name="___gw04" hidden="1">{#N/A,#N/A,FALSE,"Aging Summary";#N/A,#N/A,FALSE,"Ratio Analysis";#N/A,#N/A,FALSE,"Test 120 Day Accts";#N/A,#N/A,FALSE,"Tickmarks"}</definedName>
    <definedName name="___h1" localSheetId="18" hidden="1">{"'Sheet1'!$L$16"}</definedName>
    <definedName name="___h1" hidden="1">{"'Sheet1'!$L$16"}</definedName>
    <definedName name="___h2" localSheetId="18" hidden="1">{"'Sheet1'!$L$16"}</definedName>
    <definedName name="___h2" localSheetId="23" hidden="1">{"'Sheet1'!$L$16"}</definedName>
    <definedName name="___h2" localSheetId="21" hidden="1">{"'Sheet1'!$L$16"}</definedName>
    <definedName name="___h2" localSheetId="20" hidden="1">{"'Sheet1'!$L$16"}</definedName>
    <definedName name="___h2" localSheetId="0" hidden="1">{"'Sheet1'!$L$16"}</definedName>
    <definedName name="___h2" hidden="1">{"'Sheet1'!$L$16"}</definedName>
    <definedName name="___huy1" localSheetId="18" hidden="1">{"'Sheet1'!$L$16"}</definedName>
    <definedName name="___huy1" hidden="1">{"'Sheet1'!$L$16"}</definedName>
    <definedName name="___KP300" localSheetId="18" hidden="1">{"level1",#N/A,FALSE,"1_LEV";"LEVEL1",#N/A,FALSE,"1_LEV"}</definedName>
    <definedName name="___KP300" hidden="1">{"level1",#N/A,FALSE,"1_LEV";"LEVEL1",#N/A,FALSE,"1_LEV"}</definedName>
    <definedName name="___Lan1" localSheetId="18" hidden="1">{"'Sheet1'!$L$16"}</definedName>
    <definedName name="___Lan1" hidden="1">{"'Sheet1'!$L$16"}</definedName>
    <definedName name="___LAN3" localSheetId="18" hidden="1">{"'Sheet1'!$L$16"}</definedName>
    <definedName name="___LAN3" hidden="1">{"'Sheet1'!$L$16"}</definedName>
    <definedName name="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localSheetId="18" hidden="1">{#N/A,#N/A,FALSE,"RECONC'L";#N/A,#N/A,FALSE,"WORKCAP";#N/A,#N/A,FALSE,"RECONC'L";#N/A,#N/A,FALSE,"ACCRUAL";#N/A,#N/A,FALSE,"DEBTOR";#N/A,#N/A,FALSE,"ADMALLOC"}</definedName>
    <definedName name="___n1" hidden="1">{#N/A,#N/A,FALSE,"RECONC'L";#N/A,#N/A,FALSE,"WORKCAP";#N/A,#N/A,FALSE,"RECONC'L";#N/A,#N/A,FALSE,"ACCRUAL";#N/A,#N/A,FALSE,"DEBTOR";#N/A,#N/A,FALSE,"ADMALLOC"}</definedName>
    <definedName name="___nat2" localSheetId="18" hidden="1">{#N/A,#N/A,FALSE,"Assessment";#N/A,#N/A,FALSE,"Staffing";#N/A,#N/A,FALSE,"Hires";#N/A,#N/A,FALSE,"Assumptions"}</definedName>
    <definedName name="___nat2" localSheetId="0" hidden="1">{#N/A,#N/A,FALSE,"Assessment";#N/A,#N/A,FALSE,"Staffing";#N/A,#N/A,FALSE,"Hires";#N/A,#N/A,FALSE,"Assumptions"}</definedName>
    <definedName name="___nat2" hidden="1">{#N/A,#N/A,FALSE,"Assessment";#N/A,#N/A,FALSE,"Staffing";#N/A,#N/A,FALSE,"Hires";#N/A,#N/A,FALSE,"Assumptions"}</definedName>
    <definedName name="___nat3" localSheetId="18" hidden="1">{#N/A,#N/A,FALSE,"Assessment";#N/A,#N/A,FALSE,"Staffing";#N/A,#N/A,FALSE,"Hires";#N/A,#N/A,FALSE,"Assumptions"}</definedName>
    <definedName name="___nat3" localSheetId="0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localSheetId="18" hidden="1">{"'Sheet1'!$L$16"}</definedName>
    <definedName name="___NSO2" localSheetId="23" hidden="1">{"'Sheet1'!$L$16"}</definedName>
    <definedName name="___NSO2" localSheetId="21" hidden="1">{"'Sheet1'!$L$16"}</definedName>
    <definedName name="___NSO2" localSheetId="20" hidden="1">{"'Sheet1'!$L$16"}</definedName>
    <definedName name="___NSO2" localSheetId="0" hidden="1">{"'Sheet1'!$L$16"}</definedName>
    <definedName name="___NSO2" hidden="1">{"'Sheet1'!$L$16"}</definedName>
    <definedName name="___NSO2_1" localSheetId="18" hidden="1">{"'Sheet1'!$L$16"}</definedName>
    <definedName name="___NSO2_1" hidden="1">{"'Sheet1'!$L$16"}</definedName>
    <definedName name="___NSO2_2" localSheetId="18" hidden="1">{"'Sheet1'!$L$16"}</definedName>
    <definedName name="___NSO2_2" hidden="1">{"'Sheet1'!$L$16"}</definedName>
    <definedName name="___nso3" localSheetId="18" hidden="1">{"'Sheet1'!$L$16"}</definedName>
    <definedName name="___nso3" hidden="1">{"'Sheet1'!$L$16"}</definedName>
    <definedName name="___PA3" localSheetId="18" hidden="1">{"'Sheet1'!$L$16"}</definedName>
    <definedName name="___PA3" hidden="1">{"'Sheet1'!$L$16"}</definedName>
    <definedName name="___PUR6" localSheetId="18" hidden="1">{#N/A,#N/A,FALSE,"Sheet2"}</definedName>
    <definedName name="___PUR6" hidden="1">{#N/A,#N/A,FALSE,"Sheet2"}</definedName>
    <definedName name="___q2" localSheetId="18" hidden="1">{"PAGE 1",#N/A,FALSE,"หน้า 1,2,3";"PAGE 2",#N/A,FALSE,"หน้า 1,2,3";"PAGE 3",#N/A,FALSE,"หน้า 1,2,3"}</definedName>
    <definedName name="___q2" hidden="1">{"PAGE 1",#N/A,FALSE,"หน้า 1,2,3";"PAGE 2",#N/A,FALSE,"หน้า 1,2,3";"PAGE 3",#N/A,FALSE,"หน้า 1,2,3"}</definedName>
    <definedName name="___q3" localSheetId="18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localSheetId="18" hidden="1">{#N/A,#N/A,FALSE,"Sheet2"}</definedName>
    <definedName name="___QUY3" hidden="1">{#N/A,#N/A,FALSE,"Sheet2"}</definedName>
    <definedName name="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localSheetId="18" hidden="1">{"'Sheet1'!$L$16"}</definedName>
    <definedName name="___s1" hidden="1">{"'Sheet1'!$L$16"}</definedName>
    <definedName name="___s2" localSheetId="18" hidden="1">{"'Sheet1'!$L$16"}</definedName>
    <definedName name="___s2" hidden="1">{"'Sheet1'!$L$16"}</definedName>
    <definedName name="___s3" localSheetId="18" hidden="1">{"'Sheet1'!$L$16"}</definedName>
    <definedName name="___s3" hidden="1">{"'Sheet1'!$L$16"}</definedName>
    <definedName name="___s4" localSheetId="18" hidden="1">{"'Sheet1'!$L$16"}</definedName>
    <definedName name="___s4" hidden="1">{"'Sheet1'!$L$16"}</definedName>
    <definedName name="___s5" localSheetId="18" hidden="1">{"'Sheet1'!$L$16"}</definedName>
    <definedName name="___s5" hidden="1">{"'Sheet1'!$L$16"}</definedName>
    <definedName name="___s6" localSheetId="18" hidden="1">{#N/A,#N/A,FALSE,"Chi tiÆt"}</definedName>
    <definedName name="___s6" hidden="1">{#N/A,#N/A,FALSE,"Chi tiÆt"}</definedName>
    <definedName name="___s7" localSheetId="18" hidden="1">{#N/A,#N/A,FALSE,"Chi tiÆt"}</definedName>
    <definedName name="___s7" hidden="1">{#N/A,#N/A,FALSE,"Chi tiÆt"}</definedName>
    <definedName name="___T01" hidden="1">#REF!</definedName>
    <definedName name="___t2" localSheetId="18" hidden="1">{"'Sheet1'!$L$16"}</definedName>
    <definedName name="___t2" hidden="1">{"'Sheet1'!$L$16"}</definedName>
    <definedName name="___t4" localSheetId="18" hidden="1">{"'Sheet1'!$L$16"}</definedName>
    <definedName name="___t4" hidden="1">{"'Sheet1'!$L$16"}</definedName>
    <definedName name="___t5" localSheetId="18" hidden="1">{"'Sheet1'!$L$16"}</definedName>
    <definedName name="___t5" hidden="1">{"'Sheet1'!$L$16"}</definedName>
    <definedName name="___t6" localSheetId="18" hidden="1">{"'Sheet1'!$L$16"}</definedName>
    <definedName name="___t6" hidden="1">{"'Sheet1'!$L$16"}</definedName>
    <definedName name="___t7" localSheetId="18" hidden="1">{"'Sheet1'!$L$16"}</definedName>
    <definedName name="___t7" hidden="1">{"'Sheet1'!$L$16"}</definedName>
    <definedName name="___t8" localSheetId="18" hidden="1">{#N/A,#N/A,FALSE,"Chi tiÆt"}</definedName>
    <definedName name="___t8" hidden="1">{#N/A,#N/A,FALSE,"Chi tiÆt"}</definedName>
    <definedName name="___t9" localSheetId="18" hidden="1">{"'Sheet1'!$L$16"}</definedName>
    <definedName name="___t9" hidden="1">{"'Sheet1'!$L$16"}</definedName>
    <definedName name="___thu1" localSheetId="18" hidden="1">{"'Sheet1'!$L$16"}</definedName>
    <definedName name="___thu1" hidden="1">{"'Sheet1'!$L$16"}</definedName>
    <definedName name="___thu2" localSheetId="18" hidden="1">{"'Sheet1'!$L$16"}</definedName>
    <definedName name="___thu2" hidden="1">{"'Sheet1'!$L$16"}</definedName>
    <definedName name="___thu4" localSheetId="18" hidden="1">{"'Sheet1'!$L$16"}</definedName>
    <definedName name="___thu4" hidden="1">{"'Sheet1'!$L$16"}</definedName>
    <definedName name="___thu5" localSheetId="18" hidden="1">{"'Sheet1'!$L$16"}</definedName>
    <definedName name="___thu5" hidden="1">{"'Sheet1'!$L$16"}</definedName>
    <definedName name="___tm2" localSheetId="18" hidden="1">{#N/A,#N/A,FALSE,"Chi tiÆt"}</definedName>
    <definedName name="___tm2" localSheetId="23" hidden="1">{#N/A,#N/A,FALSE,"Chi tiÆt"}</definedName>
    <definedName name="___tm2" localSheetId="21" hidden="1">{#N/A,#N/A,FALSE,"Chi tiÆt"}</definedName>
    <definedName name="___tm2" localSheetId="20" hidden="1">{#N/A,#N/A,FALSE,"Chi tiÆt"}</definedName>
    <definedName name="___tm2" localSheetId="0" hidden="1">{#N/A,#N/A,FALSE,"Chi tiÆt"}</definedName>
    <definedName name="___tm2" hidden="1">{#N/A,#N/A,FALSE,"Chi tiÆt"}</definedName>
    <definedName name="___tt3" localSheetId="18" hidden="1">{"'Sheet1'!$L$16"}</definedName>
    <definedName name="___tt3" hidden="1">{"'Sheet1'!$L$16"}</definedName>
    <definedName name="___U3" localSheetId="18" hidden="1">{#N/A,#N/A,FALSE,"Aging Summary";#N/A,#N/A,FALSE,"Ratio Analysis";#N/A,#N/A,FALSE,"Test 120 Day Accts";#N/A,#N/A,FALSE,"Tickmarks"}</definedName>
    <definedName name="___U3" hidden="1">{#N/A,#N/A,FALSE,"Aging Summary";#N/A,#N/A,FALSE,"Ratio Analysis";#N/A,#N/A,FALSE,"Test 120 Day Accts";#N/A,#N/A,FALSE,"Tickmarks"}</definedName>
    <definedName name="___w2" localSheetId="18" hidden="1">{"'Sheet1'!$L$16"}</definedName>
    <definedName name="___w2" hidden="1">{"'Sheet1'!$L$16"}</definedName>
    <definedName name="___w3" localSheetId="18" hidden="1">{"'Sheet1'!$L$16"}</definedName>
    <definedName name="___w3" hidden="1">{"'Sheet1'!$L$16"}</definedName>
    <definedName name="___w4" localSheetId="18" hidden="1">{"'Sheet1'!$L$16"}</definedName>
    <definedName name="___w4" hidden="1">{"'Sheet1'!$L$16"}</definedName>
    <definedName name="___w5" localSheetId="18" hidden="1">{"'Sheet1'!$L$16"}</definedName>
    <definedName name="___w5" hidden="1">{"'Sheet1'!$L$16"}</definedName>
    <definedName name="___w6" localSheetId="18" hidden="1">{#N/A,#N/A,FALSE,"Chi tiÆt"}</definedName>
    <definedName name="___w6" hidden="1">{#N/A,#N/A,FALSE,"Chi tiÆt"}</definedName>
    <definedName name="___w8" localSheetId="18" hidden="1">{"'Sheet1'!$L$16"}</definedName>
    <definedName name="___w8" hidden="1">{"'Sheet1'!$L$16"}</definedName>
    <definedName name="___w9" localSheetId="18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localSheetId="18" hidden="1">{"'ตัวอย่าง'!$A$1:$O$21"}</definedName>
    <definedName name="___Z1" localSheetId="0" hidden="1">{"'ตัวอย่าง'!$A$1:$O$21"}</definedName>
    <definedName name="___Z1" hidden="1">{"'ตัวอย่าง'!$A$1:$O$21"}</definedName>
    <definedName name="__10_0_0_F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GRAPH1" localSheetId="0" hidden="1">#REF!</definedName>
    <definedName name="__123Graph_AGRAPH1" hidden="1">#REF!</definedName>
    <definedName name="__123Graph_AGRAPH2" localSheetId="0" hidden="1">#REF!</definedName>
    <definedName name="__123Graph_AGRAPH2" hidden="1">#REF!</definedName>
    <definedName name="__123Graph_AGRAPH3" localSheetId="0" hidden="1">#REF!</definedName>
    <definedName name="__123Graph_AGRAPH3" hidden="1">#REF!</definedName>
    <definedName name="__123Graph_AGRAPH4" localSheetId="0" hidden="1">#REF!</definedName>
    <definedName name="__123Graph_AGRAPH4" hidden="1">#REF!</definedName>
    <definedName name="__123Graph_AGRAPH5" localSheetId="0" hidden="1">#REF!</definedName>
    <definedName name="__123Graph_AGRAPH5" hidden="1">#REF!</definedName>
    <definedName name="__123Graph_AGRAPH6" localSheetId="0" hidden="1">#REF!</definedName>
    <definedName name="__123Graph_AGRAPH6" hidden="1">#REF!</definedName>
    <definedName name="__123Graph_AGRAPH7" localSheetId="0" hidden="1">#REF!</definedName>
    <definedName name="__123Graph_AGRAPH7" hidden="1">#REF!</definedName>
    <definedName name="__123Graph_AGRAPH8" localSheetId="0" hidden="1">#REF!</definedName>
    <definedName name="__123Graph_AGRAPH8" hidden="1">#REF!</definedName>
    <definedName name="__123Graph_AGRAPH9" localSheetId="0" hidden="1">#REF!</definedName>
    <definedName name="__123Graph_AGRAPH9" hidden="1">#REF!</definedName>
    <definedName name="__123Graph_AM105B2" hidden="1">#REF!</definedName>
    <definedName name="__123Graph_AM105I2" hidden="1">#REF!</definedName>
    <definedName name="__123Graph_AM105S2" hidden="1">#REF!</definedName>
    <definedName name="__123Graph_API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GRAPH1" localSheetId="0" hidden="1">#REF!</definedName>
    <definedName name="__123Graph_BGRAPH1" hidden="1">#REF!</definedName>
    <definedName name="__123Graph_BGRAPH2" localSheetId="0" hidden="1">#REF!</definedName>
    <definedName name="__123Graph_BGRAPH2" hidden="1">#REF!</definedName>
    <definedName name="__123Graph_BGRAPH3" localSheetId="0" hidden="1">#REF!</definedName>
    <definedName name="__123Graph_BGRAPH3" hidden="1">#REF!</definedName>
    <definedName name="__123Graph_BGRAPH4" localSheetId="0" hidden="1">#REF!</definedName>
    <definedName name="__123Graph_BGRAPH4" hidden="1">#REF!</definedName>
    <definedName name="__123Graph_BGRAPH5" localSheetId="0" hidden="1">#REF!</definedName>
    <definedName name="__123Graph_BGRAPH5" hidden="1">#REF!</definedName>
    <definedName name="__123Graph_BGRAPH6" localSheetId="0" hidden="1">#REF!</definedName>
    <definedName name="__123Graph_BGRAPH6" hidden="1">#REF!</definedName>
    <definedName name="__123Graph_BGRAPH7" localSheetId="0" hidden="1">#REF!</definedName>
    <definedName name="__123Graph_BGRAPH7" hidden="1">#REF!</definedName>
    <definedName name="__123Graph_BGRAPH8" localSheetId="0" hidden="1">#REF!</definedName>
    <definedName name="__123Graph_BGRAPH8" hidden="1">#REF!</definedName>
    <definedName name="__123Graph_BGRAPH9" localSheetId="0" hidden="1">#REF!</definedName>
    <definedName name="__123Graph_BGRAPH9" hidden="1">#REF!</definedName>
    <definedName name="__123Graph_BM105G2" hidden="1">#REF!</definedName>
    <definedName name="__123Graph_BPIS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PIS" hidden="1">#REF!</definedName>
    <definedName name="__123Graph_D" hidden="1">#REF!</definedName>
    <definedName name="__123Graph_DCurrent" hidden="1">#REF!</definedName>
    <definedName name="__123Graph_DPIS" hidden="1">#REF!</definedName>
    <definedName name="__123Graph_E" hidden="1">#REF!</definedName>
    <definedName name="__123Graph_E1" hidden="1">#REF!</definedName>
    <definedName name="__123Graph_ECurrent" hidden="1">#REF!</definedName>
    <definedName name="__123Graph_F" hidden="1">#REF!</definedName>
    <definedName name="__123Graph_F1" hidden="1">#REF!</definedName>
    <definedName name="__123Graph_FCurrent" hidden="1">#REF!</definedName>
    <definedName name="__123Graph_LBL_A" hidden="1">#REF!</definedName>
    <definedName name="__123Graph_LBL_AM105B2" hidden="1">#REF!</definedName>
    <definedName name="__123Graph_LBL_AM105I2" hidden="1">#REF!</definedName>
    <definedName name="__123Graph_LBL_AM105S2" hidden="1">#REF!</definedName>
    <definedName name="__123Graph_LBL_BGRAPH2" localSheetId="0" hidden="1">#REF!</definedName>
    <definedName name="__123Graph_LBL_BGRAPH2" hidden="1">#REF!</definedName>
    <definedName name="__123Graph_LBL_BGRAPH3" localSheetId="0" hidden="1">#REF!</definedName>
    <definedName name="__123Graph_LBL_BGRAPH3" hidden="1">#REF!</definedName>
    <definedName name="__123Graph_LBL_BGRAPH4" localSheetId="0" hidden="1">#REF!</definedName>
    <definedName name="__123Graph_LBL_BGRAPH4" hidden="1">#REF!</definedName>
    <definedName name="__123Graph_LBL_BM105G2" hidden="1">#REF!</definedName>
    <definedName name="__123Graph_X" hidden="1">#REF!</definedName>
    <definedName name="__123Graph_XGRAPH2" localSheetId="0" hidden="1">#REF!</definedName>
    <definedName name="__123Graph_XGRAPH2" hidden="1">#REF!</definedName>
    <definedName name="__123Graph_XGRAPH3" localSheetId="0" hidden="1">#REF!</definedName>
    <definedName name="__123Graph_XGRAPH3" hidden="1">#REF!</definedName>
    <definedName name="__123Graph_XGRAPH4" localSheetId="0" hidden="1">#REF!</definedName>
    <definedName name="__123Graph_XGRAPH4" hidden="1">#REF!</definedName>
    <definedName name="__123Graph_XGRAPH5" localSheetId="0" hidden="1">#REF!</definedName>
    <definedName name="__123Graph_XGRAPH5" hidden="1">#REF!</definedName>
    <definedName name="__123Graph_XGRAPH6" localSheetId="0" hidden="1">#REF!</definedName>
    <definedName name="__123Graph_XGRAPH6" hidden="1">#REF!</definedName>
    <definedName name="__123Graph_XGRAPH7" localSheetId="0" hidden="1">#REF!</definedName>
    <definedName name="__123Graph_XGRAPH7" hidden="1">#REF!</definedName>
    <definedName name="__123Graph_XGRAPH8" localSheetId="0" hidden="1">#REF!</definedName>
    <definedName name="__123Graph_XGRAPH8" hidden="1">#REF!</definedName>
    <definedName name="__123Graph_XGRAPH9" localSheetId="0" hidden="1">#REF!</definedName>
    <definedName name="__123Graph_XGRAPH9" hidden="1">#REF!</definedName>
    <definedName name="__123Graph_XM105B2" hidden="1">#REF!</definedName>
    <definedName name="__123Graph_XM105G2" hidden="1">#REF!</definedName>
    <definedName name="__123Graph_XM105I2" hidden="1">#REF!</definedName>
    <definedName name="__123Graph_XM105IR2" hidden="1">#REF!</definedName>
    <definedName name="__123Graph_XM105S2" hidden="1">#REF!</definedName>
    <definedName name="__123Graph_XM105W2" hidden="1">#REF!</definedName>
    <definedName name="__123Graph_XPIS" hidden="1">#REF!</definedName>
    <definedName name="__13_0_0_F" hidden="1">#REF!</definedName>
    <definedName name="__3F" hidden="1">#REF!</definedName>
    <definedName name="__5_0_0_F" hidden="1">#REF!</definedName>
    <definedName name="__6_0_0_F" hidden="1">#REF!</definedName>
    <definedName name="__8F" hidden="1">#REF!</definedName>
    <definedName name="__a1" localSheetId="18" hidden="1">{"cashflow",#N/A,FALSE,"CASHFLOW "}</definedName>
    <definedName name="__a1" localSheetId="0" hidden="1">{"cashflow",#N/A,FALSE,"CASHFLOW "}</definedName>
    <definedName name="__a1" hidden="1">{"cashflow",#N/A,FALSE,"CASHFLOW "}</definedName>
    <definedName name="__a1_1" localSheetId="18" hidden="1">{"'Sheet1'!$L$16"}</definedName>
    <definedName name="__a1_1" hidden="1">{"'Sheet1'!$L$16"}</definedName>
    <definedName name="__a1_1_1" localSheetId="18" hidden="1">{"'Sheet1'!$L$16"}</definedName>
    <definedName name="__a1_1_1" hidden="1">{"'Sheet1'!$L$16"}</definedName>
    <definedName name="__a1_1_1_1" localSheetId="18" hidden="1">{"'Sheet1'!$L$16"}</definedName>
    <definedName name="__a1_1_1_1" hidden="1">{"'Sheet1'!$L$16"}</definedName>
    <definedName name="__a1_1_1_2" localSheetId="18" hidden="1">{"'Sheet1'!$L$16"}</definedName>
    <definedName name="__a1_1_1_2" hidden="1">{"'Sheet1'!$L$16"}</definedName>
    <definedName name="__a1_1_2" localSheetId="18" hidden="1">{"'Sheet1'!$L$16"}</definedName>
    <definedName name="__a1_1_2" hidden="1">{"'Sheet1'!$L$16"}</definedName>
    <definedName name="__a1_1_3" localSheetId="18" hidden="1">{"'Sheet1'!$L$16"}</definedName>
    <definedName name="__a1_1_3" hidden="1">{"'Sheet1'!$L$16"}</definedName>
    <definedName name="__a1_2" localSheetId="18" hidden="1">{"'Sheet1'!$L$16"}</definedName>
    <definedName name="__a1_2" hidden="1">{"'Sheet1'!$L$16"}</definedName>
    <definedName name="__a1_2_1" localSheetId="18" hidden="1">{"'Sheet1'!$L$16"}</definedName>
    <definedName name="__a1_2_1" hidden="1">{"'Sheet1'!$L$16"}</definedName>
    <definedName name="__a1_2_2" localSheetId="18" hidden="1">{"'Sheet1'!$L$16"}</definedName>
    <definedName name="__a1_2_2" hidden="1">{"'Sheet1'!$L$16"}</definedName>
    <definedName name="__a1_3" localSheetId="18" hidden="1">{"'Sheet1'!$L$16"}</definedName>
    <definedName name="__a1_3" hidden="1">{"'Sheet1'!$L$16"}</definedName>
    <definedName name="__a1_4" localSheetId="18" hidden="1">{"'Sheet1'!$L$16"}</definedName>
    <definedName name="__a1_4" hidden="1">{"'Sheet1'!$L$16"}</definedName>
    <definedName name="__a10" localSheetId="18" hidden="1">{"sales",#N/A,FALSE,"SALES"}</definedName>
    <definedName name="__a10" localSheetId="0" hidden="1">{"sales",#N/A,FALSE,"SALES"}</definedName>
    <definedName name="__a10" hidden="1">{"sales",#N/A,FALSE,"SALES"}</definedName>
    <definedName name="__a11" localSheetId="18" hidden="1">{"'Sheet1'!$L$16"}</definedName>
    <definedName name="__a11" hidden="1">{"'Sheet1'!$L$16"}</definedName>
    <definedName name="__a12" localSheetId="18" hidden="1">{"'Sheet1'!$L$16"}</definedName>
    <definedName name="__a12" hidden="1">{"'Sheet1'!$L$16"}</definedName>
    <definedName name="__A123" hidden="1">#REF!</definedName>
    <definedName name="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localSheetId="18" hidden="1">{"revable",#N/A,FALSE,"REVABLE"}</definedName>
    <definedName name="__a133" hidden="1">{"revable",#N/A,FALSE,"REVABLE"}</definedName>
    <definedName name="__a2" localSheetId="18" hidden="1">{"hilight1",#N/A,FALSE,"HILIGHT1"}</definedName>
    <definedName name="__a2" localSheetId="0" hidden="1">{"hilight1",#N/A,FALSE,"HILIGHT1"}</definedName>
    <definedName name="__a2" hidden="1">{"hilight1",#N/A,FALSE,"HILIGHT1"}</definedName>
    <definedName name="__a3" localSheetId="18" hidden="1">{"hilight2",#N/A,FALSE,"HILIGHT2"}</definedName>
    <definedName name="__a3" localSheetId="0" hidden="1">{"hilight2",#N/A,FALSE,"HILIGHT2"}</definedName>
    <definedName name="__a3" hidden="1">{"hilight2",#N/A,FALSE,"HILIGHT2"}</definedName>
    <definedName name="__a4" localSheetId="18" hidden="1">{"hilight3",#N/A,FALSE,"HILIGHT3"}</definedName>
    <definedName name="__a4" localSheetId="0" hidden="1">{"hilight3",#N/A,FALSE,"HILIGHT3"}</definedName>
    <definedName name="__a4" hidden="1">{"hilight3",#N/A,FALSE,"HILIGHT3"}</definedName>
    <definedName name="__a5" localSheetId="18" hidden="1">{"income",#N/A,FALSE,"INCOME"}</definedName>
    <definedName name="__a5" localSheetId="0" hidden="1">{"income",#N/A,FALSE,"INCOME"}</definedName>
    <definedName name="__a5" hidden="1">{"income",#N/A,FALSE,"INCOME"}</definedName>
    <definedName name="__a51" localSheetId="18" hidden="1">{"income",#N/A,FALSE,"INCOME"}</definedName>
    <definedName name="__a51" hidden="1">{"income",#N/A,FALSE,"INCOME"}</definedName>
    <definedName name="__a6" localSheetId="18" hidden="1">{"index",#N/A,FALSE,"INDEX"}</definedName>
    <definedName name="__a6" localSheetId="0" hidden="1">{"index",#N/A,FALSE,"INDEX"}</definedName>
    <definedName name="__a6" hidden="1">{"index",#N/A,FALSE,"INDEX"}</definedName>
    <definedName name="__a7" localSheetId="18" hidden="1">{"PRINT_EST",#N/A,FALSE,"ESTMON"}</definedName>
    <definedName name="__a7" localSheetId="0" hidden="1">{"PRINT_EST",#N/A,FALSE,"ESTMON"}</definedName>
    <definedName name="__a7" hidden="1">{"PRINT_EST",#N/A,FALSE,"ESTMON"}</definedName>
    <definedName name="__a8" localSheetId="18" hidden="1">{"revsale",#N/A,FALSE,"REV-ยุพดี"}</definedName>
    <definedName name="__a8" localSheetId="0" hidden="1">{"revsale",#N/A,FALSE,"REV-ยุพดี"}</definedName>
    <definedName name="__a8" hidden="1">{"revsale",#N/A,FALSE,"REV-ยุพดี"}</definedName>
    <definedName name="__a9" localSheetId="18" hidden="1">{"revable",#N/A,FALSE,"REVABLE"}</definedName>
    <definedName name="__a9" localSheetId="0" hidden="1">{"revable",#N/A,FALSE,"REVABLE"}</definedName>
    <definedName name="__a9" hidden="1">{"revable",#N/A,FALSE,"REVABLE"}</definedName>
    <definedName name="__a99" localSheetId="18" hidden="1">{"revable",#N/A,FALSE,"REVABLE"}</definedName>
    <definedName name="__a99" hidden="1">{"revable",#N/A,FALSE,"REVABLE"}</definedName>
    <definedName name="__aa1" localSheetId="18" hidden="1">{"cashflow",#N/A,FALSE,"CASHFLOW "}</definedName>
    <definedName name="__aa1" hidden="1">{"cashflow",#N/A,FALSE,"CASHFLOW "}</definedName>
    <definedName name="__apr2" localSheetId="18" hidden="1">{"'Model'!$A$1:$N$53"}</definedName>
    <definedName name="__apr2" hidden="1">{"'Model'!$A$1:$N$53"}</definedName>
    <definedName name="__As1" hidden="1">#REF!</definedName>
    <definedName name="__B1" localSheetId="18" hidden="1">{"PRINT_EST",#N/A,FALSE,"ESTMON"}</definedName>
    <definedName name="__B1" hidden="1">{"PRINT_EST",#N/A,FALSE,"ESTMON"}</definedName>
    <definedName name="__b3" localSheetId="18" hidden="1">{"'Sheet1'!$L$16"}</definedName>
    <definedName name="__b3" hidden="1">{"'Sheet1'!$L$16"}</definedName>
    <definedName name="__b4" localSheetId="18" hidden="1">{"'Sheet1'!$L$16"}</definedName>
    <definedName name="__b4" hidden="1">{"'Sheet1'!$L$16"}</definedName>
    <definedName name="__b5" localSheetId="18" hidden="1">{"'Sheet1'!$L$16"}</definedName>
    <definedName name="__b5" hidden="1">{"'Sheet1'!$L$16"}</definedName>
    <definedName name="__b6" localSheetId="18" hidden="1">{"'Sheet1'!$L$16"}</definedName>
    <definedName name="__b6" hidden="1">{"'Sheet1'!$L$16"}</definedName>
    <definedName name="__b7" localSheetId="18" hidden="1">{#N/A,#N/A,FALSE,"Chi tiÆt"}</definedName>
    <definedName name="__b7" hidden="1">{#N/A,#N/A,FALSE,"Chi tiÆt"}</definedName>
    <definedName name="__BA2" localSheetId="18" hidden="1">{"'Sheet1'!$L$16"}</definedName>
    <definedName name="__BA2" hidden="1">{"'Sheet1'!$L$16"}</definedName>
    <definedName name="__BQ22" localSheetId="18" hidden="1">{"'Sheet1'!$L$16"}</definedName>
    <definedName name="__BQ22" hidden="1">{"'Sheet1'!$L$16"}</definedName>
    <definedName name="__BS0509" localSheetId="18" hidden="1">{#N/A,#N/A,FALSE,"CCTV"}</definedName>
    <definedName name="__BS0509" hidden="1">{#N/A,#N/A,FALSE,"CCTV"}</definedName>
    <definedName name="__cad2" localSheetId="18" hidden="1">{#N/A,#N/A,TRUE,"BT M200 da 10x20"}</definedName>
    <definedName name="__cad2" localSheetId="23" hidden="1">{#N/A,#N/A,TRUE,"BT M200 da 10x20"}</definedName>
    <definedName name="__cad2" localSheetId="21" hidden="1">{#N/A,#N/A,TRUE,"BT M200 da 10x20"}</definedName>
    <definedName name="__cad2" localSheetId="20" hidden="1">{#N/A,#N/A,TRUE,"BT M200 da 10x20"}</definedName>
    <definedName name="__cad2" localSheetId="0" hidden="1">{#N/A,#N/A,TRUE,"BT M200 da 10x20"}</definedName>
    <definedName name="__cad2" hidden="1">{#N/A,#N/A,TRUE,"BT M200 da 10x20"}</definedName>
    <definedName name="__cap1111" localSheetId="18" hidden="1">{"index",#N/A,FALSE,"INDEX"}</definedName>
    <definedName name="__cap1111" hidden="1">{"index",#N/A,FALSE,"INDEX"}</definedName>
    <definedName name="__cap6666" localSheetId="18" hidden="1">{"index",#N/A,FALSE,"INDEX"}</definedName>
    <definedName name="__cap6666" hidden="1">{"index",#N/A,FALSE,"INDEX"}</definedName>
    <definedName name="__d1500" localSheetId="18" hidden="1">{"'Sheet1'!$L$16"}</definedName>
    <definedName name="__d1500" hidden="1">{"'Sheet1'!$L$16"}</definedName>
    <definedName name="__DCF1" localSheetId="18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localSheetId="18" hidden="1">{"'Sheet1'!$L$16"}</definedName>
    <definedName name="__e1" hidden="1">{"'Sheet1'!$L$16"}</definedName>
    <definedName name="__e2" localSheetId="18" hidden="1">{"'Sheet1'!$L$16"}</definedName>
    <definedName name="__e2" hidden="1">{"'Sheet1'!$L$16"}</definedName>
    <definedName name="__e4" localSheetId="18" hidden="1">{"'Sheet1'!$L$16"}</definedName>
    <definedName name="__e4" hidden="1">{"'Sheet1'!$L$16"}</definedName>
    <definedName name="__e5" localSheetId="18" hidden="1">{"'Sheet1'!$L$16"}</definedName>
    <definedName name="__e5" hidden="1">{"'Sheet1'!$L$16"}</definedName>
    <definedName name="__e6" localSheetId="18" hidden="1">{"'Sheet1'!$L$16"}</definedName>
    <definedName name="__e6" hidden="1">{"'Sheet1'!$L$16"}</definedName>
    <definedName name="__e7" localSheetId="18" hidden="1">{"'Sheet1'!$L$16"}</definedName>
    <definedName name="__e7" hidden="1">{"'Sheet1'!$L$16"}</definedName>
    <definedName name="__e8" localSheetId="18" hidden="1">{#N/A,#N/A,FALSE,"Chi tiÆt"}</definedName>
    <definedName name="__e8" hidden="1">{#N/A,#N/A,FALSE,"Chi tiÆt"}</definedName>
    <definedName name="__Es1" hidden="1">#REF!</definedName>
    <definedName name="__F1" localSheetId="18" hidden="1">{"'Sheet1'!$L$16"}</definedName>
    <definedName name="__F1" hidden="1">{"'Sheet1'!$L$16"}</definedName>
    <definedName name="__f2" localSheetId="18" hidden="1">{"'Sheet1'!$L$16"}</definedName>
    <definedName name="__f2" hidden="1">{"'Sheet1'!$L$16"}</definedName>
    <definedName name="__f3" localSheetId="18" hidden="1">{"'Sheet1'!$L$16"}</definedName>
    <definedName name="__f3" hidden="1">{"'Sheet1'!$L$16"}</definedName>
    <definedName name="__f4" localSheetId="18" hidden="1">{"'Sheet1'!$L$16"}</definedName>
    <definedName name="__f4" hidden="1">{"'Sheet1'!$L$16"}</definedName>
    <definedName name="__f5" localSheetId="18" hidden="1">{"'Sheet1'!$L$16"}</definedName>
    <definedName name="__f5" localSheetId="23" hidden="1">{"'Sheet1'!$L$16"}</definedName>
    <definedName name="__f5" localSheetId="21" hidden="1">{"'Sheet1'!$L$16"}</definedName>
    <definedName name="__f5" localSheetId="20" hidden="1">{"'Sheet1'!$L$16"}</definedName>
    <definedName name="__f5" localSheetId="0" hidden="1">{"'Sheet1'!$L$16"}</definedName>
    <definedName name="__f5" hidden="1">{"'Sheet1'!$L$16"}</definedName>
    <definedName name="__f6" localSheetId="18" hidden="1">{"'Sheet1'!$L$16"}</definedName>
    <definedName name="__f6" hidden="1">{"'Sheet1'!$L$16"}</definedName>
    <definedName name="__f7" localSheetId="18" hidden="1">{"'Sheet1'!$L$16"}</definedName>
    <definedName name="__f7" hidden="1">{"'Sheet1'!$L$16"}</definedName>
    <definedName name="__f8" localSheetId="18" hidden="1">{#N/A,#N/A,FALSE,"Chi tiÆt"}</definedName>
    <definedName name="__f8" hidden="1">{#N/A,#N/A,FALSE,"Chi tiÆt"}</definedName>
    <definedName name="__f9" localSheetId="18" hidden="1">{#N/A,#N/A,FALSE,"Chi tiÆt"}</definedName>
    <definedName name="__f9" hidden="1">{#N/A,#N/A,FALSE,"Chi tiÆt"}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localSheetId="18" hidden="1">{3808}</definedName>
    <definedName name="__FDS_USED_FOR_REUSING_RANGE_IDS_RECYCLE" hidden="1">{3808}</definedName>
    <definedName name="__FOH2006" localSheetId="18" hidden="1">{#N/A,#N/A,FALSE,"TL";#N/A,#N/A,FALSE,"KK";#N/A,#N/A,FALSE,"TS";#N/A,#N/A,FALSE,"KW";#N/A,#N/A,FALSE,"LP";#N/A,#N/A,FALSE,"DC"}</definedName>
    <definedName name="__FOH2006" localSheetId="0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GB01" localSheetId="18" hidden="1">{"'Sheet1'!$L$16"}</definedName>
    <definedName name="__GB01" hidden="1">{"'Sheet1'!$L$16"}</definedName>
    <definedName name="__gg1" localSheetId="18" hidden="1">{"'Sheet1'!$L$16"}</definedName>
    <definedName name="__gg1" hidden="1">{"'Sheet1'!$L$16"}</definedName>
    <definedName name="__gg1_1" localSheetId="18" hidden="1">{"'Sheet1'!$L$16"}</definedName>
    <definedName name="__gg1_1" hidden="1">{"'Sheet1'!$L$16"}</definedName>
    <definedName name="__gg1_1_1" localSheetId="18" hidden="1">{"'Sheet1'!$L$16"}</definedName>
    <definedName name="__gg1_1_1" hidden="1">{"'Sheet1'!$L$16"}</definedName>
    <definedName name="__gg1_1_1_1" localSheetId="18" hidden="1">{"'Sheet1'!$L$16"}</definedName>
    <definedName name="__gg1_1_1_1" hidden="1">{"'Sheet1'!$L$16"}</definedName>
    <definedName name="__gg1_1_1_2" localSheetId="18" hidden="1">{"'Sheet1'!$L$16"}</definedName>
    <definedName name="__gg1_1_1_2" hidden="1">{"'Sheet1'!$L$16"}</definedName>
    <definedName name="__gg1_1_2" localSheetId="18" hidden="1">{"'Sheet1'!$L$16"}</definedName>
    <definedName name="__gg1_1_2" hidden="1">{"'Sheet1'!$L$16"}</definedName>
    <definedName name="__gg1_1_3" localSheetId="18" hidden="1">{"'Sheet1'!$L$16"}</definedName>
    <definedName name="__gg1_1_3" hidden="1">{"'Sheet1'!$L$16"}</definedName>
    <definedName name="__gg1_2" localSheetId="18" hidden="1">{"'Sheet1'!$L$16"}</definedName>
    <definedName name="__gg1_2" hidden="1">{"'Sheet1'!$L$16"}</definedName>
    <definedName name="__gg1_2_1" localSheetId="18" hidden="1">{"'Sheet1'!$L$16"}</definedName>
    <definedName name="__gg1_2_1" hidden="1">{"'Sheet1'!$L$16"}</definedName>
    <definedName name="__gg1_2_2" localSheetId="18" hidden="1">{"'Sheet1'!$L$16"}</definedName>
    <definedName name="__gg1_2_2" hidden="1">{"'Sheet1'!$L$16"}</definedName>
    <definedName name="__gg1_3" localSheetId="18" hidden="1">{"'Sheet1'!$L$16"}</definedName>
    <definedName name="__gg1_3" hidden="1">{"'Sheet1'!$L$16"}</definedName>
    <definedName name="__gg1_4" localSheetId="18" hidden="1">{"'Sheet1'!$L$16"}</definedName>
    <definedName name="__gg1_4" hidden="1">{"'Sheet1'!$L$16"}</definedName>
    <definedName name="__gw04" localSheetId="18" hidden="1">{#N/A,#N/A,FALSE,"Aging Summary";#N/A,#N/A,FALSE,"Ratio Analysis";#N/A,#N/A,FALSE,"Test 120 Day Accts";#N/A,#N/A,FALSE,"Tickmarks"}</definedName>
    <definedName name="__gw04" hidden="1">{#N/A,#N/A,FALSE,"Aging Summary";#N/A,#N/A,FALSE,"Ratio Analysis";#N/A,#N/A,FALSE,"Test 120 Day Accts";#N/A,#N/A,FALSE,"Tickmarks"}</definedName>
    <definedName name="__h1" localSheetId="18" hidden="1">{"'TDTGT (theo Dphuong)'!$A$4:$F$75"}</definedName>
    <definedName name="__h1" hidden="1">{"'TDTGT (theo Dphuong)'!$A$4:$F$75"}</definedName>
    <definedName name="__h1_1" localSheetId="18" hidden="1">{"'Sheet1'!$L$16"}</definedName>
    <definedName name="__h1_1" hidden="1">{"'Sheet1'!$L$16"}</definedName>
    <definedName name="__h1_1_1" localSheetId="18" hidden="1">{"'Sheet1'!$L$16"}</definedName>
    <definedName name="__h1_1_1" hidden="1">{"'Sheet1'!$L$16"}</definedName>
    <definedName name="__h1_1_1_1" localSheetId="18" hidden="1">{"'Sheet1'!$L$16"}</definedName>
    <definedName name="__h1_1_1_1" hidden="1">{"'Sheet1'!$L$16"}</definedName>
    <definedName name="__h1_1_1_2" localSheetId="18" hidden="1">{"'Sheet1'!$L$16"}</definedName>
    <definedName name="__h1_1_1_2" hidden="1">{"'Sheet1'!$L$16"}</definedName>
    <definedName name="__h1_1_2" localSheetId="18" hidden="1">{"'Sheet1'!$L$16"}</definedName>
    <definedName name="__h1_1_2" hidden="1">{"'Sheet1'!$L$16"}</definedName>
    <definedName name="__h1_1_3" localSheetId="18" hidden="1">{"'Sheet1'!$L$16"}</definedName>
    <definedName name="__h1_1_3" hidden="1">{"'Sheet1'!$L$16"}</definedName>
    <definedName name="__h1_2" localSheetId="18" hidden="1">{"'Sheet1'!$L$16"}</definedName>
    <definedName name="__h1_2" hidden="1">{"'Sheet1'!$L$16"}</definedName>
    <definedName name="__h1_2_1" localSheetId="18" hidden="1">{"'Sheet1'!$L$16"}</definedName>
    <definedName name="__h1_2_1" hidden="1">{"'Sheet1'!$L$16"}</definedName>
    <definedName name="__h1_2_2" localSheetId="18" hidden="1">{"'Sheet1'!$L$16"}</definedName>
    <definedName name="__h1_2_2" hidden="1">{"'Sheet1'!$L$16"}</definedName>
    <definedName name="__h1_3" localSheetId="18" hidden="1">{"'Sheet1'!$L$16"}</definedName>
    <definedName name="__h1_3" hidden="1">{"'Sheet1'!$L$16"}</definedName>
    <definedName name="__h1_4" localSheetId="18" hidden="1">{"'Sheet1'!$L$16"}</definedName>
    <definedName name="__h1_4" hidden="1">{"'Sheet1'!$L$16"}</definedName>
    <definedName name="__H13" localSheetId="18" hidden="1">{"'Sheet1'!$L$16"}</definedName>
    <definedName name="__H13" hidden="1">{"'Sheet1'!$L$16"}</definedName>
    <definedName name="__h2" localSheetId="18" hidden="1">{"'Sheet1'!$L$16"}</definedName>
    <definedName name="__h2" localSheetId="23" hidden="1">{"'Sheet1'!$L$16"}</definedName>
    <definedName name="__h2" localSheetId="21" hidden="1">{"'Sheet1'!$L$16"}</definedName>
    <definedName name="__h2" localSheetId="20" hidden="1">{"'Sheet1'!$L$16"}</definedName>
    <definedName name="__h2" localSheetId="0" hidden="1">{"'Sheet1'!$L$16"}</definedName>
    <definedName name="__h2" hidden="1">{"'Sheet1'!$L$16"}</definedName>
    <definedName name="__h2_1" localSheetId="18" hidden="1">{"'Sheet1'!$L$16"}</definedName>
    <definedName name="__h2_1" hidden="1">{"'Sheet1'!$L$16"}</definedName>
    <definedName name="__h2_1_1" localSheetId="18" hidden="1">{"'Sheet1'!$L$16"}</definedName>
    <definedName name="__h2_1_1" hidden="1">{"'Sheet1'!$L$16"}</definedName>
    <definedName name="__h2_1_1_1" localSheetId="18" hidden="1">{"'Sheet1'!$L$16"}</definedName>
    <definedName name="__h2_1_1_1" hidden="1">{"'Sheet1'!$L$16"}</definedName>
    <definedName name="__h2_1_1_2" localSheetId="18" hidden="1">{"'Sheet1'!$L$16"}</definedName>
    <definedName name="__h2_1_1_2" hidden="1">{"'Sheet1'!$L$16"}</definedName>
    <definedName name="__h2_1_2" localSheetId="18" hidden="1">{"'Sheet1'!$L$16"}</definedName>
    <definedName name="__h2_1_2" hidden="1">{"'Sheet1'!$L$16"}</definedName>
    <definedName name="__h2_1_3" localSheetId="18" hidden="1">{"'Sheet1'!$L$16"}</definedName>
    <definedName name="__h2_1_3" hidden="1">{"'Sheet1'!$L$16"}</definedName>
    <definedName name="__h2_2" localSheetId="18" hidden="1">{"'Sheet1'!$L$16"}</definedName>
    <definedName name="__h2_2" hidden="1">{"'Sheet1'!$L$16"}</definedName>
    <definedName name="__h2_2_1" localSheetId="18" hidden="1">{"'Sheet1'!$L$16"}</definedName>
    <definedName name="__h2_2_1" hidden="1">{"'Sheet1'!$L$16"}</definedName>
    <definedName name="__h2_2_2" localSheetId="18" hidden="1">{"'Sheet1'!$L$16"}</definedName>
    <definedName name="__h2_2_2" hidden="1">{"'Sheet1'!$L$16"}</definedName>
    <definedName name="__h2_3" localSheetId="18" hidden="1">{"'Sheet1'!$L$16"}</definedName>
    <definedName name="__h2_3" hidden="1">{"'Sheet1'!$L$16"}</definedName>
    <definedName name="__h2_4" localSheetId="18" hidden="1">{"'Sheet1'!$L$16"}</definedName>
    <definedName name="__h2_4" hidden="1">{"'Sheet1'!$L$16"}</definedName>
    <definedName name="__HOA12" localSheetId="18" hidden="1">{"'Sheet1'!$L$16"}</definedName>
    <definedName name="__HOA12" hidden="1">{"'Sheet1'!$L$16"}</definedName>
    <definedName name="__Ht_USD_Spc_YTD_Spc_1?" hidden="1">"Month_Spc_(YTD_Spc_amounts_Spc_in_Spc_USD'000)"</definedName>
    <definedName name="__huy1" localSheetId="18" hidden="1">{"'Sheet1'!$L$16"}</definedName>
    <definedName name="__huy1" localSheetId="23" hidden="1">{"'Sheet1'!$L$16"}</definedName>
    <definedName name="__huy1" localSheetId="21" hidden="1">{"'Sheet1'!$L$16"}</definedName>
    <definedName name="__huy1" localSheetId="20" hidden="1">{"'Sheet1'!$L$16"}</definedName>
    <definedName name="__huy1" localSheetId="0" hidden="1">{"'Sheet1'!$L$16"}</definedName>
    <definedName name="__huy1" hidden="1">{"'Sheet1'!$L$16"}</definedName>
    <definedName name="__huy1_1" localSheetId="18" hidden="1">{"'Sheet1'!$L$16"}</definedName>
    <definedName name="__huy1_1" hidden="1">{"'Sheet1'!$L$16"}</definedName>
    <definedName name="__huy1_1_1" localSheetId="18" hidden="1">{"'Sheet1'!$L$16"}</definedName>
    <definedName name="__huy1_1_1" hidden="1">{"'Sheet1'!$L$16"}</definedName>
    <definedName name="__huy1_1_1_1" localSheetId="18" hidden="1">{"'Sheet1'!$L$16"}</definedName>
    <definedName name="__huy1_1_1_1" hidden="1">{"'Sheet1'!$L$16"}</definedName>
    <definedName name="__huy1_1_1_2" localSheetId="18" hidden="1">{"'Sheet1'!$L$16"}</definedName>
    <definedName name="__huy1_1_1_2" hidden="1">{"'Sheet1'!$L$16"}</definedName>
    <definedName name="__huy1_1_2" localSheetId="18" hidden="1">{"'Sheet1'!$L$16"}</definedName>
    <definedName name="__huy1_1_2" hidden="1">{"'Sheet1'!$L$16"}</definedName>
    <definedName name="__huy1_1_3" localSheetId="18" hidden="1">{"'Sheet1'!$L$16"}</definedName>
    <definedName name="__huy1_1_3" hidden="1">{"'Sheet1'!$L$16"}</definedName>
    <definedName name="__huy1_2" localSheetId="18" hidden="1">{"'Sheet1'!$L$16"}</definedName>
    <definedName name="__huy1_2" hidden="1">{"'Sheet1'!$L$16"}</definedName>
    <definedName name="__huy1_2_1" localSheetId="18" hidden="1">{"'Sheet1'!$L$16"}</definedName>
    <definedName name="__huy1_2_1" hidden="1">{"'Sheet1'!$L$16"}</definedName>
    <definedName name="__huy1_2_2" localSheetId="18" hidden="1">{"'Sheet1'!$L$16"}</definedName>
    <definedName name="__huy1_2_2" hidden="1">{"'Sheet1'!$L$16"}</definedName>
    <definedName name="__huy1_3" localSheetId="18" hidden="1">{"'Sheet1'!$L$16"}</definedName>
    <definedName name="__huy1_3" hidden="1">{"'Sheet1'!$L$16"}</definedName>
    <definedName name="__huy1_4" localSheetId="18" hidden="1">{"'Sheet1'!$L$16"}</definedName>
    <definedName name="__huy1_4" hidden="1">{"'Sheet1'!$L$16"}</definedName>
    <definedName name="__HUY5" localSheetId="18" hidden="1">{"'Sheet1'!$L$16"}</definedName>
    <definedName name="__HUY5" hidden="1">{"'Sheet1'!$L$16"}</definedName>
    <definedName name="__IN123" localSheetId="18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Key2" hidden="1">#REF!</definedName>
    <definedName name="__KP300" localSheetId="18" hidden="1">{"level1",#N/A,FALSE,"1_LEV";"LEVEL1",#N/A,FALSE,"1_LEV"}</definedName>
    <definedName name="__KP300" localSheetId="0" hidden="1">{"level1",#N/A,FALSE,"1_LEV";"LEVEL1",#N/A,FALSE,"1_LEV"}</definedName>
    <definedName name="__KP300" hidden="1">{"level1",#N/A,FALSE,"1_LEV";"LEVEL1",#N/A,FALSE,"1_LEV"}</definedName>
    <definedName name="__lk2" localSheetId="18" hidden="1">{"'Sheet1'!$L$16"}</definedName>
    <definedName name="__lk2" hidden="1">{"'Sheet1'!$L$16"}</definedName>
    <definedName name="__M10" localSheetId="18" hidden="1">{"'Sheet1'!$L$16"}</definedName>
    <definedName name="__M10" hidden="1">{"'Sheet1'!$L$16"}</definedName>
    <definedName name="__M2" localSheetId="18" hidden="1">{"'Sheet1'!$L$16"}</definedName>
    <definedName name="__M2" hidden="1">{"'Sheet1'!$L$16"}</definedName>
    <definedName name="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localSheetId="18" hidden="1">{#N/A,#N/A,FALSE,"RECONC'L";#N/A,#N/A,FALSE,"WORKCAP";#N/A,#N/A,FALSE,"RECONC'L";#N/A,#N/A,FALSE,"ACCRUAL";#N/A,#N/A,FALSE,"DEBTOR";#N/A,#N/A,FALSE,"ADMALLOC"}</definedName>
    <definedName name="__n1" hidden="1">{#N/A,#N/A,FALSE,"RECONC'L";#N/A,#N/A,FALSE,"WORKCAP";#N/A,#N/A,FALSE,"RECONC'L";#N/A,#N/A,FALSE,"ACCRUAL";#N/A,#N/A,FALSE,"DEBTOR";#N/A,#N/A,FALSE,"ADMALLOC"}</definedName>
    <definedName name="__nat2" localSheetId="18" hidden="1">{#N/A,#N/A,FALSE,"Assessment";#N/A,#N/A,FALSE,"Staffing";#N/A,#N/A,FALSE,"Hires";#N/A,#N/A,FALSE,"Assumptions"}</definedName>
    <definedName name="__nat2" localSheetId="0" hidden="1">{#N/A,#N/A,FALSE,"Assessment";#N/A,#N/A,FALSE,"Staffing";#N/A,#N/A,FALSE,"Hires";#N/A,#N/A,FALSE,"Assumptions"}</definedName>
    <definedName name="__nat2" hidden="1">{#N/A,#N/A,FALSE,"Assessment";#N/A,#N/A,FALSE,"Staffing";#N/A,#N/A,FALSE,"Hires";#N/A,#N/A,FALSE,"Assumptions"}</definedName>
    <definedName name="__nat3" localSheetId="18" hidden="1">{#N/A,#N/A,FALSE,"Assessment";#N/A,#N/A,FALSE,"Staffing";#N/A,#N/A,FALSE,"Hires";#N/A,#N/A,FALSE,"Assumptions"}</definedName>
    <definedName name="__nat3" localSheetId="0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localSheetId="18" hidden="1">{"'Sheet1'!$L$16"}</definedName>
    <definedName name="__NOS3" hidden="1">{"'Sheet1'!$L$16"}</definedName>
    <definedName name="__NS03" localSheetId="18" hidden="1">{"'Sheet1'!$L$16"}</definedName>
    <definedName name="__NS03" localSheetId="23" hidden="1">{"'Sheet1'!$L$16"}</definedName>
    <definedName name="__NS03" localSheetId="21" hidden="1">{"'Sheet1'!$L$16"}</definedName>
    <definedName name="__NS03" localSheetId="20" hidden="1">{"'Sheet1'!$L$16"}</definedName>
    <definedName name="__NS03" localSheetId="0" hidden="1">{"'Sheet1'!$L$16"}</definedName>
    <definedName name="__NS03" hidden="1">{"'Sheet1'!$L$16"}</definedName>
    <definedName name="__NSO2" localSheetId="18" hidden="1">{"'Sheet1'!$L$16"}</definedName>
    <definedName name="__NSO2" localSheetId="23" hidden="1">{"'Sheet1'!$L$16"}</definedName>
    <definedName name="__NSO2" localSheetId="21" hidden="1">{"'Sheet1'!$L$16"}</definedName>
    <definedName name="__NSO2" localSheetId="20" hidden="1">{"'Sheet1'!$L$16"}</definedName>
    <definedName name="__NSO2" localSheetId="0" hidden="1">{"'Sheet1'!$L$16"}</definedName>
    <definedName name="__NSO2" hidden="1">{"'Sheet1'!$L$16"}</definedName>
    <definedName name="__NSO2_1" localSheetId="18" hidden="1">{"'Sheet1'!$L$16"}</definedName>
    <definedName name="__NSO2_1" hidden="1">{"'Sheet1'!$L$16"}</definedName>
    <definedName name="__NSO2_1_1" localSheetId="18" hidden="1">{"'Sheet1'!$L$16"}</definedName>
    <definedName name="__NSO2_1_1" hidden="1">{"'Sheet1'!$L$16"}</definedName>
    <definedName name="__NSO2_1_1_1" localSheetId="18" hidden="1">{"'Sheet1'!$L$16"}</definedName>
    <definedName name="__NSO2_1_1_1" hidden="1">{"'Sheet1'!$L$16"}</definedName>
    <definedName name="__NSO2_1_1_2" localSheetId="18" hidden="1">{"'Sheet1'!$L$16"}</definedName>
    <definedName name="__NSO2_1_1_2" hidden="1">{"'Sheet1'!$L$16"}</definedName>
    <definedName name="__NSO2_1_2" localSheetId="18" hidden="1">{"'Sheet1'!$L$16"}</definedName>
    <definedName name="__NSO2_1_2" hidden="1">{"'Sheet1'!$L$16"}</definedName>
    <definedName name="__NSO2_1_3" localSheetId="18" hidden="1">{"'Sheet1'!$L$16"}</definedName>
    <definedName name="__NSO2_1_3" hidden="1">{"'Sheet1'!$L$16"}</definedName>
    <definedName name="__NSO2_2" localSheetId="18" hidden="1">{"'Sheet1'!$L$16"}</definedName>
    <definedName name="__NSO2_2" hidden="1">{"'Sheet1'!$L$16"}</definedName>
    <definedName name="__NSO2_2_1" localSheetId="18" hidden="1">{"'Sheet1'!$L$16"}</definedName>
    <definedName name="__NSO2_2_1" hidden="1">{"'Sheet1'!$L$16"}</definedName>
    <definedName name="__NSO2_2_2" localSheetId="18" hidden="1">{"'Sheet1'!$L$16"}</definedName>
    <definedName name="__NSO2_2_2" hidden="1">{"'Sheet1'!$L$16"}</definedName>
    <definedName name="__NSO2_3" localSheetId="18" hidden="1">{"'Sheet1'!$L$16"}</definedName>
    <definedName name="__NSO2_3" hidden="1">{"'Sheet1'!$L$16"}</definedName>
    <definedName name="__NSO2_4" localSheetId="18" hidden="1">{"'Sheet1'!$L$16"}</definedName>
    <definedName name="__NSO2_4" hidden="1">{"'Sheet1'!$L$16"}</definedName>
    <definedName name="__NSO23" localSheetId="18" hidden="1">{"'Sheet1'!$L$16"}</definedName>
    <definedName name="__NSO23" hidden="1">{"'Sheet1'!$L$16"}</definedName>
    <definedName name="__NSO3" localSheetId="18" hidden="1">{"'Sheet1'!$L$16"}</definedName>
    <definedName name="__NSO3" hidden="1">{"'Sheet1'!$L$16"}</definedName>
    <definedName name="__nso3_1" localSheetId="18" hidden="1">{"'Sheet1'!$L$16"}</definedName>
    <definedName name="__nso3_1" hidden="1">{"'Sheet1'!$L$16"}</definedName>
    <definedName name="__nso3_1_1" localSheetId="18" hidden="1">{"'Sheet1'!$L$16"}</definedName>
    <definedName name="__nso3_1_1" hidden="1">{"'Sheet1'!$L$16"}</definedName>
    <definedName name="__nso3_1_1_1" localSheetId="18" hidden="1">{"'Sheet1'!$L$16"}</definedName>
    <definedName name="__nso3_1_1_1" hidden="1">{"'Sheet1'!$L$16"}</definedName>
    <definedName name="__nso3_1_1_2" localSheetId="18" hidden="1">{"'Sheet1'!$L$16"}</definedName>
    <definedName name="__nso3_1_1_2" hidden="1">{"'Sheet1'!$L$16"}</definedName>
    <definedName name="__nso3_1_2" localSheetId="18" hidden="1">{"'Sheet1'!$L$16"}</definedName>
    <definedName name="__nso3_1_2" hidden="1">{"'Sheet1'!$L$16"}</definedName>
    <definedName name="__nso3_1_3" localSheetId="18" hidden="1">{"'Sheet1'!$L$16"}</definedName>
    <definedName name="__nso3_1_3" hidden="1">{"'Sheet1'!$L$16"}</definedName>
    <definedName name="__nso3_2" localSheetId="18" hidden="1">{"'Sheet1'!$L$16"}</definedName>
    <definedName name="__nso3_2" hidden="1">{"'Sheet1'!$L$16"}</definedName>
    <definedName name="__nso3_2_1" localSheetId="18" hidden="1">{"'Sheet1'!$L$16"}</definedName>
    <definedName name="__nso3_2_1" hidden="1">{"'Sheet1'!$L$16"}</definedName>
    <definedName name="__nso3_2_2" localSheetId="18" hidden="1">{"'Sheet1'!$L$16"}</definedName>
    <definedName name="__nso3_2_2" hidden="1">{"'Sheet1'!$L$16"}</definedName>
    <definedName name="__nso3_3" localSheetId="18" hidden="1">{"'Sheet1'!$L$16"}</definedName>
    <definedName name="__nso3_3" hidden="1">{"'Sheet1'!$L$16"}</definedName>
    <definedName name="__nso3_4" localSheetId="18" hidden="1">{"'Sheet1'!$L$16"}</definedName>
    <definedName name="__nso3_4" hidden="1">{"'Sheet1'!$L$16"}</definedName>
    <definedName name="__PA3" localSheetId="18" hidden="1">{"'Sheet1'!$L$16"}</definedName>
    <definedName name="__PA3" hidden="1">{"'Sheet1'!$L$16"}</definedName>
    <definedName name="__PA3_1" localSheetId="18" hidden="1">{"'Sheet1'!$L$16"}</definedName>
    <definedName name="__PA3_1" hidden="1">{"'Sheet1'!$L$16"}</definedName>
    <definedName name="__PA3_1_1" localSheetId="18" hidden="1">{"'Sheet1'!$L$16"}</definedName>
    <definedName name="__PA3_1_1" hidden="1">{"'Sheet1'!$L$16"}</definedName>
    <definedName name="__PA3_1_1_1" localSheetId="18" hidden="1">{"'Sheet1'!$L$16"}</definedName>
    <definedName name="__PA3_1_1_1" hidden="1">{"'Sheet1'!$L$16"}</definedName>
    <definedName name="__PA3_1_1_2" localSheetId="18" hidden="1">{"'Sheet1'!$L$16"}</definedName>
    <definedName name="__PA3_1_1_2" hidden="1">{"'Sheet1'!$L$16"}</definedName>
    <definedName name="__PA3_1_2" localSheetId="18" hidden="1">{"'Sheet1'!$L$16"}</definedName>
    <definedName name="__PA3_1_2" hidden="1">{"'Sheet1'!$L$16"}</definedName>
    <definedName name="__PA3_1_3" localSheetId="18" hidden="1">{"'Sheet1'!$L$16"}</definedName>
    <definedName name="__PA3_1_3" hidden="1">{"'Sheet1'!$L$16"}</definedName>
    <definedName name="__PA3_2" localSheetId="18" hidden="1">{"'Sheet1'!$L$16"}</definedName>
    <definedName name="__PA3_2" hidden="1">{"'Sheet1'!$L$16"}</definedName>
    <definedName name="__PA3_2_1" localSheetId="18" hidden="1">{"'Sheet1'!$L$16"}</definedName>
    <definedName name="__PA3_2_1" hidden="1">{"'Sheet1'!$L$16"}</definedName>
    <definedName name="__PA3_2_2" localSheetId="18" hidden="1">{"'Sheet1'!$L$16"}</definedName>
    <definedName name="__PA3_2_2" hidden="1">{"'Sheet1'!$L$16"}</definedName>
    <definedName name="__PA3_3" localSheetId="18" hidden="1">{"'Sheet1'!$L$16"}</definedName>
    <definedName name="__PA3_3" hidden="1">{"'Sheet1'!$L$16"}</definedName>
    <definedName name="__PA3_4" localSheetId="18" hidden="1">{"'Sheet1'!$L$16"}</definedName>
    <definedName name="__PA3_4" hidden="1">{"'Sheet1'!$L$16"}</definedName>
    <definedName name="__PUR6" localSheetId="18" hidden="1">{#N/A,#N/A,FALSE,"Sheet2"}</definedName>
    <definedName name="__PUR6" hidden="1">{#N/A,#N/A,FALSE,"Sheet2"}</definedName>
    <definedName name="__q2" localSheetId="18" hidden="1">{"PAGE 1",#N/A,FALSE,"หน้า 1,2,3";"PAGE 2",#N/A,FALSE,"หน้า 1,2,3";"PAGE 3",#N/A,FALSE,"หน้า 1,2,3"}</definedName>
    <definedName name="__q2" localSheetId="0" hidden="1">{"PAGE 1",#N/A,FALSE,"หน้า 1,2,3";"PAGE 2",#N/A,FALSE,"หน้า 1,2,3";"PAGE 3",#N/A,FALSE,"หน้า 1,2,3"}</definedName>
    <definedName name="__q2" hidden="1">{"PAGE 1",#N/A,FALSE,"หน้า 1,2,3";"PAGE 2",#N/A,FALSE,"หน้า 1,2,3";"PAGE 3",#N/A,FALSE,"หน้า 1,2,3"}</definedName>
    <definedName name="__q3" localSheetId="18" hidden="1">{"PAGE 1",#N/A,FALSE,"หน้า 1,2,3";"PAGE 2",#N/A,FALSE,"หน้า 1,2,3";"PAGE 3",#N/A,FALSE,"หน้า 1,2,3"}</definedName>
    <definedName name="__q3" localSheetId="0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localSheetId="18" hidden="1">{#N/A,#N/A,FALSE,"Sheet2"}</definedName>
    <definedName name="__QUY3" hidden="1">{#N/A,#N/A,FALSE,"Sheet2"}</definedName>
    <definedName name="__QUY4" localSheetId="18" hidden="1">{"'Sheet1'!$L$16"}</definedName>
    <definedName name="__QUY4" hidden="1">{"'Sheet1'!$L$16"}</definedName>
    <definedName name="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localSheetId="18" hidden="1">{"'Sheet1'!$L$16"}</definedName>
    <definedName name="__s1" hidden="1">{"'Sheet1'!$L$16"}</definedName>
    <definedName name="__s2" localSheetId="18" hidden="1">{"'Sheet1'!$L$16"}</definedName>
    <definedName name="__s2" hidden="1">{"'Sheet1'!$L$16"}</definedName>
    <definedName name="__s3" localSheetId="18" hidden="1">{"'Sheet1'!$L$16"}</definedName>
    <definedName name="__s3" hidden="1">{"'Sheet1'!$L$16"}</definedName>
    <definedName name="__s4" localSheetId="18" hidden="1">{"'Sheet1'!$L$16"}</definedName>
    <definedName name="__s4" hidden="1">{"'Sheet1'!$L$16"}</definedName>
    <definedName name="__s5" localSheetId="18" hidden="1">{"'Sheet1'!$L$16"}</definedName>
    <definedName name="__s5" hidden="1">{"'Sheet1'!$L$16"}</definedName>
    <definedName name="__s6" localSheetId="18" hidden="1">{#N/A,#N/A,FALSE,"Chi tiÆt"}</definedName>
    <definedName name="__s6" hidden="1">{#N/A,#N/A,FALSE,"Chi tiÆt"}</definedName>
    <definedName name="__s7" localSheetId="18" hidden="1">{#N/A,#N/A,FALSE,"Chi tiÆt"}</definedName>
    <definedName name="__s7" hidden="1">{#N/A,#N/A,FALSE,"Chi tiÆt"}</definedName>
    <definedName name="__se1" localSheetId="18" hidden="1">{#N/A,#N/A,FALSE,"m66";#N/A,#N/A,FALSE,"m66"}</definedName>
    <definedName name="__se1" hidden="1">{#N/A,#N/A,FALSE,"m66";#N/A,#N/A,FALSE,"m66"}</definedName>
    <definedName name="__T01" hidden="1">#REF!</definedName>
    <definedName name="__T04" localSheetId="18" hidden="1">{#N/A,#N/A,FALSE,"CCTV"}</definedName>
    <definedName name="__T04" hidden="1">{#N/A,#N/A,FALSE,"CCTV"}</definedName>
    <definedName name="__t2" localSheetId="18" hidden="1">{"'Sheet1'!$L$16"}</definedName>
    <definedName name="__t2" hidden="1">{"'Sheet1'!$L$16"}</definedName>
    <definedName name="__t4" localSheetId="18" hidden="1">{"'Sheet1'!$L$16"}</definedName>
    <definedName name="__t4" hidden="1">{"'Sheet1'!$L$16"}</definedName>
    <definedName name="__t5" localSheetId="18" hidden="1">{"'Sheet1'!$L$16"}</definedName>
    <definedName name="__t5" hidden="1">{"'Sheet1'!$L$16"}</definedName>
    <definedName name="__t6" localSheetId="18" hidden="1">{"'Sheet1'!$L$16"}</definedName>
    <definedName name="__t6" hidden="1">{"'Sheet1'!$L$16"}</definedName>
    <definedName name="__t7" localSheetId="18" hidden="1">{"'Sheet1'!$L$16"}</definedName>
    <definedName name="__t7" hidden="1">{"'Sheet1'!$L$16"}</definedName>
    <definedName name="__t8" localSheetId="18" hidden="1">{#N/A,#N/A,FALSE,"Chi tiÆt"}</definedName>
    <definedName name="__t8" hidden="1">{#N/A,#N/A,FALSE,"Chi tiÆt"}</definedName>
    <definedName name="__t9" localSheetId="18" hidden="1">{"'Sheet1'!$L$16"}</definedName>
    <definedName name="__t9" hidden="1">{"'Sheet1'!$L$16"}</definedName>
    <definedName name="__thu1" localSheetId="18" hidden="1">{"'Sheet1'!$L$16"}</definedName>
    <definedName name="__thu1" hidden="1">{"'Sheet1'!$L$16"}</definedName>
    <definedName name="__thu1_1" localSheetId="18" hidden="1">{"'Sheet1'!$L$16"}</definedName>
    <definedName name="__thu1_1" hidden="1">{"'Sheet1'!$L$16"}</definedName>
    <definedName name="__thu1_1_1" localSheetId="18" hidden="1">{"'Sheet1'!$L$16"}</definedName>
    <definedName name="__thu1_1_1" hidden="1">{"'Sheet1'!$L$16"}</definedName>
    <definedName name="__thu1_1_1_1" localSheetId="18" hidden="1">{"'Sheet1'!$L$16"}</definedName>
    <definedName name="__thu1_1_1_1" hidden="1">{"'Sheet1'!$L$16"}</definedName>
    <definedName name="__thu1_1_1_2" localSheetId="18" hidden="1">{"'Sheet1'!$L$16"}</definedName>
    <definedName name="__thu1_1_1_2" hidden="1">{"'Sheet1'!$L$16"}</definedName>
    <definedName name="__thu1_1_2" localSheetId="18" hidden="1">{"'Sheet1'!$L$16"}</definedName>
    <definedName name="__thu1_1_2" hidden="1">{"'Sheet1'!$L$16"}</definedName>
    <definedName name="__thu1_1_3" localSheetId="18" hidden="1">{"'Sheet1'!$L$16"}</definedName>
    <definedName name="__thu1_1_3" hidden="1">{"'Sheet1'!$L$16"}</definedName>
    <definedName name="__thu1_2" localSheetId="18" hidden="1">{"'Sheet1'!$L$16"}</definedName>
    <definedName name="__thu1_2" hidden="1">{"'Sheet1'!$L$16"}</definedName>
    <definedName name="__thu1_2_1" localSheetId="18" hidden="1">{"'Sheet1'!$L$16"}</definedName>
    <definedName name="__thu1_2_1" hidden="1">{"'Sheet1'!$L$16"}</definedName>
    <definedName name="__thu1_2_2" localSheetId="18" hidden="1">{"'Sheet1'!$L$16"}</definedName>
    <definedName name="__thu1_2_2" hidden="1">{"'Sheet1'!$L$16"}</definedName>
    <definedName name="__thu1_3" localSheetId="18" hidden="1">{"'Sheet1'!$L$16"}</definedName>
    <definedName name="__thu1_3" hidden="1">{"'Sheet1'!$L$16"}</definedName>
    <definedName name="__thu1_4" localSheetId="18" hidden="1">{"'Sheet1'!$L$16"}</definedName>
    <definedName name="__thu1_4" hidden="1">{"'Sheet1'!$L$16"}</definedName>
    <definedName name="__thu2" localSheetId="18" hidden="1">{"'Sheet1'!$L$16"}</definedName>
    <definedName name="__thu2" hidden="1">{"'Sheet1'!$L$16"}</definedName>
    <definedName name="__thu2_1" localSheetId="18" hidden="1">{"'Sheet1'!$L$16"}</definedName>
    <definedName name="__thu2_1" hidden="1">{"'Sheet1'!$L$16"}</definedName>
    <definedName name="__thu2_1_1" localSheetId="18" hidden="1">{"'Sheet1'!$L$16"}</definedName>
    <definedName name="__thu2_1_1" hidden="1">{"'Sheet1'!$L$16"}</definedName>
    <definedName name="__thu2_1_1_1" localSheetId="18" hidden="1">{"'Sheet1'!$L$16"}</definedName>
    <definedName name="__thu2_1_1_1" hidden="1">{"'Sheet1'!$L$16"}</definedName>
    <definedName name="__thu2_1_1_2" localSheetId="18" hidden="1">{"'Sheet1'!$L$16"}</definedName>
    <definedName name="__thu2_1_1_2" hidden="1">{"'Sheet1'!$L$16"}</definedName>
    <definedName name="__thu2_1_2" localSheetId="18" hidden="1">{"'Sheet1'!$L$16"}</definedName>
    <definedName name="__thu2_1_2" hidden="1">{"'Sheet1'!$L$16"}</definedName>
    <definedName name="__thu2_1_3" localSheetId="18" hidden="1">{"'Sheet1'!$L$16"}</definedName>
    <definedName name="__thu2_1_3" hidden="1">{"'Sheet1'!$L$16"}</definedName>
    <definedName name="__thu2_2" localSheetId="18" hidden="1">{"'Sheet1'!$L$16"}</definedName>
    <definedName name="__thu2_2" hidden="1">{"'Sheet1'!$L$16"}</definedName>
    <definedName name="__thu2_2_1" localSheetId="18" hidden="1">{"'Sheet1'!$L$16"}</definedName>
    <definedName name="__thu2_2_1" hidden="1">{"'Sheet1'!$L$16"}</definedName>
    <definedName name="__thu2_2_2" localSheetId="18" hidden="1">{"'Sheet1'!$L$16"}</definedName>
    <definedName name="__thu2_2_2" hidden="1">{"'Sheet1'!$L$16"}</definedName>
    <definedName name="__thu2_3" localSheetId="18" hidden="1">{"'Sheet1'!$L$16"}</definedName>
    <definedName name="__thu2_3" hidden="1">{"'Sheet1'!$L$16"}</definedName>
    <definedName name="__thu2_4" localSheetId="18" hidden="1">{"'Sheet1'!$L$16"}</definedName>
    <definedName name="__thu2_4" hidden="1">{"'Sheet1'!$L$16"}</definedName>
    <definedName name="__thu4" localSheetId="18" hidden="1">{"'Sheet1'!$L$16"}</definedName>
    <definedName name="__thu4" hidden="1">{"'Sheet1'!$L$16"}</definedName>
    <definedName name="__thu4_1" localSheetId="18" hidden="1">{"'Sheet1'!$L$16"}</definedName>
    <definedName name="__thu4_1" hidden="1">{"'Sheet1'!$L$16"}</definedName>
    <definedName name="__thu4_1_1" localSheetId="18" hidden="1">{"'Sheet1'!$L$16"}</definedName>
    <definedName name="__thu4_1_1" hidden="1">{"'Sheet1'!$L$16"}</definedName>
    <definedName name="__thu4_1_1_1" localSheetId="18" hidden="1">{"'Sheet1'!$L$16"}</definedName>
    <definedName name="__thu4_1_1_1" hidden="1">{"'Sheet1'!$L$16"}</definedName>
    <definedName name="__thu4_1_1_2" localSheetId="18" hidden="1">{"'Sheet1'!$L$16"}</definedName>
    <definedName name="__thu4_1_1_2" hidden="1">{"'Sheet1'!$L$16"}</definedName>
    <definedName name="__thu4_1_2" localSheetId="18" hidden="1">{"'Sheet1'!$L$16"}</definedName>
    <definedName name="__thu4_1_2" hidden="1">{"'Sheet1'!$L$16"}</definedName>
    <definedName name="__thu4_1_3" localSheetId="18" hidden="1">{"'Sheet1'!$L$16"}</definedName>
    <definedName name="__thu4_1_3" hidden="1">{"'Sheet1'!$L$16"}</definedName>
    <definedName name="__thu4_2" localSheetId="18" hidden="1">{"'Sheet1'!$L$16"}</definedName>
    <definedName name="__thu4_2" hidden="1">{"'Sheet1'!$L$16"}</definedName>
    <definedName name="__thu4_2_1" localSheetId="18" hidden="1">{"'Sheet1'!$L$16"}</definedName>
    <definedName name="__thu4_2_1" hidden="1">{"'Sheet1'!$L$16"}</definedName>
    <definedName name="__thu4_2_2" localSheetId="18" hidden="1">{"'Sheet1'!$L$16"}</definedName>
    <definedName name="__thu4_2_2" hidden="1">{"'Sheet1'!$L$16"}</definedName>
    <definedName name="__thu4_3" localSheetId="18" hidden="1">{"'Sheet1'!$L$16"}</definedName>
    <definedName name="__thu4_3" hidden="1">{"'Sheet1'!$L$16"}</definedName>
    <definedName name="__thu4_4" localSheetId="18" hidden="1">{"'Sheet1'!$L$16"}</definedName>
    <definedName name="__thu4_4" hidden="1">{"'Sheet1'!$L$16"}</definedName>
    <definedName name="__thu5" localSheetId="18" hidden="1">{"'Sheet1'!$L$16"}</definedName>
    <definedName name="__thu5" hidden="1">{"'Sheet1'!$L$16"}</definedName>
    <definedName name="__thu5_1" localSheetId="18" hidden="1">{"'Sheet1'!$L$16"}</definedName>
    <definedName name="__thu5_1" hidden="1">{"'Sheet1'!$L$16"}</definedName>
    <definedName name="__thu5_1_1" localSheetId="18" hidden="1">{"'Sheet1'!$L$16"}</definedName>
    <definedName name="__thu5_1_1" hidden="1">{"'Sheet1'!$L$16"}</definedName>
    <definedName name="__thu5_1_1_1" localSheetId="18" hidden="1">{"'Sheet1'!$L$16"}</definedName>
    <definedName name="__thu5_1_1_1" hidden="1">{"'Sheet1'!$L$16"}</definedName>
    <definedName name="__thu5_1_1_2" localSheetId="18" hidden="1">{"'Sheet1'!$L$16"}</definedName>
    <definedName name="__thu5_1_1_2" hidden="1">{"'Sheet1'!$L$16"}</definedName>
    <definedName name="__thu5_1_2" localSheetId="18" hidden="1">{"'Sheet1'!$L$16"}</definedName>
    <definedName name="__thu5_1_2" hidden="1">{"'Sheet1'!$L$16"}</definedName>
    <definedName name="__thu5_1_3" localSheetId="18" hidden="1">{"'Sheet1'!$L$16"}</definedName>
    <definedName name="__thu5_1_3" hidden="1">{"'Sheet1'!$L$16"}</definedName>
    <definedName name="__thu5_2" localSheetId="18" hidden="1">{"'Sheet1'!$L$16"}</definedName>
    <definedName name="__thu5_2" hidden="1">{"'Sheet1'!$L$16"}</definedName>
    <definedName name="__thu5_2_1" localSheetId="18" hidden="1">{"'Sheet1'!$L$16"}</definedName>
    <definedName name="__thu5_2_1" hidden="1">{"'Sheet1'!$L$16"}</definedName>
    <definedName name="__thu5_2_2" localSheetId="18" hidden="1">{"'Sheet1'!$L$16"}</definedName>
    <definedName name="__thu5_2_2" hidden="1">{"'Sheet1'!$L$16"}</definedName>
    <definedName name="__thu5_3" localSheetId="18" hidden="1">{"'Sheet1'!$L$16"}</definedName>
    <definedName name="__thu5_3" hidden="1">{"'Sheet1'!$L$16"}</definedName>
    <definedName name="__thu5_4" localSheetId="18" hidden="1">{"'Sheet1'!$L$16"}</definedName>
    <definedName name="__thu5_4" hidden="1">{"'Sheet1'!$L$16"}</definedName>
    <definedName name="__tm2" localSheetId="18" hidden="1">{#N/A,#N/A,FALSE,"Chi tiÆt"}</definedName>
    <definedName name="__tm2" localSheetId="23" hidden="1">{#N/A,#N/A,FALSE,"Chi tiÆt"}</definedName>
    <definedName name="__tm2" localSheetId="21" hidden="1">{#N/A,#N/A,FALSE,"Chi tiÆt"}</definedName>
    <definedName name="__tm2" localSheetId="20" hidden="1">{#N/A,#N/A,FALSE,"Chi tiÆt"}</definedName>
    <definedName name="__tm2" localSheetId="0" hidden="1">{#N/A,#N/A,FALSE,"Chi tiÆt"}</definedName>
    <definedName name="__tm2" hidden="1">{#N/A,#N/A,FALSE,"Chi tiÆt"}</definedName>
    <definedName name="__U3" localSheetId="18" hidden="1">{#N/A,#N/A,FALSE,"Aging Summary";#N/A,#N/A,FALSE,"Ratio Analysis";#N/A,#N/A,FALSE,"Test 120 Day Accts";#N/A,#N/A,FALSE,"Tickmarks"}</definedName>
    <definedName name="__U3" hidden="1">{#N/A,#N/A,FALSE,"Aging Summary";#N/A,#N/A,FALSE,"Ratio Analysis";#N/A,#N/A,FALSE,"Test 120 Day Accts";#N/A,#N/A,FALSE,"Tickmarks"}</definedName>
    <definedName name="__VL1" localSheetId="18" hidden="1">{"'Sheet1'!$L$16"}</definedName>
    <definedName name="__VL1" hidden="1">{"'Sheet1'!$L$16"}</definedName>
    <definedName name="__VL12" localSheetId="18" hidden="1">{"'Sheet1'!$L$16"}</definedName>
    <definedName name="__VL12" hidden="1">{"'Sheet1'!$L$16"}</definedName>
    <definedName name="__VL123" localSheetId="18" hidden="1">{"'Sheet1'!$L$16"}</definedName>
    <definedName name="__VL123" hidden="1">{"'Sheet1'!$L$16"}</definedName>
    <definedName name="__VL12346" localSheetId="18" hidden="1">{"'Sheet1'!$L$16"}</definedName>
    <definedName name="__VL12346" hidden="1">{"'Sheet1'!$L$16"}</definedName>
    <definedName name="__VP06" localSheetId="18" hidden="1">{"'Sheet1'!$L$16"}</definedName>
    <definedName name="__VP06" hidden="1">{"'Sheet1'!$L$16"}</definedName>
    <definedName name="__w2" localSheetId="18" hidden="1">{"'Sheet1'!$L$16"}</definedName>
    <definedName name="__w2" hidden="1">{"'Sheet1'!$L$16"}</definedName>
    <definedName name="__w3" localSheetId="18" hidden="1">{"'Sheet1'!$L$16"}</definedName>
    <definedName name="__w3" hidden="1">{"'Sheet1'!$L$16"}</definedName>
    <definedName name="__w4" localSheetId="18" hidden="1">{"'Sheet1'!$L$16"}</definedName>
    <definedName name="__w4" hidden="1">{"'Sheet1'!$L$16"}</definedName>
    <definedName name="__w5" localSheetId="18" hidden="1">{"'Sheet1'!$L$16"}</definedName>
    <definedName name="__w5" hidden="1">{"'Sheet1'!$L$16"}</definedName>
    <definedName name="__w6" localSheetId="18" hidden="1">{#N/A,#N/A,FALSE,"Chi tiÆt"}</definedName>
    <definedName name="__w6" hidden="1">{#N/A,#N/A,FALSE,"Chi tiÆt"}</definedName>
    <definedName name="__w8" localSheetId="18" hidden="1">{"'Sheet1'!$L$16"}</definedName>
    <definedName name="__w8" hidden="1">{"'Sheet1'!$L$16"}</definedName>
    <definedName name="__w9" localSheetId="18" hidden="1">{"'Sheet1'!$L$16"}</definedName>
    <definedName name="__w9" hidden="1">{"'Sheet1'!$L$16"}</definedName>
    <definedName name="__WW2" localSheetId="18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localSheetId="18" hidden="1">{"'ตัวอย่าง'!$A$1:$O$21"}</definedName>
    <definedName name="__Z1" localSheetId="0" hidden="1">{"'ตัวอย่าง'!$A$1:$O$21"}</definedName>
    <definedName name="__Z1" hidden="1">{"'ตัวอย่าง'!$A$1:$O$21"}</definedName>
    <definedName name="_00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" localSheetId="23" hidden="1">#REF!</definedName>
    <definedName name="_1_" hidden="1">#REF!</definedName>
    <definedName name="_1_?" localSheetId="0" hidden="1">{#N/A,#N/A,FALSE,"BBPREP"}</definedName>
    <definedName name="_1_?" hidden="1">#REF!</definedName>
    <definedName name="_1__123Graph_ACHART_1" hidden="1">#REF!</definedName>
    <definedName name="_1__123Graph_Aｸﾞﾗﾌ_1" hidden="1">#REF!</definedName>
    <definedName name="_1__FDSAUDITLINK__" localSheetId="18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hidden="1">#REF!</definedName>
    <definedName name="_10________________________________________________________________________F" hidden="1">#REF!</definedName>
    <definedName name="_10__________0_0_F" hidden="1">#REF!</definedName>
    <definedName name="_10_______F" hidden="1">#REF!</definedName>
    <definedName name="_10___0_0_F" hidden="1">#REF!</definedName>
    <definedName name="_10__123Graph_DCHART_1" hidden="1">#REF!</definedName>
    <definedName name="_10__123Graph_Xｸﾞﾗﾌ_5" hidden="1">#REF!</definedName>
    <definedName name="_10__FDSAUDITLINK__" localSheetId="18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hidden="1">#REF!</definedName>
    <definedName name="_100__FDSAUDITLINK__" localSheetId="18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localSheetId="18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localSheetId="18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localSheetId="18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localSheetId="18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localSheetId="18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localSheetId="18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localSheetId="18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localSheetId="18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localSheetId="18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localSheetId="0" hidden="1">#REF!</definedName>
    <definedName name="_10F" hidden="1">[1]DETAIL!#REF!</definedName>
    <definedName name="_11_??????2" localSheetId="18" hidden="1">BlankMacro1</definedName>
    <definedName name="_11_??????2" hidden="1">BlankMacro1</definedName>
    <definedName name="_11____________________________________________________________________0_0_F" hidden="1">#REF!</definedName>
    <definedName name="_11______F" hidden="1">#REF!</definedName>
    <definedName name="_11___0_0_F" hidden="1">#REF!</definedName>
    <definedName name="_11__123Graph_DCHART_2" hidden="1">#REF!</definedName>
    <definedName name="_11__FDSAUDITLINK__" localSheetId="18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localSheetId="0" hidden="1">#REF!</definedName>
    <definedName name="_11_0_0_F" hidden="1">[1]DETAIL!#REF!</definedName>
    <definedName name="_110__FDSAUDITLINK__" localSheetId="18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localSheetId="18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localSheetId="18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localSheetId="18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localSheetId="18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localSheetId="18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localSheetId="18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localSheetId="18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localSheetId="18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localSheetId="18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hidden="1">#REF!</definedName>
    <definedName name="_12_________0_0_F" hidden="1">#REF!</definedName>
    <definedName name="_12______F" hidden="1">#REF!</definedName>
    <definedName name="_12__0_0_F" hidden="1">#REF!</definedName>
    <definedName name="_12__123Graph_DCHART_3" hidden="1">#REF!</definedName>
    <definedName name="_12__FDSAUDITLINK__" localSheetId="18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hidden="1">#REF!</definedName>
    <definedName name="_120__FDSAUDITLINK__" localSheetId="18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hidden="1">#REF!</definedName>
    <definedName name="_12F" localSheetId="0" hidden="1">#REF!</definedName>
    <definedName name="_12F" hidden="1">[1]DETAIL!#REF!</definedName>
    <definedName name="_13_____F" hidden="1">#REF!</definedName>
    <definedName name="_13__0_0_F" hidden="1">#REF!</definedName>
    <definedName name="_13__123Graph_ECHART_3" hidden="1">#REF!</definedName>
    <definedName name="_13__FDSAUDITLINK__" localSheetId="18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hidden="1">#REF!</definedName>
    <definedName name="_14_??????3" localSheetId="18" hidden="1">BlankMacro1</definedName>
    <definedName name="_14_??????3" hidden="1">BlankMacro1</definedName>
    <definedName name="_14___________________________________________________F" hidden="1">#REF!</definedName>
    <definedName name="_14______0_0_F" hidden="1">#REF!</definedName>
    <definedName name="_14_____F" hidden="1">#REF!</definedName>
    <definedName name="_14__123Graph_XCHART_1" hidden="1">#REF!</definedName>
    <definedName name="_14__FDSAUDITLINK__" localSheetId="18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hidden="1">#REF!</definedName>
    <definedName name="_14F" localSheetId="0" hidden="1">#REF!</definedName>
    <definedName name="_14F" hidden="1">[1]DETAIL!#REF!</definedName>
    <definedName name="_15_______________________________________________0_0_F" hidden="1">#REF!</definedName>
    <definedName name="_15____0_0_F" hidden="1">#REF!</definedName>
    <definedName name="_15__123Graph_XCHART_2" hidden="1">#REF!</definedName>
    <definedName name="_15__FDSAUDITLINK__" localSheetId="18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localSheetId="0" hidden="1">#REF!</definedName>
    <definedName name="_15_0_0_F" hidden="1">[1]DETAIL!#REF!</definedName>
    <definedName name="_15F" localSheetId="0" hidden="1">#REF!</definedName>
    <definedName name="_15F" hidden="1">[1]DETAIL!#REF!</definedName>
    <definedName name="_16_____0_0_F" hidden="1">#REF!</definedName>
    <definedName name="_16___0_0_F" hidden="1">#REF!</definedName>
    <definedName name="_16__FDSAUDITLINK__" localSheetId="18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hidden="1">#REF!</definedName>
    <definedName name="_17_??????4" localSheetId="18" hidden="1">BlankMacro1</definedName>
    <definedName name="_17_??????4" hidden="1">BlankMacro1</definedName>
    <definedName name="_17__0_0_F" hidden="1">#REF!</definedName>
    <definedName name="_17__FDSAUDITLINK__" localSheetId="18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localSheetId="0" hidden="1">#REF!</definedName>
    <definedName name="_17_0_0_F" hidden="1">#REF!</definedName>
    <definedName name="_17³_¿ª" localSheetId="18" hidden="1">{#N/A,#N/A,FALSE,"CCTV"}</definedName>
    <definedName name="_17³_¿ª" hidden="1">{#N/A,#N/A,FALSE,"CCTV"}</definedName>
    <definedName name="_17F" hidden="1">#REF!</definedName>
    <definedName name="_18__FDSAUDITLINK__" localSheetId="18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hidden="1">#REF!</definedName>
    <definedName name="_18F" hidden="1">#REF!</definedName>
    <definedName name="_19_______F" hidden="1">#REF!</definedName>
    <definedName name="_19__0_0_F" hidden="1">#REF!</definedName>
    <definedName name="_19__FDSAUDITLINK__" localSheetId="18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localSheetId="0" hidden="1">#REF!</definedName>
    <definedName name="_19_0_0_F" hidden="1">[1]DETAIL!#REF!</definedName>
    <definedName name="_19F" hidden="1">#REF!</definedName>
    <definedName name="_2">#REF!</definedName>
    <definedName name="_2__________________0_0_F" hidden="1">#REF!</definedName>
    <definedName name="_2__123Graph_ACHART_2" hidden="1">#REF!</definedName>
    <definedName name="_2__123Graph_Aｸﾞﾗﾌ_2" hidden="1">#REF!</definedName>
    <definedName name="_2__FDSAUDITLINK__" localSheetId="18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localSheetId="23" hidden="1">#REF!</definedName>
    <definedName name="_2_0_0_F" localSheetId="21" hidden="1">#REF!</definedName>
    <definedName name="_2_0_0_F" localSheetId="20" hidden="1">#REF!</definedName>
    <definedName name="_2_0_0_F" localSheetId="0" hidden="1">#REF!</definedName>
    <definedName name="_2_0_0_F" hidden="1">[1]DETAIL!#REF!</definedName>
    <definedName name="_20_??????5" localSheetId="18" hidden="1">BlankMacro1</definedName>
    <definedName name="_20_??????5" hidden="1">BlankMacro1</definedName>
    <definedName name="_20___0_0_F" hidden="1">#REF!</definedName>
    <definedName name="_20__FDSAUDITLINK__" localSheetId="18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localSheetId="0" hidden="1">#REF!</definedName>
    <definedName name="_20_0_0_F" hidden="1">[1]DETAIL!#REF!</definedName>
    <definedName name="_21______F" hidden="1">#REF!</definedName>
    <definedName name="_21__FDSAUDITLINK__" localSheetId="18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localSheetId="0" hidden="1">#REF!</definedName>
    <definedName name="_21_0_0_F" hidden="1">[1]DETAIL!#REF!</definedName>
    <definedName name="_22__0_0_F" hidden="1">#REF!</definedName>
    <definedName name="_22__FDSAUDITLINK__" localSheetId="18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hidden="1">#REF!</definedName>
    <definedName name="_22F" hidden="1">#REF!</definedName>
    <definedName name="_23_??????6" localSheetId="18" hidden="1">BlankMacro1</definedName>
    <definedName name="_23_??????6" hidden="1">BlankMacro1</definedName>
    <definedName name="_23_____F" hidden="1">#REF!</definedName>
    <definedName name="_23____0_0_F" hidden="1">#REF!</definedName>
    <definedName name="_23__FDSAUDITLINK__" localSheetId="18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hidden="1">#REF!</definedName>
    <definedName name="_24__FDSAUDITLINK__" localSheetId="18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hidden="1">#REF!</definedName>
    <definedName name="_25___0_0_F" hidden="1">#REF!</definedName>
    <definedName name="_25__FDSAUDITLINK__" localSheetId="18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hidden="1">#REF!</definedName>
    <definedName name="_26__FDSAUDITLINK__" localSheetId="18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localSheetId="0" hidden="1">#REF!</definedName>
    <definedName name="_26_0_0_F" hidden="1">[1]DETAIL!#REF!</definedName>
    <definedName name="_26F" hidden="1">#REF!</definedName>
    <definedName name="_26MAÕ_SOÁ_THUEÁ" hidden="1">#REF!</definedName>
    <definedName name="_27____0_0_F" hidden="1">#REF!</definedName>
    <definedName name="_27__0_0_F" hidden="1">#REF!</definedName>
    <definedName name="_27__FDSAUDITLINK__" localSheetId="18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localSheetId="0" hidden="1">#REF!</definedName>
    <definedName name="_27_0_0_F" hidden="1">[1]DETAIL!#REF!</definedName>
    <definedName name="_27ÑÔN_GIAÙ" hidden="1">#REF!</definedName>
    <definedName name="_28__FDSAUDITLINK__" localSheetId="18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localSheetId="0" hidden="1">#REF!</definedName>
    <definedName name="_28_0_0_F" hidden="1">[1]DETAIL!#REF!</definedName>
    <definedName name="_28SOÁ_CTÖØ" hidden="1">#REF!</definedName>
    <definedName name="_29__FDSAUDITLINK__" localSheetId="18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hidden="1">#REF!</definedName>
    <definedName name="_298F" hidden="1">#REF!</definedName>
    <definedName name="_29SOÁ_LÖÔÏNG" hidden="1">#REF!</definedName>
    <definedName name="_2F" localSheetId="0" hidden="1">#REF!</definedName>
    <definedName name="_2F" hidden="1">[1]DETAIL!#REF!</definedName>
    <definedName name="_3">#REF!</definedName>
    <definedName name="_3__123Graph_ACHART_1" hidden="1">#REF!</definedName>
    <definedName name="_3__123Graph_ACHART_3" hidden="1">#REF!</definedName>
    <definedName name="_3__123Graph_ATEILM_RKTE" hidden="1">#REF!</definedName>
    <definedName name="_3__123Graph_Aｸﾞﾗﾌ_3" hidden="1">#REF!</definedName>
    <definedName name="_3__FDSAUDITLINK__" localSheetId="18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localSheetId="0" hidden="1">#REF!</definedName>
    <definedName name="_3_0_0_F" hidden="1">[1]DETAIL!#REF!</definedName>
    <definedName name="_30___0_0_F" hidden="1">#REF!</definedName>
    <definedName name="_30__FDSAUDITLINK__" localSheetId="18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localSheetId="0" hidden="1">#REF!</definedName>
    <definedName name="_300_0_0_F" hidden="1">[1]DETAIL!#REF!</definedName>
    <definedName name="_301_0_0_F" localSheetId="0" hidden="1">#REF!</definedName>
    <definedName name="_301_0_0_F" hidden="1">[1]DETAIL!#REF!</definedName>
    <definedName name="_30TEÂN_HAØNG" hidden="1">#REF!</definedName>
    <definedName name="_31__FDSAUDITLINK__" localSheetId="18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hidden="1">#REF!</definedName>
    <definedName name="_31TEÂN_KHAÙCH_HAØ" hidden="1">#REF!</definedName>
    <definedName name="_32__FDSAUDITLINK__" localSheetId="18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hidden="1">#REF!</definedName>
    <definedName name="_32F" hidden="1">#REF!</definedName>
    <definedName name="_32THAØNH_TIEÀN" hidden="1">#REF!</definedName>
    <definedName name="_33__0_0_F" hidden="1">#REF!</definedName>
    <definedName name="_33__FDSAUDITLINK__" localSheetId="18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hidden="1">#REF!</definedName>
    <definedName name="_33TRÒ_GIAÙ" hidden="1">#REF!</definedName>
    <definedName name="_34__FDSAUDITLINK__" localSheetId="18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hidden="1">#REF!</definedName>
    <definedName name="_35__FDSAUDITLINK__" localSheetId="18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hidden="1">#REF!</definedName>
    <definedName name="_36__FDSAUDITLINK__" localSheetId="18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localSheetId="0" hidden="1">#REF!</definedName>
    <definedName name="_36_0_0_F" hidden="1">[1]DETAIL!#REF!</definedName>
    <definedName name="_37__FDSAUDITLINK__" localSheetId="18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localSheetId="0" hidden="1">#REF!</definedName>
    <definedName name="_37_0_0_F" hidden="1">[1]DETAIL!#REF!</definedName>
    <definedName name="_38__FDSAUDITLINK__" localSheetId="18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localSheetId="18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localSheetId="18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localSheetId="18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localSheetId="18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localSheetId="18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localSheetId="0" hidden="1">#REF!</definedName>
    <definedName name="_39_0_0_F" hidden="1">#REF!</definedName>
    <definedName name="_3915__FDSAUDITLINK__" localSheetId="18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localSheetId="0" hidden="1">#REF!</definedName>
    <definedName name="_3F" hidden="1">#REF!</definedName>
    <definedName name="_4">#REF!</definedName>
    <definedName name="_4_??" localSheetId="18" hidden="1">BlankMacro1</definedName>
    <definedName name="_4_??" hidden="1">BlankMacro1</definedName>
    <definedName name="_4_________________0_0_F" hidden="1">#REF!</definedName>
    <definedName name="_4__123Graph_ACHART_2" hidden="1">#REF!</definedName>
    <definedName name="_4__123Graph_Aｸﾞﾗﾌ_4" hidden="1">#REF!</definedName>
    <definedName name="_4__123Graph_BCHART_1" hidden="1">#REF!</definedName>
    <definedName name="_4__FDSAUDITLINK__" localSheetId="18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localSheetId="0" hidden="1">#REF!</definedName>
    <definedName name="_4_0_0_F" hidden="1">[1]DETAIL!#REF!</definedName>
    <definedName name="_40__FDSAUDITLINK__" localSheetId="18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hidden="1">#REF!</definedName>
    <definedName name="_41____0_0_F" hidden="1">#REF!</definedName>
    <definedName name="_41__FDSAUDITLINK__" localSheetId="18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localSheetId="18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hidden="1">#REF!</definedName>
    <definedName name="_43__FDSAUDITLINK__" localSheetId="18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hidden="1">#REF!</definedName>
    <definedName name="_44__FDSAUDITLINK__" localSheetId="18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hidden="1">#REF!</definedName>
    <definedName name="_44F" hidden="1">#REF!</definedName>
    <definedName name="_45__0_0_F" hidden="1">#REF!</definedName>
    <definedName name="_45__FDSAUDITLINK__" localSheetId="18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hidden="1">#REF!</definedName>
    <definedName name="_46__FDSAUDITLINK__" localSheetId="18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localSheetId="18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hidden="1">#REF!</definedName>
    <definedName name="_48__0_0_F" hidden="1">#REF!</definedName>
    <definedName name="_48__FDSAUDITLINK__" localSheetId="18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localSheetId="18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localSheetId="0" hidden="1">#REF!</definedName>
    <definedName name="_4F" hidden="1">[1]DETAIL!#REF!</definedName>
    <definedName name="_5">#REF!</definedName>
    <definedName name="_5_??????" hidden="1">#REF!</definedName>
    <definedName name="_5__123Graph_Aｸﾞﾗﾌ_5" hidden="1">#REF!</definedName>
    <definedName name="_5__123Graph_BCHART_2" hidden="1">#REF!</definedName>
    <definedName name="_5__FDSAUDITLINK__" localSheetId="18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localSheetId="0" hidden="1">#REF!</definedName>
    <definedName name="_5_0_0_F" hidden="1">[1]DETAIL!#REF!</definedName>
    <definedName name="_50__FDSAUDITLINK__" localSheetId="18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localSheetId="18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localSheetId="18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hidden="1">#REF!</definedName>
    <definedName name="_53__FDSAUDITLINK__" localSheetId="18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hidden="1">#REF!</definedName>
    <definedName name="_54__FDSAUDITLINK__" localSheetId="18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hidden="1">#REF!</definedName>
    <definedName name="_55__FDSAUDITLINK__" localSheetId="18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hidden="1">#REF!</definedName>
    <definedName name="_56__FDSAUDITLINK__" localSheetId="18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localSheetId="18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localSheetId="18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localSheetId="18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localSheetId="0" hidden="1">#REF!</definedName>
    <definedName name="_5F" hidden="1">[1]DETAIL!#REF!</definedName>
    <definedName name="_6______________0_0_F" hidden="1">#REF!</definedName>
    <definedName name="_6__123Graph_ATEILM_RKTE2" hidden="1">#REF!</definedName>
    <definedName name="_6__123Graph_BCHART_3" hidden="1">#REF!</definedName>
    <definedName name="_6__123Graph_CCHART_1" hidden="1">#REF!</definedName>
    <definedName name="_6__123Graph_Xｸﾞﾗﾌ_1" hidden="1">#REF!</definedName>
    <definedName name="_6__FDSAUDITLINK__" localSheetId="18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localSheetId="0" hidden="1">#REF!</definedName>
    <definedName name="_6_0_0_F" hidden="1">[1]DETAIL!#REF!</definedName>
    <definedName name="_60__FDSAUDITLINK__" localSheetId="18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localSheetId="18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localSheetId="18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localSheetId="18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localSheetId="18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localSheetId="18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localSheetId="18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localSheetId="18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localSheetId="18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localSheetId="18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localSheetId="0" hidden="1">#REF!</definedName>
    <definedName name="_6F" hidden="1">[1]DETAIL!#REF!</definedName>
    <definedName name="_7_____F" hidden="1">#REF!</definedName>
    <definedName name="_7__123Graph_CCHART_1" hidden="1">#REF!</definedName>
    <definedName name="_7__123Graph_DCHART_1" hidden="1">#REF!</definedName>
    <definedName name="_7__123Graph_Xｸﾞﾗﾌ_2" hidden="1">#REF!</definedName>
    <definedName name="_7__FDSAUDITLINK__" localSheetId="18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localSheetId="0" hidden="1">#REF!</definedName>
    <definedName name="_7_0_0_F" hidden="1">[1]DETAIL!#REF!</definedName>
    <definedName name="_70__FDSAUDITLINK__" localSheetId="18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localSheetId="18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localSheetId="18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localSheetId="18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hidden="1">#REF!</definedName>
    <definedName name="_74__FDSAUDITLINK__" localSheetId="18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localSheetId="18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localSheetId="18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localSheetId="18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localSheetId="18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localSheetId="18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hidden="1">#REF!</definedName>
    <definedName name="_8_??????1" localSheetId="18" hidden="1">BlankMacro1</definedName>
    <definedName name="_8_??????1" hidden="1">BlankMacro1</definedName>
    <definedName name="_8_____________0_0_F" hidden="1">#REF!</definedName>
    <definedName name="_8__123Graph_CCHART_2" hidden="1">#REF!</definedName>
    <definedName name="_8__123Graph_Xｸﾞﾗﾌ_3" hidden="1">#REF!</definedName>
    <definedName name="_8__FDSAUDITLINK__" localSheetId="18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localSheetId="0" hidden="1">#REF!</definedName>
    <definedName name="_8_0_0_F" hidden="1">[1]DETAIL!#REF!</definedName>
    <definedName name="_80__FDSAUDITLINK__" localSheetId="18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localSheetId="18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localSheetId="18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localSheetId="18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localSheetId="18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localSheetId="18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localSheetId="18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localSheetId="18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localSheetId="18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localSheetId="18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hidden="1">#REF!</definedName>
    <definedName name="_9_______F" hidden="1">#REF!</definedName>
    <definedName name="_9__123Graph_CCHART_3" hidden="1">#REF!</definedName>
    <definedName name="_9__123Graph_XTEILM_RKTE2" hidden="1">#REF!</definedName>
    <definedName name="_9__123Graph_Xｸﾞﾗﾌ_4" hidden="1">#REF!</definedName>
    <definedName name="_9__FDSAUDITLINK__" localSheetId="18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localSheetId="0" hidden="1">#REF!</definedName>
    <definedName name="_9_0_0_F" hidden="1">#REF!</definedName>
    <definedName name="_90__FDSAUDITLINK__" localSheetId="18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localSheetId="18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localSheetId="18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localSheetId="18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localSheetId="18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localSheetId="18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localSheetId="18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localSheetId="18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localSheetId="18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localSheetId="18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hidden="1">#REF!</definedName>
    <definedName name="_a1" localSheetId="18" hidden="1">{"cashflow",#N/A,FALSE,"CASHFLOW "}</definedName>
    <definedName name="_a1" localSheetId="23" hidden="1">{"'Sheet1'!$L$16"}</definedName>
    <definedName name="_a1" localSheetId="21" hidden="1">{"'Sheet1'!$L$16"}</definedName>
    <definedName name="_a1" localSheetId="20" hidden="1">{"'Sheet1'!$L$16"}</definedName>
    <definedName name="_a1" localSheetId="0" hidden="1">{"cashflow",#N/A,FALSE,"CASHFLOW "}</definedName>
    <definedName name="_a1" hidden="1">{"cashflow",#N/A,FALSE,"CASHFLOW "}</definedName>
    <definedName name="_a1_1" localSheetId="18" hidden="1">{"'Sheet1'!$L$16"}</definedName>
    <definedName name="_a1_1" hidden="1">{"'Sheet1'!$L$16"}</definedName>
    <definedName name="_a1_1_1" localSheetId="18" hidden="1">{"'Sheet1'!$L$16"}</definedName>
    <definedName name="_a1_1_1" hidden="1">{"'Sheet1'!$L$16"}</definedName>
    <definedName name="_a1_1_1_1" localSheetId="18" hidden="1">{"'Sheet1'!$L$16"}</definedName>
    <definedName name="_a1_1_1_1" hidden="1">{"'Sheet1'!$L$16"}</definedName>
    <definedName name="_a1_1_1_1_1" localSheetId="18" hidden="1">{"'Sheet1'!$L$16"}</definedName>
    <definedName name="_a1_1_1_1_1" hidden="1">{"'Sheet1'!$L$16"}</definedName>
    <definedName name="_a1_1_1_1_1_1" localSheetId="18" hidden="1">{"'Sheet1'!$L$16"}</definedName>
    <definedName name="_a1_1_1_1_1_1" hidden="1">{"'Sheet1'!$L$16"}</definedName>
    <definedName name="_a1_1_1_1_1_2" localSheetId="18" hidden="1">{"'Sheet1'!$L$16"}</definedName>
    <definedName name="_a1_1_1_1_1_2" hidden="1">{"'Sheet1'!$L$16"}</definedName>
    <definedName name="_a1_1_1_1_2" localSheetId="18" hidden="1">{"'Sheet1'!$L$16"}</definedName>
    <definedName name="_a1_1_1_1_2" hidden="1">{"'Sheet1'!$L$16"}</definedName>
    <definedName name="_a1_1_1_1_3" localSheetId="18" hidden="1">{"'Sheet1'!$L$16"}</definedName>
    <definedName name="_a1_1_1_1_3" hidden="1">{"'Sheet1'!$L$16"}</definedName>
    <definedName name="_a1_1_1_2" localSheetId="18" hidden="1">{"'Sheet1'!$L$16"}</definedName>
    <definedName name="_a1_1_1_2" hidden="1">{"'Sheet1'!$L$16"}</definedName>
    <definedName name="_a1_1_1_2_1" localSheetId="18" hidden="1">{"'Sheet1'!$L$16"}</definedName>
    <definedName name="_a1_1_1_2_1" hidden="1">{"'Sheet1'!$L$16"}</definedName>
    <definedName name="_a1_1_1_2_2" localSheetId="18" hidden="1">{"'Sheet1'!$L$16"}</definedName>
    <definedName name="_a1_1_1_2_2" hidden="1">{"'Sheet1'!$L$16"}</definedName>
    <definedName name="_a1_1_1_3" localSheetId="18" hidden="1">{"'Sheet1'!$L$16"}</definedName>
    <definedName name="_a1_1_1_3" hidden="1">{"'Sheet1'!$L$16"}</definedName>
    <definedName name="_a1_1_1_3_1" localSheetId="18" hidden="1">{"'Sheet1'!$L$16"}</definedName>
    <definedName name="_a1_1_1_3_1" hidden="1">{"'Sheet1'!$L$16"}</definedName>
    <definedName name="_a1_1_1_3_2" localSheetId="18" hidden="1">{"'Sheet1'!$L$16"}</definedName>
    <definedName name="_a1_1_1_3_2" hidden="1">{"'Sheet1'!$L$16"}</definedName>
    <definedName name="_a1_1_1_4" localSheetId="18" hidden="1">{"'Sheet1'!$L$16"}</definedName>
    <definedName name="_a1_1_1_4" hidden="1">{"'Sheet1'!$L$16"}</definedName>
    <definedName name="_a1_1_1_5" localSheetId="18" hidden="1">{"'Sheet1'!$L$16"}</definedName>
    <definedName name="_a1_1_1_5" hidden="1">{"'Sheet1'!$L$16"}</definedName>
    <definedName name="_a1_1_2" localSheetId="18" hidden="1">{"'Sheet1'!$L$16"}</definedName>
    <definedName name="_a1_1_2" hidden="1">{"'Sheet1'!$L$16"}</definedName>
    <definedName name="_a1_1_2_1" localSheetId="18" hidden="1">{"'Sheet1'!$L$16"}</definedName>
    <definedName name="_a1_1_2_1" hidden="1">{"'Sheet1'!$L$16"}</definedName>
    <definedName name="_a1_1_2_2" localSheetId="18" hidden="1">{"'Sheet1'!$L$16"}</definedName>
    <definedName name="_a1_1_2_2" hidden="1">{"'Sheet1'!$L$16"}</definedName>
    <definedName name="_a1_1_3" localSheetId="18" hidden="1">{"'Sheet1'!$L$16"}</definedName>
    <definedName name="_a1_1_3" hidden="1">{"'Sheet1'!$L$16"}</definedName>
    <definedName name="_a1_1_3_1" localSheetId="18" hidden="1">{"'Sheet1'!$L$16"}</definedName>
    <definedName name="_a1_1_3_1" hidden="1">{"'Sheet1'!$L$16"}</definedName>
    <definedName name="_a1_1_3_2" localSheetId="18" hidden="1">{"'Sheet1'!$L$16"}</definedName>
    <definedName name="_a1_1_3_2" hidden="1">{"'Sheet1'!$L$16"}</definedName>
    <definedName name="_a1_1_4" localSheetId="18" hidden="1">{"'Sheet1'!$L$16"}</definedName>
    <definedName name="_a1_1_4" hidden="1">{"'Sheet1'!$L$16"}</definedName>
    <definedName name="_a1_1_5" localSheetId="18" hidden="1">{"'Sheet1'!$L$16"}</definedName>
    <definedName name="_a1_1_5" hidden="1">{"'Sheet1'!$L$16"}</definedName>
    <definedName name="_a1_2" localSheetId="18" hidden="1">{"'Sheet1'!$L$16"}</definedName>
    <definedName name="_a1_2" hidden="1">{"'Sheet1'!$L$16"}</definedName>
    <definedName name="_a1_2_1" localSheetId="18" hidden="1">{"'Sheet1'!$L$16"}</definedName>
    <definedName name="_a1_2_1" hidden="1">{"'Sheet1'!$L$16"}</definedName>
    <definedName name="_a1_2_2" localSheetId="18" hidden="1">{"'Sheet1'!$L$16"}</definedName>
    <definedName name="_a1_2_2" hidden="1">{"'Sheet1'!$L$16"}</definedName>
    <definedName name="_a1_3" localSheetId="18" hidden="1">{"'Sheet1'!$L$16"}</definedName>
    <definedName name="_a1_3" hidden="1">{"'Sheet1'!$L$16"}</definedName>
    <definedName name="_a1_3_1" localSheetId="18" hidden="1">{"'Sheet1'!$L$16"}</definedName>
    <definedName name="_a1_3_1" hidden="1">{"'Sheet1'!$L$16"}</definedName>
    <definedName name="_a1_3_2" localSheetId="18" hidden="1">{"'Sheet1'!$L$16"}</definedName>
    <definedName name="_a1_3_2" hidden="1">{"'Sheet1'!$L$16"}</definedName>
    <definedName name="_a1_4" localSheetId="18" hidden="1">{"'Sheet1'!$L$16"}</definedName>
    <definedName name="_a1_4" hidden="1">{"'Sheet1'!$L$16"}</definedName>
    <definedName name="_a1_4_1" localSheetId="18" hidden="1">{"'Sheet1'!$L$16"}</definedName>
    <definedName name="_a1_4_1" hidden="1">{"'Sheet1'!$L$16"}</definedName>
    <definedName name="_a1_4_2" localSheetId="18" hidden="1">{"'Sheet1'!$L$16"}</definedName>
    <definedName name="_a1_4_2" hidden="1">{"'Sheet1'!$L$16"}</definedName>
    <definedName name="_a1_5" localSheetId="18" hidden="1">{"'Sheet1'!$L$16"}</definedName>
    <definedName name="_a1_5" hidden="1">{"'Sheet1'!$L$16"}</definedName>
    <definedName name="_a1_5_1" localSheetId="18" hidden="1">{"'Sheet1'!$L$16"}</definedName>
    <definedName name="_a1_5_1" hidden="1">{"'Sheet1'!$L$16"}</definedName>
    <definedName name="_a1_5_2" localSheetId="18" hidden="1">{"'Sheet1'!$L$16"}</definedName>
    <definedName name="_a1_5_2" hidden="1">{"'Sheet1'!$L$16"}</definedName>
    <definedName name="_a10" localSheetId="18" hidden="1">{"sales",#N/A,FALSE,"SALES"}</definedName>
    <definedName name="_a10" localSheetId="0" hidden="1">{"sales",#N/A,FALSE,"SALES"}</definedName>
    <definedName name="_a10" hidden="1">{"sales",#N/A,FALSE,"SALES"}</definedName>
    <definedName name="_a100000001" localSheetId="18" hidden="1">{"hilight3",#N/A,FALSE,"HILIGHT3"}</definedName>
    <definedName name="_a100000001" hidden="1">{"hilight3",#N/A,FALSE,"HILIGHT3"}</definedName>
    <definedName name="_a11" localSheetId="18" hidden="1">{"'Sheet1'!$L$16"}</definedName>
    <definedName name="_a11" localSheetId="0" hidden="1">{"sales",#N/A,FALSE,"SALES"}</definedName>
    <definedName name="_a11" hidden="1">{"'Sheet1'!$L$16"}</definedName>
    <definedName name="_a12" localSheetId="18" hidden="1">{"'Sheet1'!$L$16"}</definedName>
    <definedName name="_a12" hidden="1">{"'Sheet1'!$L$16"}</definedName>
    <definedName name="_A123" hidden="1">#REF!</definedName>
    <definedName name="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localSheetId="18" hidden="1">{"revable",#N/A,FALSE,"REVABLE"}</definedName>
    <definedName name="_a133" hidden="1">{"revable",#N/A,FALSE,"REVABLE"}</definedName>
    <definedName name="_a14" localSheetId="18" hidden="1">{"TAG1AGMS",#N/A,FALSE,"TAG 1A"}</definedName>
    <definedName name="_a14" hidden="1">{"TAG1AGMS",#N/A,FALSE,"TAG 1A"}</definedName>
    <definedName name="_a15" localSheetId="18" hidden="1">{"weichwaren",#N/A,FALSE,"Liste 1";"hartwaren",#N/A,FALSE,"Liste 1";"food",#N/A,FALSE,"Liste 1";"fleisch",#N/A,FALSE,"Liste 1"}</definedName>
    <definedName name="_a15" hidden="1">{"weichwaren",#N/A,FALSE,"Liste 1";"hartwaren",#N/A,FALSE,"Liste 1";"food",#N/A,FALSE,"Liste 1";"fleisch",#N/A,FALSE,"Liste 1"}</definedName>
    <definedName name="_a16" localSheetId="18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localSheetId="18" hidden="1">{"TAG1AGMS",#N/A,FALSE,"TAG 1A"}</definedName>
    <definedName name="_a17" hidden="1">{"TAG1AGMS",#N/A,FALSE,"TAG 1A"}</definedName>
    <definedName name="_a18" localSheetId="18" hidden="1">{"Tages_D",#N/A,FALSE,"Tagesbericht";"Tages_PL",#N/A,FALSE,"Tagesbericht"}</definedName>
    <definedName name="_a18" hidden="1">{"Tages_D",#N/A,FALSE,"Tagesbericht";"Tages_PL",#N/A,FALSE,"Tagesbericht"}</definedName>
    <definedName name="_a19" localSheetId="18" hidden="1">{"fleisch",#N/A,FALSE,"WG HK";"food",#N/A,FALSE,"WG HK";"hartwaren",#N/A,FALSE,"WG HK";"weichwaren",#N/A,FALSE,"WG HK"}</definedName>
    <definedName name="_a19" hidden="1">{"fleisch",#N/A,FALSE,"WG HK";"food",#N/A,FALSE,"WG HK";"hartwaren",#N/A,FALSE,"WG HK";"weichwaren",#N/A,FALSE,"WG HK"}</definedName>
    <definedName name="_a2" localSheetId="18" hidden="1">{"hilight1",#N/A,FALSE,"HILIGHT1"}</definedName>
    <definedName name="_a2" localSheetId="23" hidden="1">{"'Sheet1'!$L$16"}</definedName>
    <definedName name="_a2" localSheetId="21" hidden="1">{"'Sheet1'!$L$16"}</definedName>
    <definedName name="_a2" localSheetId="20" hidden="1">{"'Sheet1'!$L$16"}</definedName>
    <definedName name="_a2" localSheetId="0" hidden="1">{"hilight1",#N/A,FALSE,"HILIGHT1"}</definedName>
    <definedName name="_a2" hidden="1">{"hilight1",#N/A,FALSE,"HILIGHT1"}</definedName>
    <definedName name="_a3" localSheetId="18" hidden="1">{"hilight2",#N/A,FALSE,"HILIGHT2"}</definedName>
    <definedName name="_a3" localSheetId="0" hidden="1">{"hilight2",#N/A,FALSE,"HILIGHT2"}</definedName>
    <definedName name="_a3" hidden="1">{"hilight2",#N/A,FALSE,"HILIGHT2"}</definedName>
    <definedName name="_a33" localSheetId="18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4" localSheetId="18" hidden="1">{"hilight3",#N/A,FALSE,"HILIGHT3"}</definedName>
    <definedName name="_a4" localSheetId="0" hidden="1">{"hilight3",#N/A,FALSE,"HILIGHT3"}</definedName>
    <definedName name="_a4" hidden="1">{"hilight3",#N/A,FALSE,"HILIGHT3"}</definedName>
    <definedName name="_a45" hidden="1">#REF!</definedName>
    <definedName name="_a5" localSheetId="18" hidden="1">{"income",#N/A,FALSE,"INCOME"}</definedName>
    <definedName name="_a5" localSheetId="0" hidden="1">{"income",#N/A,FALSE,"INCOME"}</definedName>
    <definedName name="_a5" hidden="1">{"income",#N/A,FALSE,"INCOME"}</definedName>
    <definedName name="_a51" localSheetId="18" hidden="1">{"income",#N/A,FALSE,"INCOME"}</definedName>
    <definedName name="_a51" hidden="1">{"income",#N/A,FALSE,"INCOME"}</definedName>
    <definedName name="_a55" localSheetId="18" hidden="1">{"Tages_D",#N/A,FALSE,"Tagesbericht";"Tages_PL",#N/A,FALSE,"Tagesbericht"}</definedName>
    <definedName name="_a55" hidden="1">{"Tages_D",#N/A,FALSE,"Tagesbericht";"Tages_PL",#N/A,FALSE,"Tagesbericht"}</definedName>
    <definedName name="_a6" localSheetId="18" hidden="1">{"index",#N/A,FALSE,"INDEX"}</definedName>
    <definedName name="_a6" localSheetId="0" hidden="1">{"index",#N/A,FALSE,"INDEX"}</definedName>
    <definedName name="_a6" hidden="1">{"index",#N/A,FALSE,"INDEX"}</definedName>
    <definedName name="_a66" localSheetId="18" hidden="1">{"TAG1AGMS",#N/A,FALSE,"TAG 1A"}</definedName>
    <definedName name="_a66" hidden="1">{"TAG1AGMS",#N/A,FALSE,"TAG 1A"}</definedName>
    <definedName name="_a7" localSheetId="18" hidden="1">{"PRINT_EST",#N/A,FALSE,"ESTMON"}</definedName>
    <definedName name="_a7" localSheetId="0" hidden="1">{"PRINT_EST",#N/A,FALSE,"ESTMON"}</definedName>
    <definedName name="_a7" hidden="1">{"PRINT_EST",#N/A,FALSE,"ESTMON"}</definedName>
    <definedName name="_a8" localSheetId="18" hidden="1">{"revsale",#N/A,FALSE,"REV-ยุพดี"}</definedName>
    <definedName name="_a8" localSheetId="0" hidden="1">{"revsale",#N/A,FALSE,"REV-ยุพดี"}</definedName>
    <definedName name="_a8" hidden="1">{"revsale",#N/A,FALSE,"REV-ยุพดี"}</definedName>
    <definedName name="_a9" localSheetId="18" hidden="1">{"revable",#N/A,FALSE,"REVABLE"}</definedName>
    <definedName name="_a9" localSheetId="0" hidden="1">{"revable",#N/A,FALSE,"REVABLE"}</definedName>
    <definedName name="_a9" hidden="1">{"revable",#N/A,FALSE,"REVABLE"}</definedName>
    <definedName name="_a99" localSheetId="18" hidden="1">{"revable",#N/A,FALSE,"REVABLE"}</definedName>
    <definedName name="_a99" hidden="1">{"revable",#N/A,FALSE,"REVABLE"}</definedName>
    <definedName name="_aa1" localSheetId="18" hidden="1">{"cashflow",#N/A,FALSE,"CASHFLOW "}</definedName>
    <definedName name="_aa1" localSheetId="0" hidden="1">{"cashflow",#N/A,FALSE,"CASHFLOW "}</definedName>
    <definedName name="_aa1" hidden="1">{"cashflow",#N/A,FALSE,"CASHFLOW "}</definedName>
    <definedName name="_aa22" localSheetId="18" hidden="1">{"Tages_D",#N/A,FALSE,"Tagesbericht";"Tages_PL",#N/A,FALSE,"Tagesbericht"}</definedName>
    <definedName name="_aa22" hidden="1">{"Tages_D",#N/A,FALSE,"Tagesbericht";"Tages_PL",#N/A,FALSE,"Tagesbericht"}</definedName>
    <definedName name="_ABC1" localSheetId="18" hidden="1">{"'Sheet1'!$L$16"}</definedName>
    <definedName name="_ABC1" hidden="1">{"'Sheet1'!$L$16"}</definedName>
    <definedName name="_AL2" localSheetId="18" hidden="1">{#N/A,#N/A,FALSE,"Chi tiÆt"}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localSheetId="18" hidden="1">{"'Model'!$A$1:$N$53"}</definedName>
    <definedName name="_apr2" hidden="1">{"'Model'!$A$1:$N$53"}</definedName>
    <definedName name="_As1" hidden="1">#REF!</definedName>
    <definedName name="_b1" localSheetId="18" hidden="1">{"'Sheet1'!$L$16"}</definedName>
    <definedName name="_b1" hidden="1">{"'Sheet1'!$L$16"}</definedName>
    <definedName name="_b18" localSheetId="18" hidden="1">{"Tages_D",#N/A,FALSE,"Tagesbericht";"Tages_PL",#N/A,FALSE,"Tagesbericht"}</definedName>
    <definedName name="_b18" hidden="1">{"Tages_D",#N/A,FALSE,"Tagesbericht";"Tages_PL",#N/A,FALSE,"Tagesbericht"}</definedName>
    <definedName name="_b19" localSheetId="18" hidden="1">{"Tages_D",#N/A,FALSE,"Tagesbericht";"Tages_PL",#N/A,FALSE,"Tagesbericht"}</definedName>
    <definedName name="_b19" hidden="1">{"Tages_D",#N/A,FALSE,"Tagesbericht";"Tages_PL",#N/A,FALSE,"Tagesbericht"}</definedName>
    <definedName name="_b3" localSheetId="18" hidden="1">{"'Sheet1'!$L$16"}</definedName>
    <definedName name="_b3" hidden="1">{"'Sheet1'!$L$16"}</definedName>
    <definedName name="_b4" localSheetId="18" hidden="1">{"'Sheet1'!$L$16"}</definedName>
    <definedName name="_b4" hidden="1">{"'Sheet1'!$L$16"}</definedName>
    <definedName name="_b5" localSheetId="18" hidden="1">{"'Sheet1'!$L$16"}</definedName>
    <definedName name="_b5" hidden="1">{"'Sheet1'!$L$16"}</definedName>
    <definedName name="_b6" localSheetId="18" hidden="1">{"'Sheet1'!$L$16"}</definedName>
    <definedName name="_b6" hidden="1">{"'Sheet1'!$L$16"}</definedName>
    <definedName name="_b7" localSheetId="18" hidden="1">{#N/A,#N/A,FALSE,"Chi tiÆt"}</definedName>
    <definedName name="_b7" hidden="1">{#N/A,#N/A,FALSE,"Chi tiÆt"}</definedName>
    <definedName name="_BA2" localSheetId="18" hidden="1">{"'Sheet1'!$L$16"}</definedName>
    <definedName name="_BA2" hidden="1">{"'Sheet1'!$L$16"}</definedName>
    <definedName name="_bdm.0352AD5BC8974483AD8F758D81559C4B.edm" hidden="1">#REF!</definedName>
    <definedName name="_bdm.0BE42A9121A34DE0AF764B7834BA886D.edm" hidden="1">#REF!</definedName>
    <definedName name="_bdm.209F0E9536F5414ABE5B892B1B56C529.edm" hidden="1">#REF!</definedName>
    <definedName name="_bdm.45E597CDB27D4A5FBA9CE5456C380287.edm" hidden="1">#REF!</definedName>
    <definedName name="_bdm.48EC97D14FAC42A2B99E4822C97DC841.edm" hidden="1">#REF!</definedName>
    <definedName name="_bdm.5010A66FDA1D4A5C89B061EBD267E018.edm" hidden="1">#REF!</definedName>
    <definedName name="_bdm.52618411990543B6AE6F19B857D55497.edm" hidden="1">#REF!</definedName>
    <definedName name="_bdm.610AF287726E41BC8DAEECC0FD9475E5.edm" hidden="1">#REF!</definedName>
    <definedName name="_bdm.65E3A508ACE44FF2921CAA7350998681.edm" hidden="1">#REF!</definedName>
    <definedName name="_bdm.7C6426C1081C4B62AC192299F915DB1D.edm" hidden="1">#REF!</definedName>
    <definedName name="_bdm.810D9907712147CCB68C743A02D482F7.edm" hidden="1">#REF!</definedName>
    <definedName name="_bdm.8633481907C249E58E7B95159C3E558C.edm" hidden="1">#REF!</definedName>
    <definedName name="_bdm.93475E69206A4A71892E4C3FCA2D5D20.edm" hidden="1">#REF!</definedName>
    <definedName name="_bdm.BC73C1315733463ABA8F35CF36E670D2.edm" hidden="1">#REF!</definedName>
    <definedName name="_bdm.CAF676A2885E4D7F828214173307C888.edm" hidden="1">#REF!</definedName>
    <definedName name="_bdm.D943C822FB584D06891BAE17B2AC4204.edm" hidden="1">#REF!</definedName>
    <definedName name="_bdm.E7D4F600AEB946A6B094878EBFE48A39.edm" hidden="1">#REF!</definedName>
    <definedName name="_bdm.E9ECFCD50849415181B38A11E4A91DA5.edm" hidden="1">#REF!</definedName>
    <definedName name="_bdm.EA31AAC4224A49E08E71DB4B4EB2944E.edm" hidden="1">#REF!</definedName>
    <definedName name="_bdm.F4DFCF610F804F0EBC635163893E69C5.edm" hidden="1">#REF!</definedName>
    <definedName name="_bdm.FD064865F2C947EB9DE0109ABA7109FF.edm" hidden="1">#REF!</definedName>
    <definedName name="_bdm.tmp.edm" hidden="1">#REF!</definedName>
    <definedName name="_BEx2231" localSheetId="18" hidden="1">Stat Key #REF!</definedName>
    <definedName name="_BEx2231" hidden="1">Stat Key #REF!</definedName>
    <definedName name="_Bm2" localSheetId="18" hidden="1">{"'Sheet1'!$L$16"}</definedName>
    <definedName name="_Bm2" hidden="1">{"'Sheet1'!$L$16"}</definedName>
    <definedName name="_BQ22" localSheetId="18" hidden="1">{"'Sheet1'!$L$16"}</definedName>
    <definedName name="_BQ22" hidden="1">{"'Sheet1'!$L$16"}</definedName>
    <definedName name="_Builtin0" hidden="1">#REF!</definedName>
    <definedName name="_Builtin155" hidden="1">#N/A</definedName>
    <definedName name="_cad2" localSheetId="18" hidden="1">{#N/A,#N/A,TRUE,"BT M200 da 10x20"}</definedName>
    <definedName name="_cad2" localSheetId="23" hidden="1">{#N/A,#N/A,TRUE,"BT M200 da 10x20"}</definedName>
    <definedName name="_cad2" localSheetId="21" hidden="1">{#N/A,#N/A,TRUE,"BT M200 da 10x20"}</definedName>
    <definedName name="_cad2" localSheetId="20" hidden="1">{#N/A,#N/A,TRUE,"BT M200 da 10x20"}</definedName>
    <definedName name="_cad2" localSheetId="0" hidden="1">{#N/A,#N/A,TRUE,"BT M200 da 10x20"}</definedName>
    <definedName name="_cad2" hidden="1">{#N/A,#N/A,TRUE,"BT M200 da 10x20"}</definedName>
    <definedName name="_CD2" localSheetId="18" hidden="1">{"'Sheet1'!$L$16"}</definedName>
    <definedName name="_CD2" localSheetId="23" hidden="1">{"'Sheet1'!$L$16"}</definedName>
    <definedName name="_CD2" localSheetId="21" hidden="1">{"'Sheet1'!$L$16"}</definedName>
    <definedName name="_CD2" localSheetId="20" hidden="1">{"'Sheet1'!$L$16"}</definedName>
    <definedName name="_CD2" localSheetId="0" hidden="1">{"'Sheet1'!$L$16"}</definedName>
    <definedName name="_CD2" hidden="1">{"'Sheet1'!$L$16"}</definedName>
    <definedName name="_CLA2" localSheetId="18" hidden="1">{#N/A,#N/A,FALSE,"Sheet1"}</definedName>
    <definedName name="_CLA2" hidden="1">{#N/A,#N/A,FALSE,"Sheet1"}</definedName>
    <definedName name="_CLA22" localSheetId="18" hidden="1">{#N/A,#N/A,FALSE,"Sheet1"}</definedName>
    <definedName name="_CLA22" hidden="1">{#N/A,#N/A,FALSE,"Sheet1"}</definedName>
    <definedName name="_CN1" localSheetId="18" hidden="1">{"'Sheet1'!$L$16"}</definedName>
    <definedName name="_CN1" hidden="1">{"'Sheet1'!$L$16"}</definedName>
    <definedName name="_D1112" localSheetId="18" hidden="1">{"'照明目录'!$A$1:$H$31"}</definedName>
    <definedName name="_D1112" localSheetId="0" hidden="1">{"'照明目录'!$A$1:$H$31"}</definedName>
    <definedName name="_D1112" hidden="1">{"'照明目录'!$A$1:$H$31"}</definedName>
    <definedName name="_d1500" localSheetId="18" hidden="1">{"'Sheet1'!$L$16"}</definedName>
    <definedName name="_d1500" hidden="1">{"'Sheet1'!$L$16"}</definedName>
    <definedName name="_Dist_Values" hidden="1">#REF!</definedName>
    <definedName name="_e1" localSheetId="18" hidden="1">{"'Sheet1'!$L$16"}</definedName>
    <definedName name="_e1" hidden="1">{"'Sheet1'!$L$16"}</definedName>
    <definedName name="_e2" localSheetId="18" hidden="1">{"'Sheet1'!$L$16"}</definedName>
    <definedName name="_e2" hidden="1">{"'Sheet1'!$L$16"}</definedName>
    <definedName name="_e4" localSheetId="18" hidden="1">{"'Sheet1'!$L$16"}</definedName>
    <definedName name="_e4" hidden="1">{"'Sheet1'!$L$16"}</definedName>
    <definedName name="_e5" localSheetId="18" hidden="1">{"'Sheet1'!$L$16"}</definedName>
    <definedName name="_e5" hidden="1">{"'Sheet1'!$L$16"}</definedName>
    <definedName name="_e6" localSheetId="18" hidden="1">{"'Sheet1'!$L$16"}</definedName>
    <definedName name="_e6" hidden="1">{"'Sheet1'!$L$16"}</definedName>
    <definedName name="_e7" localSheetId="18" hidden="1">{"'Sheet1'!$L$16"}</definedName>
    <definedName name="_e7" hidden="1">{"'Sheet1'!$L$16"}</definedName>
    <definedName name="_e8" localSheetId="18" hidden="1">{#N/A,#N/A,FALSE,"Chi tiÆt"}</definedName>
    <definedName name="_e8" hidden="1">{#N/A,#N/A,FALSE,"Chi tiÆt"}</definedName>
    <definedName name="_EA1116" localSheetId="18" hidden="1">{"'照明目录'!$A$1:$H$31"}</definedName>
    <definedName name="_EA1116" localSheetId="0" hidden="1">{"'照明目录'!$A$1:$H$31"}</definedName>
    <definedName name="_EA1116" hidden="1">{"'照明目录'!$A$1:$H$31"}</definedName>
    <definedName name="_Es1" hidden="1">#REF!</definedName>
    <definedName name="_F1" localSheetId="18" hidden="1">{"'Sheet1'!$L$16"}</definedName>
    <definedName name="_F1" hidden="1">{"'Sheet1'!$L$16"}</definedName>
    <definedName name="_f2" localSheetId="18" hidden="1">{"'Sheet1'!$L$16"}</definedName>
    <definedName name="_f2" hidden="1">{"'Sheet1'!$L$16"}</definedName>
    <definedName name="_f3" localSheetId="18" hidden="1">{"'Sheet1'!$L$16"}</definedName>
    <definedName name="_f3" hidden="1">{"'Sheet1'!$L$16"}</definedName>
    <definedName name="_f4" localSheetId="18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5" localSheetId="18" hidden="1">{"'Sheet1'!$L$16"}</definedName>
    <definedName name="_f5" localSheetId="23" hidden="1">{"'Sheet1'!$L$16"}</definedName>
    <definedName name="_f5" localSheetId="21" hidden="1">{"'Sheet1'!$L$16"}</definedName>
    <definedName name="_f5" localSheetId="20" hidden="1">{"'Sheet1'!$L$16"}</definedName>
    <definedName name="_f5" localSheetId="0" hidden="1">{"'Sheet1'!$L$16"}</definedName>
    <definedName name="_f5" hidden="1">{"'Sheet1'!$L$16"}</definedName>
    <definedName name="_f6" localSheetId="18" hidden="1">{"'Sheet1'!$L$16"}</definedName>
    <definedName name="_f6" hidden="1">{"'Sheet1'!$L$16"}</definedName>
    <definedName name="_f7" localSheetId="18" hidden="1">{"'Sheet1'!$L$16"}</definedName>
    <definedName name="_f7" hidden="1">{"'Sheet1'!$L$16"}</definedName>
    <definedName name="_f8" localSheetId="18" hidden="1">{#N/A,#N/A,FALSE,"Chi tiÆt"}</definedName>
    <definedName name="_f8" hidden="1">{#N/A,#N/A,FALSE,"Chi tiÆt"}</definedName>
    <definedName name="_f9" localSheetId="18" hidden="1">{#N/A,#N/A,FALSE,"Chi tiÆt"}</definedName>
    <definedName name="_f9" hidden="1">{#N/A,#N/A,FALSE,"Chi tiÆt"}</definedName>
    <definedName name="_fd4" hidden="1">#REF!</definedName>
    <definedName name="_fgh1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hidden="1">#REF!</definedName>
    <definedName name="_Fill" localSheetId="23" hidden="1">#REF!</definedName>
    <definedName name="_Fill" localSheetId="21" hidden="1">#REF!</definedName>
    <definedName name="_Fill" localSheetId="20" hidden="1">#REF!</definedName>
    <definedName name="_Fill" localSheetId="0" hidden="1">#REF!</definedName>
    <definedName name="_Fill" hidden="1">[2]detail!#REF!</definedName>
    <definedName name="_Fill1" hidden="1">#REF!</definedName>
    <definedName name="_xlnm._FilterDatabase" localSheetId="18" hidden="1">CP_HDKD!$B$4:$Z$62</definedName>
    <definedName name="_xlnm._FilterDatabase" localSheetId="19" hidden="1">CP_Kg!$B$4:$AB$59</definedName>
    <definedName name="_xlnm._FilterDatabase" localSheetId="17" hidden="1">CPQL!$B$4:$AU$65</definedName>
    <definedName name="_xlnm._FilterDatabase" localSheetId="15" hidden="1">CPSX!$B$5:$AS$25</definedName>
    <definedName name="_xlnm._FilterDatabase" localSheetId="22" hidden="1">'DATA Phan bo'!$B$3:$E$27</definedName>
    <definedName name="_xlnm._FilterDatabase" localSheetId="8" hidden="1">'Dinh bien_HCNS'!$A$4:$U$78</definedName>
    <definedName name="_xlnm._FilterDatabase" localSheetId="23" hidden="1">'FORM OH'!$A$8:$AT$362</definedName>
    <definedName name="_xlnm._FilterDatabase" localSheetId="9" hidden="1">LUONG!$B$4:$R$228</definedName>
    <definedName name="_xlnm._FilterDatabase" hidden="1">#REF!</definedName>
    <definedName name="_FOH2006" localSheetId="18" hidden="1">{#N/A,#N/A,FALSE,"TL";#N/A,#N/A,FALSE,"KK";#N/A,#N/A,FALSE,"TS";#N/A,#N/A,FALSE,"KW";#N/A,#N/A,FALSE,"LP";#N/A,#N/A,FALSE,"DC"}</definedName>
    <definedName name="_FOH2006" localSheetId="0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B01" localSheetId="18" hidden="1">{"'Sheet1'!$L$16"}</definedName>
    <definedName name="_GB01" hidden="1">{"'Sheet1'!$L$16"}</definedName>
    <definedName name="_gdh1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localSheetId="18" hidden="1">{"'Sheet1'!$L$16"}</definedName>
    <definedName name="_gg1" hidden="1">{"'Sheet1'!$L$16"}</definedName>
    <definedName name="_gg1_1" localSheetId="18" hidden="1">{"'Sheet1'!$L$16"}</definedName>
    <definedName name="_gg1_1" hidden="1">{"'Sheet1'!$L$16"}</definedName>
    <definedName name="_gg1_1_1" localSheetId="18" hidden="1">{"'Sheet1'!$L$16"}</definedName>
    <definedName name="_gg1_1_1" hidden="1">{"'Sheet1'!$L$16"}</definedName>
    <definedName name="_gg1_1_1_1" localSheetId="18" hidden="1">{"'Sheet1'!$L$16"}</definedName>
    <definedName name="_gg1_1_1_1" hidden="1">{"'Sheet1'!$L$16"}</definedName>
    <definedName name="_gg1_1_1_2" localSheetId="18" hidden="1">{"'Sheet1'!$L$16"}</definedName>
    <definedName name="_gg1_1_1_2" hidden="1">{"'Sheet1'!$L$16"}</definedName>
    <definedName name="_gg1_1_2" localSheetId="18" hidden="1">{"'Sheet1'!$L$16"}</definedName>
    <definedName name="_gg1_1_2" hidden="1">{"'Sheet1'!$L$16"}</definedName>
    <definedName name="_gg1_1_3" localSheetId="18" hidden="1">{"'Sheet1'!$L$16"}</definedName>
    <definedName name="_gg1_1_3" hidden="1">{"'Sheet1'!$L$16"}</definedName>
    <definedName name="_gg1_2" localSheetId="18" hidden="1">{"'Sheet1'!$L$16"}</definedName>
    <definedName name="_gg1_2" hidden="1">{"'Sheet1'!$L$16"}</definedName>
    <definedName name="_gg1_2_1" localSheetId="18" hidden="1">{"'Sheet1'!$L$16"}</definedName>
    <definedName name="_gg1_2_1" hidden="1">{"'Sheet1'!$L$16"}</definedName>
    <definedName name="_gg1_2_2" localSheetId="18" hidden="1">{"'Sheet1'!$L$16"}</definedName>
    <definedName name="_gg1_2_2" hidden="1">{"'Sheet1'!$L$16"}</definedName>
    <definedName name="_gg1_3" localSheetId="18" hidden="1">{"'Sheet1'!$L$16"}</definedName>
    <definedName name="_gg1_3" hidden="1">{"'Sheet1'!$L$16"}</definedName>
    <definedName name="_gg1_4" localSheetId="18" hidden="1">{"'Sheet1'!$L$16"}</definedName>
    <definedName name="_gg1_4" hidden="1">{"'Sheet1'!$L$16"}</definedName>
    <definedName name="_GL635" localSheetId="18" hidden="1">{"'Sheet1'!$L$16"}</definedName>
    <definedName name="_GL635" hidden="1">{"'Sheet1'!$L$16"}</definedName>
    <definedName name="_Goi8" localSheetId="18" hidden="1">{"'Sheet1'!$L$16"}</definedName>
    <definedName name="_Goi8" localSheetId="23" hidden="1">{"'Sheet1'!$L$16"}</definedName>
    <definedName name="_Goi8" localSheetId="21" hidden="1">{"'Sheet1'!$L$16"}</definedName>
    <definedName name="_Goi8" localSheetId="20" hidden="1">{"'Sheet1'!$L$16"}</definedName>
    <definedName name="_Goi8" localSheetId="0" hidden="1">{"'Sheet1'!$L$16"}</definedName>
    <definedName name="_Goi8" hidden="1">{"'Sheet1'!$L$16"}</definedName>
    <definedName name="_gw04" localSheetId="18" hidden="1">{#N/A,#N/A,FALSE,"Aging Summary";#N/A,#N/A,FALSE,"Ratio Analysis";#N/A,#N/A,FALSE,"Test 120 Day Accts";#N/A,#N/A,FALSE,"Tickmarks"}</definedName>
    <definedName name="_gw04" hidden="1">{#N/A,#N/A,FALSE,"Aging Summary";#N/A,#N/A,FALSE,"Ratio Analysis";#N/A,#N/A,FALSE,"Test 120 Day Accts";#N/A,#N/A,FALSE,"Tickmarks"}</definedName>
    <definedName name="_h1" localSheetId="18" hidden="1">{"'TDTGT (theo Dphuong)'!$A$4:$F$75"}</definedName>
    <definedName name="_h1" hidden="1">{"'TDTGT (theo Dphuong)'!$A$4:$F$75"}</definedName>
    <definedName name="_h1_1" localSheetId="18" hidden="1">{"'Sheet1'!$L$16"}</definedName>
    <definedName name="_h1_1" hidden="1">{"'Sheet1'!$L$16"}</definedName>
    <definedName name="_h1_1_1" localSheetId="18" hidden="1">{"'Sheet1'!$L$16"}</definedName>
    <definedName name="_h1_1_1" hidden="1">{"'Sheet1'!$L$16"}</definedName>
    <definedName name="_h1_1_1_1" localSheetId="18" hidden="1">{"'Sheet1'!$L$16"}</definedName>
    <definedName name="_h1_1_1_1" hidden="1">{"'Sheet1'!$L$16"}</definedName>
    <definedName name="_h1_1_1_2" localSheetId="18" hidden="1">{"'Sheet1'!$L$16"}</definedName>
    <definedName name="_h1_1_1_2" hidden="1">{"'Sheet1'!$L$16"}</definedName>
    <definedName name="_h1_1_2" localSheetId="18" hidden="1">{"'Sheet1'!$L$16"}</definedName>
    <definedName name="_h1_1_2" hidden="1">{"'Sheet1'!$L$16"}</definedName>
    <definedName name="_h1_1_3" localSheetId="18" hidden="1">{"'Sheet1'!$L$16"}</definedName>
    <definedName name="_h1_1_3" hidden="1">{"'Sheet1'!$L$16"}</definedName>
    <definedName name="_h1_2" localSheetId="18" hidden="1">{"'Sheet1'!$L$16"}</definedName>
    <definedName name="_h1_2" hidden="1">{"'Sheet1'!$L$16"}</definedName>
    <definedName name="_h1_2_1" localSheetId="18" hidden="1">{"'Sheet1'!$L$16"}</definedName>
    <definedName name="_h1_2_1" hidden="1">{"'Sheet1'!$L$16"}</definedName>
    <definedName name="_h1_2_2" localSheetId="18" hidden="1">{"'Sheet1'!$L$16"}</definedName>
    <definedName name="_h1_2_2" hidden="1">{"'Sheet1'!$L$16"}</definedName>
    <definedName name="_h1_3" localSheetId="18" hidden="1">{"'Sheet1'!$L$16"}</definedName>
    <definedName name="_h1_3" hidden="1">{"'Sheet1'!$L$16"}</definedName>
    <definedName name="_h1_4" localSheetId="18" hidden="1">{"'Sheet1'!$L$16"}</definedName>
    <definedName name="_h1_4" hidden="1">{"'Sheet1'!$L$16"}</definedName>
    <definedName name="_h2" localSheetId="18" hidden="1">{"'Sheet1'!$L$16"}</definedName>
    <definedName name="_h2" localSheetId="23" hidden="1">{"'Sheet1'!$L$16"}</definedName>
    <definedName name="_h2" localSheetId="21" hidden="1">{"'Sheet1'!$L$16"}</definedName>
    <definedName name="_h2" localSheetId="20" hidden="1">{"'Sheet1'!$L$16"}</definedName>
    <definedName name="_h2" localSheetId="0" hidden="1">{"'Sheet1'!$L$16"}</definedName>
    <definedName name="_h2" hidden="1">{"'Sheet1'!$L$16"}</definedName>
    <definedName name="_h2_1" localSheetId="18" hidden="1">{"'Sheet1'!$L$16"}</definedName>
    <definedName name="_h2_1" hidden="1">{"'Sheet1'!$L$16"}</definedName>
    <definedName name="_h2_1_1" localSheetId="18" hidden="1">{"'Sheet1'!$L$16"}</definedName>
    <definedName name="_h2_1_1" hidden="1">{"'Sheet1'!$L$16"}</definedName>
    <definedName name="_h2_1_1_1" localSheetId="18" hidden="1">{"'Sheet1'!$L$16"}</definedName>
    <definedName name="_h2_1_1_1" hidden="1">{"'Sheet1'!$L$16"}</definedName>
    <definedName name="_h2_1_1_2" localSheetId="18" hidden="1">{"'Sheet1'!$L$16"}</definedName>
    <definedName name="_h2_1_1_2" hidden="1">{"'Sheet1'!$L$16"}</definedName>
    <definedName name="_h2_1_2" localSheetId="18" hidden="1">{"'Sheet1'!$L$16"}</definedName>
    <definedName name="_h2_1_2" hidden="1">{"'Sheet1'!$L$16"}</definedName>
    <definedName name="_h2_1_3" localSheetId="18" hidden="1">{"'Sheet1'!$L$16"}</definedName>
    <definedName name="_h2_1_3" hidden="1">{"'Sheet1'!$L$16"}</definedName>
    <definedName name="_h2_2" localSheetId="18" hidden="1">{"'Sheet1'!$L$16"}</definedName>
    <definedName name="_h2_2" hidden="1">{"'Sheet1'!$L$16"}</definedName>
    <definedName name="_h2_2_1" localSheetId="18" hidden="1">{"'Sheet1'!$L$16"}</definedName>
    <definedName name="_h2_2_1" hidden="1">{"'Sheet1'!$L$16"}</definedName>
    <definedName name="_h2_2_2" localSheetId="18" hidden="1">{"'Sheet1'!$L$16"}</definedName>
    <definedName name="_h2_2_2" hidden="1">{"'Sheet1'!$L$16"}</definedName>
    <definedName name="_h2_3" localSheetId="18" hidden="1">{"'Sheet1'!$L$16"}</definedName>
    <definedName name="_h2_3" hidden="1">{"'Sheet1'!$L$16"}</definedName>
    <definedName name="_h2_4" localSheetId="18" hidden="1">{"'Sheet1'!$L$16"}</definedName>
    <definedName name="_h2_4" hidden="1">{"'Sheet1'!$L$16"}</definedName>
    <definedName name="_huy1" localSheetId="18" hidden="1">{"'Sheet1'!$L$16"}</definedName>
    <definedName name="_huy1" localSheetId="23" hidden="1">{"'Sheet1'!$L$16"}</definedName>
    <definedName name="_huy1" localSheetId="21" hidden="1">{"'Sheet1'!$L$16"}</definedName>
    <definedName name="_huy1" localSheetId="20" hidden="1">{"'Sheet1'!$L$16"}</definedName>
    <definedName name="_huy1" localSheetId="0" hidden="1">{"'Sheet1'!$L$16"}</definedName>
    <definedName name="_huy1" hidden="1">{"'Sheet1'!$L$16"}</definedName>
    <definedName name="_huy1_1" localSheetId="18" hidden="1">{"'Sheet1'!$L$16"}</definedName>
    <definedName name="_huy1_1" hidden="1">{"'Sheet1'!$L$16"}</definedName>
    <definedName name="_huy1_1_1" localSheetId="18" hidden="1">{"'Sheet1'!$L$16"}</definedName>
    <definedName name="_huy1_1_1" hidden="1">{"'Sheet1'!$L$16"}</definedName>
    <definedName name="_huy1_1_1_1" localSheetId="18" hidden="1">{"'Sheet1'!$L$16"}</definedName>
    <definedName name="_huy1_1_1_1" hidden="1">{"'Sheet1'!$L$16"}</definedName>
    <definedName name="_huy1_1_1_2" localSheetId="18" hidden="1">{"'Sheet1'!$L$16"}</definedName>
    <definedName name="_huy1_1_1_2" hidden="1">{"'Sheet1'!$L$16"}</definedName>
    <definedName name="_huy1_1_2" localSheetId="18" hidden="1">{"'Sheet1'!$L$16"}</definedName>
    <definedName name="_huy1_1_2" hidden="1">{"'Sheet1'!$L$16"}</definedName>
    <definedName name="_huy1_1_3" localSheetId="18" hidden="1">{"'Sheet1'!$L$16"}</definedName>
    <definedName name="_huy1_1_3" hidden="1">{"'Sheet1'!$L$16"}</definedName>
    <definedName name="_huy1_2" localSheetId="18" hidden="1">{"'Sheet1'!$L$16"}</definedName>
    <definedName name="_huy1_2" hidden="1">{"'Sheet1'!$L$16"}</definedName>
    <definedName name="_huy1_2_1" localSheetId="18" hidden="1">{"'Sheet1'!$L$16"}</definedName>
    <definedName name="_huy1_2_1" hidden="1">{"'Sheet1'!$L$16"}</definedName>
    <definedName name="_huy1_2_2" localSheetId="18" hidden="1">{"'Sheet1'!$L$16"}</definedName>
    <definedName name="_huy1_2_2" hidden="1">{"'Sheet1'!$L$16"}</definedName>
    <definedName name="_huy1_3" localSheetId="18" hidden="1">{"'Sheet1'!$L$16"}</definedName>
    <definedName name="_huy1_3" hidden="1">{"'Sheet1'!$L$16"}</definedName>
    <definedName name="_huy1_4" localSheetId="18" hidden="1">{"'Sheet1'!$L$16"}</definedName>
    <definedName name="_huy1_4" hidden="1">{"'Sheet1'!$L$16"}</definedName>
    <definedName name="_HUY5" localSheetId="18" hidden="1">{"'Sheet1'!$L$16"}</definedName>
    <definedName name="_HUY5" hidden="1">{"'Sheet1'!$L$16"}</definedName>
    <definedName name="_KA1" localSheetId="18" hidden="1">{#N/A,#N/A,FALSE,"Sheet1"}</definedName>
    <definedName name="_KA1" hidden="1">{#N/A,#N/A,FALSE,"Sheet1"}</definedName>
    <definedName name="_Key1" localSheetId="23" hidden="1">#REF!</definedName>
    <definedName name="_Key1" localSheetId="21" hidden="1">#REF!</definedName>
    <definedName name="_Key1" localSheetId="20" hidden="1">#REF!</definedName>
    <definedName name="_Key1" localSheetId="0" hidden="1">#REF!</definedName>
    <definedName name="_Key1" hidden="1">[3]PLANBS3!#REF!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localSheetId="23" hidden="1">#REF!</definedName>
    <definedName name="_Key2" localSheetId="21" hidden="1">#REF!</definedName>
    <definedName name="_Key2" localSheetId="20" hidden="1">#REF!</definedName>
    <definedName name="_Key2" localSheetId="0" hidden="1">#REF!</definedName>
    <definedName name="_Key2" hidden="1">[3]PLANBS3!#REF!</definedName>
    <definedName name="_key3" hidden="1">#REF!</definedName>
    <definedName name="_Key4" hidden="1">#REF!</definedName>
    <definedName name="_KP300" localSheetId="18" hidden="1">{"level1",#N/A,FALSE,"1_LEV";"LEVEL1",#N/A,FALSE,"1_LEV"}</definedName>
    <definedName name="_KP300" localSheetId="0" hidden="1">{"level1",#N/A,FALSE,"1_LEV";"LEVEL1",#N/A,FALSE,"1_LEV"}</definedName>
    <definedName name="_KP300" hidden="1">{"level1",#N/A,FALSE,"1_LEV";"LEVEL1",#N/A,FALSE,"1_LEV"}</definedName>
    <definedName name="_lan1" localSheetId="18" hidden="1">{#N/A,#N/A,TRUE,"BT M200 da 10x20"}</definedName>
    <definedName name="_lan1" hidden="1">{#N/A,#N/A,TRUE,"BT M200 da 10x20"}</definedName>
    <definedName name="_LAN3" localSheetId="18" hidden="1">{"'Sheet1'!$L$16"}</definedName>
    <definedName name="_LAN3" hidden="1">{"'Sheet1'!$L$16"}</definedName>
    <definedName name="_m1" hidden="1">#N/A</definedName>
    <definedName name="_M10" localSheetId="18" hidden="1">{"'Sheet1'!$L$16"}</definedName>
    <definedName name="_M10" hidden="1">{"'Sheet1'!$L$16"}</definedName>
    <definedName name="_M2" localSheetId="18" hidden="1">{"'Sheet1'!$L$16"}</definedName>
    <definedName name="_M2" hidden="1">{"'Sheet1'!$L$16"}</definedName>
    <definedName name="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hidden="1">#REF!</definedName>
    <definedName name="_MER1" localSheetId="18" hidden="1">{"'Sheet1'!$L$16"}</definedName>
    <definedName name="_MER1" hidden="1">{"'Sheet1'!$L$16"}</definedName>
    <definedName name="_n1" localSheetId="18" hidden="1">{#N/A,#N/A,FALSE,"RECONC'L";#N/A,#N/A,FALSE,"WORKCAP";#N/A,#N/A,FALSE,"RECONC'L";#N/A,#N/A,FALSE,"ACCRUAL";#N/A,#N/A,FALSE,"DEBTOR";#N/A,#N/A,FALSE,"ADMALLOC"}</definedName>
    <definedName name="_n1" hidden="1">{#N/A,#N/A,FALSE,"RECONC'L";#N/A,#N/A,FALSE,"WORKCAP";#N/A,#N/A,FALSE,"RECONC'L";#N/A,#N/A,FALSE,"ACCRUAL";#N/A,#N/A,FALSE,"DEBTOR";#N/A,#N/A,FALSE,"ADMALLOC"}</definedName>
    <definedName name="_N4" localSheetId="18" hidden="1">{#N/A,#N/A,FALSE,"Sheet1"}</definedName>
    <definedName name="_N4" hidden="1">{#N/A,#N/A,FALSE,"Sheet1"}</definedName>
    <definedName name="_nat2" localSheetId="18" hidden="1">{#N/A,#N/A,FALSE,"Assessment";#N/A,#N/A,FALSE,"Staffing";#N/A,#N/A,FALSE,"Hires";#N/A,#N/A,FALSE,"Assumptions"}</definedName>
    <definedName name="_nat2" localSheetId="0" hidden="1">{#N/A,#N/A,FALSE,"Assessment";#N/A,#N/A,FALSE,"Staffing";#N/A,#N/A,FALSE,"Hires";#N/A,#N/A,FALSE,"Assumptions"}</definedName>
    <definedName name="_nat2" hidden="1">{#N/A,#N/A,FALSE,"Assessment";#N/A,#N/A,FALSE,"Staffing";#N/A,#N/A,FALSE,"Hires";#N/A,#N/A,FALSE,"Assumptions"}</definedName>
    <definedName name="_nat3" localSheetId="18" hidden="1">{#N/A,#N/A,FALSE,"Assessment";#N/A,#N/A,FALSE,"Staffing";#N/A,#N/A,FALSE,"Hires";#N/A,#N/A,FALSE,"Assumptions"}</definedName>
    <definedName name="_nat3" localSheetId="0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localSheetId="18" hidden="1">{#N/A,#N/A,FALSE,"Gesamt";#N/A,#N/A,FALSE,"Ree KG";#N/A,#N/A,FALSE,"Ree Inter";#N/A,#N/A,FALSE,"BTM";#N/A,#N/A,FALSE,"GmbH";#N/A,#N/A,FALSE,"Sonstige"}</definedName>
    <definedName name="_new1" hidden="1">{#N/A,#N/A,FALSE,"Gesamt";#N/A,#N/A,FALSE,"Ree KG";#N/A,#N/A,FALSE,"Ree Inter";#N/A,#N/A,FALSE,"BTM";#N/A,#N/A,FALSE,"GmbH";#N/A,#N/A,FALSE,"Sonstige"}</definedName>
    <definedName name="_new2" localSheetId="18" hidden="1">{"'Sheet1'!$L$16"}</definedName>
    <definedName name="_new2" hidden="1">{"'Sheet1'!$L$16"}</definedName>
    <definedName name="_new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localSheetId="18" hidden="1">{"'Sheet1'!$L$16"}</definedName>
    <definedName name="_NGA04" hidden="1">{"'Sheet1'!$L$16"}</definedName>
    <definedName name="_NS02" localSheetId="18" hidden="1">{"'Sheet1'!$L$16"}</definedName>
    <definedName name="_NS02" hidden="1">{"'Sheet1'!$L$16"}</definedName>
    <definedName name="_NS03" localSheetId="18" hidden="1">{"'Sheet1'!$L$16"}</definedName>
    <definedName name="_NS03" localSheetId="23" hidden="1">{"'Sheet1'!$L$16"}</definedName>
    <definedName name="_NS03" localSheetId="21" hidden="1">{"'Sheet1'!$L$16"}</definedName>
    <definedName name="_NS03" localSheetId="20" hidden="1">{"'Sheet1'!$L$16"}</definedName>
    <definedName name="_NS03" localSheetId="0" hidden="1">{"'Sheet1'!$L$16"}</definedName>
    <definedName name="_NS03" hidden="1">{"'Sheet1'!$L$16"}</definedName>
    <definedName name="_NSO2" localSheetId="18" hidden="1">{"'Sheet1'!$L$16"}</definedName>
    <definedName name="_NSO2" localSheetId="23" hidden="1">{"'Sheet1'!$L$16"}</definedName>
    <definedName name="_NSO2" localSheetId="21" hidden="1">{"'Sheet1'!$L$16"}</definedName>
    <definedName name="_NSO2" localSheetId="20" hidden="1">{"'Sheet1'!$L$16"}</definedName>
    <definedName name="_NSO2" localSheetId="0" hidden="1">{"'Sheet1'!$L$16"}</definedName>
    <definedName name="_NSO2" hidden="1">{"'Sheet1'!$L$16"}</definedName>
    <definedName name="_NSO2_1" localSheetId="18" hidden="1">{"'Sheet1'!$L$16"}</definedName>
    <definedName name="_NSO2_1" hidden="1">{"'Sheet1'!$L$16"}</definedName>
    <definedName name="_NSO2_1_1" localSheetId="18" hidden="1">{"'Sheet1'!$L$16"}</definedName>
    <definedName name="_NSO2_1_1" hidden="1">{"'Sheet1'!$L$16"}</definedName>
    <definedName name="_NSO2_1_1_1" localSheetId="18" hidden="1">{"'Sheet1'!$L$16"}</definedName>
    <definedName name="_NSO2_1_1_1" hidden="1">{"'Sheet1'!$L$16"}</definedName>
    <definedName name="_NSO2_1_1_1_1" localSheetId="18" hidden="1">{"'Sheet1'!$L$16"}</definedName>
    <definedName name="_NSO2_1_1_1_1" hidden="1">{"'Sheet1'!$L$16"}</definedName>
    <definedName name="_NSO2_1_1_1_1_1" localSheetId="18" hidden="1">{"'Sheet1'!$L$16"}</definedName>
    <definedName name="_NSO2_1_1_1_1_1" hidden="1">{"'Sheet1'!$L$16"}</definedName>
    <definedName name="_NSO2_1_1_1_1_2" localSheetId="18" hidden="1">{"'Sheet1'!$L$16"}</definedName>
    <definedName name="_NSO2_1_1_1_1_2" hidden="1">{"'Sheet1'!$L$16"}</definedName>
    <definedName name="_NSO2_1_1_1_2" localSheetId="18" hidden="1">{"'Sheet1'!$L$16"}</definedName>
    <definedName name="_NSO2_1_1_1_2" hidden="1">{"'Sheet1'!$L$16"}</definedName>
    <definedName name="_NSO2_1_1_1_3" localSheetId="18" hidden="1">{"'Sheet1'!$L$16"}</definedName>
    <definedName name="_NSO2_1_1_1_3" hidden="1">{"'Sheet1'!$L$16"}</definedName>
    <definedName name="_NSO2_1_1_2" localSheetId="18" hidden="1">{"'Sheet1'!$L$16"}</definedName>
    <definedName name="_NSO2_1_1_2" hidden="1">{"'Sheet1'!$L$16"}</definedName>
    <definedName name="_NSO2_1_1_2_1" localSheetId="18" hidden="1">{"'Sheet1'!$L$16"}</definedName>
    <definedName name="_NSO2_1_1_2_1" hidden="1">{"'Sheet1'!$L$16"}</definedName>
    <definedName name="_NSO2_1_1_2_2" localSheetId="18" hidden="1">{"'Sheet1'!$L$16"}</definedName>
    <definedName name="_NSO2_1_1_2_2" hidden="1">{"'Sheet1'!$L$16"}</definedName>
    <definedName name="_NSO2_1_1_3" localSheetId="18" hidden="1">{"'Sheet1'!$L$16"}</definedName>
    <definedName name="_NSO2_1_1_3" hidden="1">{"'Sheet1'!$L$16"}</definedName>
    <definedName name="_NSO2_1_1_3_1" localSheetId="18" hidden="1">{"'Sheet1'!$L$16"}</definedName>
    <definedName name="_NSO2_1_1_3_1" hidden="1">{"'Sheet1'!$L$16"}</definedName>
    <definedName name="_NSO2_1_1_3_2" localSheetId="18" hidden="1">{"'Sheet1'!$L$16"}</definedName>
    <definedName name="_NSO2_1_1_3_2" hidden="1">{"'Sheet1'!$L$16"}</definedName>
    <definedName name="_NSO2_1_1_4" localSheetId="18" hidden="1">{"'Sheet1'!$L$16"}</definedName>
    <definedName name="_NSO2_1_1_4" hidden="1">{"'Sheet1'!$L$16"}</definedName>
    <definedName name="_NSO2_1_1_5" localSheetId="18" hidden="1">{"'Sheet1'!$L$16"}</definedName>
    <definedName name="_NSO2_1_1_5" hidden="1">{"'Sheet1'!$L$16"}</definedName>
    <definedName name="_NSO2_1_2" localSheetId="18" hidden="1">{"'Sheet1'!$L$16"}</definedName>
    <definedName name="_NSO2_1_2" hidden="1">{"'Sheet1'!$L$16"}</definedName>
    <definedName name="_NSO2_1_2_1" localSheetId="18" hidden="1">{"'Sheet1'!$L$16"}</definedName>
    <definedName name="_NSO2_1_2_1" hidden="1">{"'Sheet1'!$L$16"}</definedName>
    <definedName name="_NSO2_1_2_2" localSheetId="18" hidden="1">{"'Sheet1'!$L$16"}</definedName>
    <definedName name="_NSO2_1_2_2" hidden="1">{"'Sheet1'!$L$16"}</definedName>
    <definedName name="_NSO2_1_3" localSheetId="18" hidden="1">{"'Sheet1'!$L$16"}</definedName>
    <definedName name="_NSO2_1_3" hidden="1">{"'Sheet1'!$L$16"}</definedName>
    <definedName name="_NSO2_1_3_1" localSheetId="18" hidden="1">{"'Sheet1'!$L$16"}</definedName>
    <definedName name="_NSO2_1_3_1" hidden="1">{"'Sheet1'!$L$16"}</definedName>
    <definedName name="_NSO2_1_3_2" localSheetId="18" hidden="1">{"'Sheet1'!$L$16"}</definedName>
    <definedName name="_NSO2_1_3_2" hidden="1">{"'Sheet1'!$L$16"}</definedName>
    <definedName name="_NSO2_1_4" localSheetId="18" hidden="1">{"'Sheet1'!$L$16"}</definedName>
    <definedName name="_NSO2_1_4" hidden="1">{"'Sheet1'!$L$16"}</definedName>
    <definedName name="_NSO2_1_5" localSheetId="18" hidden="1">{"'Sheet1'!$L$16"}</definedName>
    <definedName name="_NSO2_1_5" hidden="1">{"'Sheet1'!$L$16"}</definedName>
    <definedName name="_NSO2_2" localSheetId="18" hidden="1">{"'Sheet1'!$L$16"}</definedName>
    <definedName name="_NSO2_2" hidden="1">{"'Sheet1'!$L$16"}</definedName>
    <definedName name="_NSO2_2_1" localSheetId="18" hidden="1">{"'Sheet1'!$L$16"}</definedName>
    <definedName name="_NSO2_2_1" hidden="1">{"'Sheet1'!$L$16"}</definedName>
    <definedName name="_NSO2_2_2" localSheetId="18" hidden="1">{"'Sheet1'!$L$16"}</definedName>
    <definedName name="_NSO2_2_2" hidden="1">{"'Sheet1'!$L$16"}</definedName>
    <definedName name="_NSO2_3" localSheetId="18" hidden="1">{"'Sheet1'!$L$16"}</definedName>
    <definedName name="_NSO2_3" hidden="1">{"'Sheet1'!$L$16"}</definedName>
    <definedName name="_NSO2_3_1" localSheetId="18" hidden="1">{"'Sheet1'!$L$16"}</definedName>
    <definedName name="_NSO2_3_1" hidden="1">{"'Sheet1'!$L$16"}</definedName>
    <definedName name="_NSO2_3_2" localSheetId="18" hidden="1">{"'Sheet1'!$L$16"}</definedName>
    <definedName name="_NSO2_3_2" hidden="1">{"'Sheet1'!$L$16"}</definedName>
    <definedName name="_NSO2_4" localSheetId="18" hidden="1">{"'Sheet1'!$L$16"}</definedName>
    <definedName name="_NSO2_4" hidden="1">{"'Sheet1'!$L$16"}</definedName>
    <definedName name="_NSO2_4_1" localSheetId="18" hidden="1">{"'Sheet1'!$L$16"}</definedName>
    <definedName name="_NSO2_4_1" hidden="1">{"'Sheet1'!$L$16"}</definedName>
    <definedName name="_NSO2_4_2" localSheetId="18" hidden="1">{"'Sheet1'!$L$16"}</definedName>
    <definedName name="_NSO2_4_2" hidden="1">{"'Sheet1'!$L$16"}</definedName>
    <definedName name="_NSO2_5" localSheetId="18" hidden="1">{"'Sheet1'!$L$16"}</definedName>
    <definedName name="_NSO2_5" hidden="1">{"'Sheet1'!$L$16"}</definedName>
    <definedName name="_NSO2_5_1" localSheetId="18" hidden="1">{"'Sheet1'!$L$16"}</definedName>
    <definedName name="_NSO2_5_1" hidden="1">{"'Sheet1'!$L$16"}</definedName>
    <definedName name="_NSO2_5_2" localSheetId="18" hidden="1">{"'Sheet1'!$L$16"}</definedName>
    <definedName name="_NSO2_5_2" hidden="1">{"'Sheet1'!$L$16"}</definedName>
    <definedName name="_NSO3" localSheetId="18" hidden="1">{"'Sheet1'!$L$16"}</definedName>
    <definedName name="_NSO3" hidden="1">{"'Sheet1'!$L$16"}</definedName>
    <definedName name="_nso3_1" localSheetId="18" hidden="1">{"'Sheet1'!$L$16"}</definedName>
    <definedName name="_nso3_1" hidden="1">{"'Sheet1'!$L$16"}</definedName>
    <definedName name="_nso3_1_1" localSheetId="18" hidden="1">{"'Sheet1'!$L$16"}</definedName>
    <definedName name="_nso3_1_1" hidden="1">{"'Sheet1'!$L$16"}</definedName>
    <definedName name="_nso3_1_1_1" localSheetId="18" hidden="1">{"'Sheet1'!$L$16"}</definedName>
    <definedName name="_nso3_1_1_1" hidden="1">{"'Sheet1'!$L$16"}</definedName>
    <definedName name="_nso3_1_1_2" localSheetId="18" hidden="1">{"'Sheet1'!$L$16"}</definedName>
    <definedName name="_nso3_1_1_2" hidden="1">{"'Sheet1'!$L$16"}</definedName>
    <definedName name="_nso3_1_2" localSheetId="18" hidden="1">{"'Sheet1'!$L$16"}</definedName>
    <definedName name="_nso3_1_2" hidden="1">{"'Sheet1'!$L$16"}</definedName>
    <definedName name="_nso3_1_3" localSheetId="18" hidden="1">{"'Sheet1'!$L$16"}</definedName>
    <definedName name="_nso3_1_3" hidden="1">{"'Sheet1'!$L$16"}</definedName>
    <definedName name="_nso3_2" localSheetId="18" hidden="1">{"'Sheet1'!$L$16"}</definedName>
    <definedName name="_nso3_2" hidden="1">{"'Sheet1'!$L$16"}</definedName>
    <definedName name="_nso3_2_1" localSheetId="18" hidden="1">{"'Sheet1'!$L$16"}</definedName>
    <definedName name="_nso3_2_1" hidden="1">{"'Sheet1'!$L$16"}</definedName>
    <definedName name="_nso3_2_2" localSheetId="18" hidden="1">{"'Sheet1'!$L$16"}</definedName>
    <definedName name="_nso3_2_2" hidden="1">{"'Sheet1'!$L$16"}</definedName>
    <definedName name="_nso3_3" localSheetId="18" hidden="1">{"'Sheet1'!$L$16"}</definedName>
    <definedName name="_nso3_3" hidden="1">{"'Sheet1'!$L$16"}</definedName>
    <definedName name="_nso3_4" localSheetId="18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localSheetId="18" hidden="1">{"'Sheet1'!$L$16"}</definedName>
    <definedName name="_PA3" hidden="1">{"'Sheet1'!$L$16"}</definedName>
    <definedName name="_PA3_1" localSheetId="18" hidden="1">{"'Sheet1'!$L$16"}</definedName>
    <definedName name="_PA3_1" hidden="1">{"'Sheet1'!$L$16"}</definedName>
    <definedName name="_PA3_1_1" localSheetId="18" hidden="1">{"'Sheet1'!$L$16"}</definedName>
    <definedName name="_PA3_1_1" hidden="1">{"'Sheet1'!$L$16"}</definedName>
    <definedName name="_PA3_1_1_1" localSheetId="18" hidden="1">{"'Sheet1'!$L$16"}</definedName>
    <definedName name="_PA3_1_1_1" hidden="1">{"'Sheet1'!$L$16"}</definedName>
    <definedName name="_PA3_1_1_2" localSheetId="18" hidden="1">{"'Sheet1'!$L$16"}</definedName>
    <definedName name="_PA3_1_1_2" hidden="1">{"'Sheet1'!$L$16"}</definedName>
    <definedName name="_PA3_1_2" localSheetId="18" hidden="1">{"'Sheet1'!$L$16"}</definedName>
    <definedName name="_PA3_1_2" hidden="1">{"'Sheet1'!$L$16"}</definedName>
    <definedName name="_PA3_1_3" localSheetId="18" hidden="1">{"'Sheet1'!$L$16"}</definedName>
    <definedName name="_PA3_1_3" hidden="1">{"'Sheet1'!$L$16"}</definedName>
    <definedName name="_PA3_2" localSheetId="18" hidden="1">{"'Sheet1'!$L$16"}</definedName>
    <definedName name="_PA3_2" hidden="1">{"'Sheet1'!$L$16"}</definedName>
    <definedName name="_PA3_2_1" localSheetId="18" hidden="1">{"'Sheet1'!$L$16"}</definedName>
    <definedName name="_PA3_2_1" hidden="1">{"'Sheet1'!$L$16"}</definedName>
    <definedName name="_PA3_2_2" localSheetId="18" hidden="1">{"'Sheet1'!$L$16"}</definedName>
    <definedName name="_PA3_2_2" hidden="1">{"'Sheet1'!$L$16"}</definedName>
    <definedName name="_PA3_3" localSheetId="18" hidden="1">{"'Sheet1'!$L$16"}</definedName>
    <definedName name="_PA3_3" hidden="1">{"'Sheet1'!$L$16"}</definedName>
    <definedName name="_PA3_4" localSheetId="18" hidden="1">{"'Sheet1'!$L$16"}</definedName>
    <definedName name="_PA3_4" hidden="1">{"'Sheet1'!$L$16"}</definedName>
    <definedName name="_Parse_In" localSheetId="23" hidden="1">#REF!</definedName>
    <definedName name="_Parse_In" hidden="1">#REF!</definedName>
    <definedName name="_Parse_Out" localSheetId="23" hidden="1">#REF!</definedName>
    <definedName name="_Parse_Out" localSheetId="21" hidden="1">#REF!</definedName>
    <definedName name="_Parse_Out" localSheetId="20" hidden="1">#REF!</definedName>
    <definedName name="_Parse_Out" localSheetId="0" hidden="1">#REF!</definedName>
    <definedName name="_Parse_Out" hidden="1">[4]total!#REF!</definedName>
    <definedName name="_PJB05" localSheetId="18" hidden="1">{"'Sheet1'!$L$16"}</definedName>
    <definedName name="_PJB05" hidden="1">{"'Sheet1'!$L$16"}</definedName>
    <definedName name="_PL3" localSheetId="18" hidden="1">{"'Sheet1'!$L$16"}</definedName>
    <definedName name="_PL3" localSheetId="0" hidden="1">{"'Sheet1'!$L$16"}</definedName>
    <definedName name="_PL3" hidden="1">{"'Sheet1'!$L$16"}</definedName>
    <definedName name="_PUR6" localSheetId="18" hidden="1">{#N/A,#N/A,FALSE,"Sheet2"}</definedName>
    <definedName name="_PUR6" hidden="1">{#N/A,#N/A,FALSE,"Sheet2"}</definedName>
    <definedName name="_q2" localSheetId="18" hidden="1">{"PAGE 1",#N/A,FALSE,"หน้า 1,2,3";"PAGE 2",#N/A,FALSE,"หน้า 1,2,3";"PAGE 3",#N/A,FALSE,"หน้า 1,2,3"}</definedName>
    <definedName name="_q2" localSheetId="0" hidden="1">{"PAGE 1",#N/A,FALSE,"หน้า 1,2,3";"PAGE 2",#N/A,FALSE,"หน้า 1,2,3";"PAGE 3",#N/A,FALSE,"หน้า 1,2,3"}</definedName>
    <definedName name="_q2" hidden="1">{"PAGE 1",#N/A,FALSE,"หน้า 1,2,3";"PAGE 2",#N/A,FALSE,"หน้า 1,2,3";"PAGE 3",#N/A,FALSE,"หน้า 1,2,3"}</definedName>
    <definedName name="_q3" localSheetId="18" hidden="1">{"PAGE 1",#N/A,FALSE,"หน้า 1,2,3";"PAGE 2",#N/A,FALSE,"หน้า 1,2,3";"PAGE 3",#N/A,FALSE,"หน้า 1,2,3"}</definedName>
    <definedName name="_q3" localSheetId="0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localSheetId="18" hidden="1">{#N/A,#N/A,FALSE,"Sheet2"}</definedName>
    <definedName name="_QUY3" hidden="1">{#N/A,#N/A,FALSE,"Sheet2"}</definedName>
    <definedName name="_QUY4" localSheetId="18" hidden="1">{"'Sheet1'!$L$16"}</definedName>
    <definedName name="_QUY4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localSheetId="18" hidden="1">{"'Sheet1'!$L$16"}</definedName>
    <definedName name="_s1" hidden="1">{"'Sheet1'!$L$16"}</definedName>
    <definedName name="_s2" localSheetId="18" hidden="1">{"'Sheet1'!$L$16"}</definedName>
    <definedName name="_s2" hidden="1">{"'Sheet1'!$L$16"}</definedName>
    <definedName name="_s3" localSheetId="18" hidden="1">{"'Sheet1'!$L$16"}</definedName>
    <definedName name="_s3" hidden="1">{"'Sheet1'!$L$16"}</definedName>
    <definedName name="_s4" localSheetId="18" hidden="1">{"'Sheet1'!$L$16"}</definedName>
    <definedName name="_s4" hidden="1">{"'Sheet1'!$L$16"}</definedName>
    <definedName name="_s5" localSheetId="18" hidden="1">{"'Sheet1'!$L$16"}</definedName>
    <definedName name="_s5" hidden="1">{"'Sheet1'!$L$16"}</definedName>
    <definedName name="_s6" localSheetId="18" hidden="1">{#N/A,#N/A,FALSE,"Chi tiÆt"}</definedName>
    <definedName name="_s6" hidden="1">{#N/A,#N/A,FALSE,"Chi tiÆt"}</definedName>
    <definedName name="_s7" localSheetId="18" hidden="1">{#N/A,#N/A,FALSE,"Chi tiÆt"}</definedName>
    <definedName name="_s7" hidden="1">{#N/A,#N/A,FALSE,"Chi tiÆt"}</definedName>
    <definedName name="_se1" localSheetId="18" hidden="1">{#N/A,#N/A,FALSE,"m66";#N/A,#N/A,FALSE,"m66"}</definedName>
    <definedName name="_se1" hidden="1">{#N/A,#N/A,FALSE,"m66";#N/A,#N/A,FALSE,"m66"}</definedName>
    <definedName name="_Sort" localSheetId="23" hidden="1">#REF!</definedName>
    <definedName name="_Sort" localSheetId="21" hidden="1">#REF!</definedName>
    <definedName name="_Sort" localSheetId="20" hidden="1">#REF!</definedName>
    <definedName name="_Sort" localSheetId="0" hidden="1">#REF!</definedName>
    <definedName name="_Sort" hidden="1">[3]PLANBS3!#REF!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sort3" hidden="1">#REF!</definedName>
    <definedName name="_T01" hidden="1">#REF!</definedName>
    <definedName name="_T04" localSheetId="18" hidden="1">{#N/A,#N/A,FALSE,"CCTV"}</definedName>
    <definedName name="_T04" hidden="1">{#N/A,#N/A,FALSE,"CCTV"}</definedName>
    <definedName name="_t1" localSheetId="18" hidden="1">{"'Sheet1'!$L$16"}</definedName>
    <definedName name="_t1" hidden="1">{"'Sheet1'!$L$16"}</definedName>
    <definedName name="_T10" localSheetId="18" hidden="1">{"'Sheet1'!$L$16"}</definedName>
    <definedName name="_T10" hidden="1">{"'Sheet1'!$L$16"}</definedName>
    <definedName name="_t2" localSheetId="18" hidden="1">{"'Sheet1'!$L$16"}</definedName>
    <definedName name="_t2" hidden="1">{"'Sheet1'!$L$16"}</definedName>
    <definedName name="_t4" hidden="1">#REF!</definedName>
    <definedName name="_t5" localSheetId="18" hidden="1">{"'Sheet1'!$L$16"}</definedName>
    <definedName name="_t5" hidden="1">{"'Sheet1'!$L$16"}</definedName>
    <definedName name="_t6" localSheetId="18" hidden="1">{"'Sheet1'!$L$16"}</definedName>
    <definedName name="_t6" hidden="1">{"'Sheet1'!$L$16"}</definedName>
    <definedName name="_t7" localSheetId="18" hidden="1">{"'Sheet1'!$L$16"}</definedName>
    <definedName name="_t7" hidden="1">{"'Sheet1'!$L$16"}</definedName>
    <definedName name="_t8" localSheetId="18" hidden="1">{#N/A,#N/A,FALSE,"Chi tiÆt"}</definedName>
    <definedName name="_t8" hidden="1">{#N/A,#N/A,FALSE,"Chi tiÆt"}</definedName>
    <definedName name="_t9" localSheetId="18" hidden="1">{"'Sheet1'!$L$16"}</definedName>
    <definedName name="_t9" hidden="1">{"'Sheet1'!$L$16"}</definedName>
    <definedName name="_Table1_In1" localSheetId="23" hidden="1">#REF!</definedName>
    <definedName name="_Table1_In1" localSheetId="21" hidden="1">#REF!</definedName>
    <definedName name="_Table1_In1" localSheetId="20" hidden="1">#REF!</definedName>
    <definedName name="_Table1_In1" localSheetId="0" hidden="1">#REF!</definedName>
    <definedName name="_Table1_In1" hidden="1">[5]DIL4!#REF!</definedName>
    <definedName name="_Table1_Out" localSheetId="23" hidden="1">#REF!</definedName>
    <definedName name="_Table1_Out" localSheetId="21" hidden="1">#REF!</definedName>
    <definedName name="_Table1_Out" localSheetId="20" hidden="1">#REF!</definedName>
    <definedName name="_Table1_Out" localSheetId="0" hidden="1">#REF!</definedName>
    <definedName name="_Table1_Out" hidden="1">[5]DIL4!$E$59:$I$68</definedName>
    <definedName name="_Table2_In1" localSheetId="23" hidden="1">#REF!</definedName>
    <definedName name="_Table2_In1" localSheetId="21" hidden="1">#REF!</definedName>
    <definedName name="_Table2_In1" localSheetId="20" hidden="1">#REF!</definedName>
    <definedName name="_Table2_In1" localSheetId="0" hidden="1">#REF!</definedName>
    <definedName name="_Table2_In1" hidden="1">[5]DIL4!#REF!</definedName>
    <definedName name="_Table2_In2" localSheetId="23" hidden="1">#REF!</definedName>
    <definedName name="_Table2_In2" localSheetId="21" hidden="1">#REF!</definedName>
    <definedName name="_Table2_In2" localSheetId="20" hidden="1">#REF!</definedName>
    <definedName name="_Table2_In2" localSheetId="0" hidden="1">#REF!</definedName>
    <definedName name="_Table2_In2" hidden="1">[5]DIL4!#REF!</definedName>
    <definedName name="_Table2_Out" localSheetId="23" hidden="1">#REF!</definedName>
    <definedName name="_Table2_Out" localSheetId="21" hidden="1">#REF!</definedName>
    <definedName name="_Table2_Out" localSheetId="20" hidden="1">#REF!</definedName>
    <definedName name="_Table2_Out" localSheetId="0" hidden="1">#REF!</definedName>
    <definedName name="_Table2_Out" hidden="1">[5]DIL4!$B$36:$M$47</definedName>
    <definedName name="_thu1" localSheetId="18" hidden="1">{"'Sheet1'!$L$16"}</definedName>
    <definedName name="_thu1" hidden="1">{"'Sheet1'!$L$16"}</definedName>
    <definedName name="_thu1_1" localSheetId="18" hidden="1">{"'Sheet1'!$L$16"}</definedName>
    <definedName name="_thu1_1" hidden="1">{"'Sheet1'!$L$16"}</definedName>
    <definedName name="_thu1_1_1" localSheetId="18" hidden="1">{"'Sheet1'!$L$16"}</definedName>
    <definedName name="_thu1_1_1" hidden="1">{"'Sheet1'!$L$16"}</definedName>
    <definedName name="_thu1_1_1_1" localSheetId="18" hidden="1">{"'Sheet1'!$L$16"}</definedName>
    <definedName name="_thu1_1_1_1" hidden="1">{"'Sheet1'!$L$16"}</definedName>
    <definedName name="_thu1_1_1_2" localSheetId="18" hidden="1">{"'Sheet1'!$L$16"}</definedName>
    <definedName name="_thu1_1_1_2" hidden="1">{"'Sheet1'!$L$16"}</definedName>
    <definedName name="_thu1_1_2" localSheetId="18" hidden="1">{"'Sheet1'!$L$16"}</definedName>
    <definedName name="_thu1_1_2" hidden="1">{"'Sheet1'!$L$16"}</definedName>
    <definedName name="_thu1_1_3" localSheetId="18" hidden="1">{"'Sheet1'!$L$16"}</definedName>
    <definedName name="_thu1_1_3" hidden="1">{"'Sheet1'!$L$16"}</definedName>
    <definedName name="_thu1_2" localSheetId="18" hidden="1">{"'Sheet1'!$L$16"}</definedName>
    <definedName name="_thu1_2" hidden="1">{"'Sheet1'!$L$16"}</definedName>
    <definedName name="_thu1_2_1" localSheetId="18" hidden="1">{"'Sheet1'!$L$16"}</definedName>
    <definedName name="_thu1_2_1" hidden="1">{"'Sheet1'!$L$16"}</definedName>
    <definedName name="_thu1_2_2" localSheetId="18" hidden="1">{"'Sheet1'!$L$16"}</definedName>
    <definedName name="_thu1_2_2" hidden="1">{"'Sheet1'!$L$16"}</definedName>
    <definedName name="_thu1_3" localSheetId="18" hidden="1">{"'Sheet1'!$L$16"}</definedName>
    <definedName name="_thu1_3" hidden="1">{"'Sheet1'!$L$16"}</definedName>
    <definedName name="_thu1_4" localSheetId="18" hidden="1">{"'Sheet1'!$L$16"}</definedName>
    <definedName name="_thu1_4" hidden="1">{"'Sheet1'!$L$16"}</definedName>
    <definedName name="_thu2" localSheetId="18" hidden="1">{"'Sheet1'!$L$16"}</definedName>
    <definedName name="_thu2" hidden="1">{"'Sheet1'!$L$16"}</definedName>
    <definedName name="_thu2_1" localSheetId="18" hidden="1">{"'Sheet1'!$L$16"}</definedName>
    <definedName name="_thu2_1" hidden="1">{"'Sheet1'!$L$16"}</definedName>
    <definedName name="_thu2_1_1" localSheetId="18" hidden="1">{"'Sheet1'!$L$16"}</definedName>
    <definedName name="_thu2_1_1" hidden="1">{"'Sheet1'!$L$16"}</definedName>
    <definedName name="_thu2_1_1_1" localSheetId="18" hidden="1">{"'Sheet1'!$L$16"}</definedName>
    <definedName name="_thu2_1_1_1" hidden="1">{"'Sheet1'!$L$16"}</definedName>
    <definedName name="_thu2_1_1_2" localSheetId="18" hidden="1">{"'Sheet1'!$L$16"}</definedName>
    <definedName name="_thu2_1_1_2" hidden="1">{"'Sheet1'!$L$16"}</definedName>
    <definedName name="_thu2_1_2" localSheetId="18" hidden="1">{"'Sheet1'!$L$16"}</definedName>
    <definedName name="_thu2_1_2" hidden="1">{"'Sheet1'!$L$16"}</definedName>
    <definedName name="_thu2_1_3" localSheetId="18" hidden="1">{"'Sheet1'!$L$16"}</definedName>
    <definedName name="_thu2_1_3" hidden="1">{"'Sheet1'!$L$16"}</definedName>
    <definedName name="_thu2_2" localSheetId="18" hidden="1">{"'Sheet1'!$L$16"}</definedName>
    <definedName name="_thu2_2" hidden="1">{"'Sheet1'!$L$16"}</definedName>
    <definedName name="_thu2_2_1" localSheetId="18" hidden="1">{"'Sheet1'!$L$16"}</definedName>
    <definedName name="_thu2_2_1" hidden="1">{"'Sheet1'!$L$16"}</definedName>
    <definedName name="_thu2_2_2" localSheetId="18" hidden="1">{"'Sheet1'!$L$16"}</definedName>
    <definedName name="_thu2_2_2" hidden="1">{"'Sheet1'!$L$16"}</definedName>
    <definedName name="_thu2_3" localSheetId="18" hidden="1">{"'Sheet1'!$L$16"}</definedName>
    <definedName name="_thu2_3" hidden="1">{"'Sheet1'!$L$16"}</definedName>
    <definedName name="_thu2_4" localSheetId="18" hidden="1">{"'Sheet1'!$L$16"}</definedName>
    <definedName name="_thu2_4" hidden="1">{"'Sheet1'!$L$16"}</definedName>
    <definedName name="_thu4" localSheetId="18" hidden="1">{"'Sheet1'!$L$16"}</definedName>
    <definedName name="_thu4" hidden="1">{"'Sheet1'!$L$16"}</definedName>
    <definedName name="_thu4_1" localSheetId="18" hidden="1">{"'Sheet1'!$L$16"}</definedName>
    <definedName name="_thu4_1" hidden="1">{"'Sheet1'!$L$16"}</definedName>
    <definedName name="_thu4_1_1" localSheetId="18" hidden="1">{"'Sheet1'!$L$16"}</definedName>
    <definedName name="_thu4_1_1" hidden="1">{"'Sheet1'!$L$16"}</definedName>
    <definedName name="_thu4_1_1_1" localSheetId="18" hidden="1">{"'Sheet1'!$L$16"}</definedName>
    <definedName name="_thu4_1_1_1" hidden="1">{"'Sheet1'!$L$16"}</definedName>
    <definedName name="_thu4_1_1_2" localSheetId="18" hidden="1">{"'Sheet1'!$L$16"}</definedName>
    <definedName name="_thu4_1_1_2" hidden="1">{"'Sheet1'!$L$16"}</definedName>
    <definedName name="_thu4_1_2" localSheetId="18" hidden="1">{"'Sheet1'!$L$16"}</definedName>
    <definedName name="_thu4_1_2" hidden="1">{"'Sheet1'!$L$16"}</definedName>
    <definedName name="_thu4_1_3" localSheetId="18" hidden="1">{"'Sheet1'!$L$16"}</definedName>
    <definedName name="_thu4_1_3" hidden="1">{"'Sheet1'!$L$16"}</definedName>
    <definedName name="_thu4_2" localSheetId="18" hidden="1">{"'Sheet1'!$L$16"}</definedName>
    <definedName name="_thu4_2" hidden="1">{"'Sheet1'!$L$16"}</definedName>
    <definedName name="_thu4_2_1" localSheetId="18" hidden="1">{"'Sheet1'!$L$16"}</definedName>
    <definedName name="_thu4_2_1" hidden="1">{"'Sheet1'!$L$16"}</definedName>
    <definedName name="_thu4_2_2" localSheetId="18" hidden="1">{"'Sheet1'!$L$16"}</definedName>
    <definedName name="_thu4_2_2" hidden="1">{"'Sheet1'!$L$16"}</definedName>
    <definedName name="_thu4_3" localSheetId="18" hidden="1">{"'Sheet1'!$L$16"}</definedName>
    <definedName name="_thu4_3" hidden="1">{"'Sheet1'!$L$16"}</definedName>
    <definedName name="_thu4_4" localSheetId="18" hidden="1">{"'Sheet1'!$L$16"}</definedName>
    <definedName name="_thu4_4" hidden="1">{"'Sheet1'!$L$16"}</definedName>
    <definedName name="_thu5" localSheetId="18" hidden="1">{"'Sheet1'!$L$16"}</definedName>
    <definedName name="_thu5" hidden="1">{"'Sheet1'!$L$16"}</definedName>
    <definedName name="_thu5_1" localSheetId="18" hidden="1">{"'Sheet1'!$L$16"}</definedName>
    <definedName name="_thu5_1" hidden="1">{"'Sheet1'!$L$16"}</definedName>
    <definedName name="_thu5_1_1" localSheetId="18" hidden="1">{"'Sheet1'!$L$16"}</definedName>
    <definedName name="_thu5_1_1" hidden="1">{"'Sheet1'!$L$16"}</definedName>
    <definedName name="_thu5_1_1_1" localSheetId="18" hidden="1">{"'Sheet1'!$L$16"}</definedName>
    <definedName name="_thu5_1_1_1" hidden="1">{"'Sheet1'!$L$16"}</definedName>
    <definedName name="_thu5_1_1_2" localSheetId="18" hidden="1">{"'Sheet1'!$L$16"}</definedName>
    <definedName name="_thu5_1_1_2" hidden="1">{"'Sheet1'!$L$16"}</definedName>
    <definedName name="_thu5_1_2" localSheetId="18" hidden="1">{"'Sheet1'!$L$16"}</definedName>
    <definedName name="_thu5_1_2" hidden="1">{"'Sheet1'!$L$16"}</definedName>
    <definedName name="_thu5_1_3" localSheetId="18" hidden="1">{"'Sheet1'!$L$16"}</definedName>
    <definedName name="_thu5_1_3" hidden="1">{"'Sheet1'!$L$16"}</definedName>
    <definedName name="_thu5_2" localSheetId="18" hidden="1">{"'Sheet1'!$L$16"}</definedName>
    <definedName name="_thu5_2" hidden="1">{"'Sheet1'!$L$16"}</definedName>
    <definedName name="_thu5_2_1" localSheetId="18" hidden="1">{"'Sheet1'!$L$16"}</definedName>
    <definedName name="_thu5_2_1" hidden="1">{"'Sheet1'!$L$16"}</definedName>
    <definedName name="_thu5_2_2" localSheetId="18" hidden="1">{"'Sheet1'!$L$16"}</definedName>
    <definedName name="_thu5_2_2" hidden="1">{"'Sheet1'!$L$16"}</definedName>
    <definedName name="_thu5_3" localSheetId="18" hidden="1">{"'Sheet1'!$L$16"}</definedName>
    <definedName name="_thu5_3" hidden="1">{"'Sheet1'!$L$16"}</definedName>
    <definedName name="_thu5_4" localSheetId="18" hidden="1">{"'Sheet1'!$L$16"}</definedName>
    <definedName name="_thu5_4" hidden="1">{"'Sheet1'!$L$16"}</definedName>
    <definedName name="_tm2" localSheetId="18" hidden="1">{#N/A,#N/A,FALSE,"Chi tiÆt"}</definedName>
    <definedName name="_tm2" localSheetId="23" hidden="1">{#N/A,#N/A,FALSE,"Chi tiÆt"}</definedName>
    <definedName name="_tm2" localSheetId="21" hidden="1">{#N/A,#N/A,FALSE,"Chi tiÆt"}</definedName>
    <definedName name="_tm2" localSheetId="20" hidden="1">{#N/A,#N/A,FALSE,"Chi tiÆt"}</definedName>
    <definedName name="_tm2" localSheetId="0" hidden="1">{#N/A,#N/A,FALSE,"Chi tiÆt"}</definedName>
    <definedName name="_tm2" hidden="1">{#N/A,#N/A,FALSE,"Chi tiÆt"}</definedName>
    <definedName name="_tt3" localSheetId="18" hidden="1">{"'Sheet1'!$L$16"}</definedName>
    <definedName name="_tt3" hidden="1">{"'Sheet1'!$L$16"}</definedName>
    <definedName name="_u18" localSheetId="18" hidden="1">{"Tages_D",#N/A,FALSE,"Tagesbericht";"Tages_PL",#N/A,FALSE,"Tagesbericht"}</definedName>
    <definedName name="_u18" hidden="1">{"Tages_D",#N/A,FALSE,"Tagesbericht";"Tages_PL",#N/A,FALSE,"Tagesbericht"}</definedName>
    <definedName name="_u20" localSheetId="18" hidden="1">{"fleisch",#N/A,FALSE,"WG HK";"food",#N/A,FALSE,"WG HK";"hartwaren",#N/A,FALSE,"WG HK";"weichwaren",#N/A,FALSE,"WG HK"}</definedName>
    <definedName name="_u20" hidden="1">{"fleisch",#N/A,FALSE,"WG HK";"food",#N/A,FALSE,"WG HK";"hartwaren",#N/A,FALSE,"WG HK";"weichwaren",#N/A,FALSE,"WG HK"}</definedName>
    <definedName name="_U3" localSheetId="18" hidden="1">{#N/A,#N/A,FALSE,"Aging Summary";#N/A,#N/A,FALSE,"Ratio Analysis";#N/A,#N/A,FALSE,"Test 120 Day Accts";#N/A,#N/A,FALSE,"Tickmarks"}</definedName>
    <definedName name="_U3" hidden="1">{#N/A,#N/A,FALSE,"Aging Summary";#N/A,#N/A,FALSE,"Ratio Analysis";#N/A,#N/A,FALSE,"Test 120 Day Accts";#N/A,#N/A,FALSE,"Tickmarks"}</definedName>
    <definedName name="_UB1" localSheetId="18" hidden="1">{"'Feb 99'!$A$1:$G$30"}</definedName>
    <definedName name="_UB1" hidden="1">{"'Feb 99'!$A$1:$G$30"}</definedName>
    <definedName name="_UB2" localSheetId="18" hidden="1">{"'Feb 99'!$A$1:$G$30"}</definedName>
    <definedName name="_UB2" hidden="1">{"'Feb 99'!$A$1:$G$30"}</definedName>
    <definedName name="_uyu6" localSheetId="18" hidden="1">BlankMacro1</definedName>
    <definedName name="_uyu6" hidden="1">BlankMacro1</definedName>
    <definedName name="_w2" localSheetId="18" hidden="1">{"'Sheet1'!$L$16"}</definedName>
    <definedName name="_w2" hidden="1">{"'Sheet1'!$L$16"}</definedName>
    <definedName name="_w3" localSheetId="18" hidden="1">{"'Sheet1'!$L$16"}</definedName>
    <definedName name="_w3" hidden="1">{"'Sheet1'!$L$16"}</definedName>
    <definedName name="_w4" localSheetId="18" hidden="1">{"'Sheet1'!$L$16"}</definedName>
    <definedName name="_w4" hidden="1">{"'Sheet1'!$L$16"}</definedName>
    <definedName name="_w5" localSheetId="18" hidden="1">{"'Sheet1'!$L$16"}</definedName>
    <definedName name="_w5" hidden="1">{"'Sheet1'!$L$16"}</definedName>
    <definedName name="_w6" localSheetId="18" hidden="1">{#N/A,#N/A,FALSE,"Chi tiÆt"}</definedName>
    <definedName name="_w6" hidden="1">{#N/A,#N/A,FALSE,"Chi tiÆt"}</definedName>
    <definedName name="_w8" localSheetId="18" hidden="1">{"'Sheet1'!$L$16"}</definedName>
    <definedName name="_w8" hidden="1">{"'Sheet1'!$L$16"}</definedName>
    <definedName name="_w9" localSheetId="18" hidden="1">{"'Sheet1'!$L$16"}</definedName>
    <definedName name="_w9" hidden="1">{"'Sheet1'!$L$16"}</definedName>
    <definedName name="_wrn1" localSheetId="18" hidden="1">{#N/A,#N/A,FALSE,"SPLIT1";#N/A,#N/A,FALSE,"SPLIT2";#N/A,#N/A,FALSE,"TELEX";#N/A,#N/A,FALSE,"TELEX"}</definedName>
    <definedName name="_wrn1" hidden="1">{#N/A,#N/A,FALSE,"SPLIT1";#N/A,#N/A,FALSE,"SPLIT2";#N/A,#N/A,FALSE,"TELEX";#N/A,#N/A,FALSE,"TELEX"}</definedName>
    <definedName name="_ww2" localSheetId="18" hidden="1">{#N/A,#N/A,FALSE,"Admin";#N/A,#N/A,FALSE,"Other"}</definedName>
    <definedName name="_ww2" localSheetId="23" hidden="1">{#N/A,#N/A,FALSE,"Admin";#N/A,#N/A,FALSE,"Other"}</definedName>
    <definedName name="_ww2" localSheetId="21" hidden="1">{#N/A,#N/A,FALSE,"Admin";#N/A,#N/A,FALSE,"Other"}</definedName>
    <definedName name="_ww2" localSheetId="20" hidden="1">{#N/A,#N/A,FALSE,"Admin";#N/A,#N/A,FALSE,"Other"}</definedName>
    <definedName name="_ww2" localSheetId="0" hidden="1">{#N/A,#N/A,FALSE,"Admin";#N/A,#N/A,FALSE,"Other"}</definedName>
    <definedName name="_ww2" hidden="1">{#N/A,#N/A,FALSE,"Admin";#N/A,#N/A,FALSE,"Other"}</definedName>
    <definedName name="_Z1" localSheetId="18" hidden="1">{"'ตัวอย่าง'!$A$1:$O$21"}</definedName>
    <definedName name="_Z1" localSheetId="0" hidden="1">{"'ตัวอย่าง'!$A$1:$O$21"}</definedName>
    <definedName name="_Z1" hidden="1">{"'ตัวอย่าง'!$A$1:$O$21"}</definedName>
    <definedName name="µ" localSheetId="18" hidden="1">{"'Sheet1'!$L$16"}</definedName>
    <definedName name="µ" hidden="1">{"'Sheet1'!$L$16"}</definedName>
    <definedName name="a" localSheetId="0" hidden="1">{#N/A,#N/A,FALSE,"TL";#N/A,#N/A,FALSE,"KK";#N/A,#N/A,FALSE,"TS";#N/A,#N/A,FALSE,"KW";#N/A,#N/A,FALSE,"LP";#N/A,#N/A,FALSE,"DC"}</definedName>
    <definedName name="a">#REF!</definedName>
    <definedName name="á" localSheetId="18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localSheetId="18" hidden="1">{"'Sheet1'!$L$16"}</definedName>
    <definedName name="â" localSheetId="23" hidden="1">{"'Sheet1'!$L$16"}</definedName>
    <definedName name="â" localSheetId="21" hidden="1">{"'Sheet1'!$L$16"}</definedName>
    <definedName name="â" localSheetId="20" hidden="1">{"'Sheet1'!$L$16"}</definedName>
    <definedName name="â" localSheetId="0" hidden="1">{"'Sheet1'!$L$16"}</definedName>
    <definedName name="â" hidden="1">{"'Sheet1'!$L$16"}</definedName>
    <definedName name="Ầ" localSheetId="18" hidden="1">{#N/A,#N/A,FALSE,"CCTV"}</definedName>
    <definedName name="Ầ" hidden="1">{#N/A,#N/A,FALSE,"CCTV"}</definedName>
    <definedName name="a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localSheetId="18" hidden="1">{#N/A,#N/A,FALSE,"Sheet1"}</definedName>
    <definedName name="A2A" hidden="1">{#N/A,#N/A,FALSE,"Sheet1"}</definedName>
    <definedName name="A2PRJE" localSheetId="18" hidden="1">{#N/A,#N/A,FALSE,"Sheet1"}</definedName>
    <definedName name="A2PRJE" hidden="1">{#N/A,#N/A,FALSE,"Sheet1"}</definedName>
    <definedName name="AA" localSheetId="18" hidden="1">{"F3 detail",#N/A,FALSE,"F1";"F3 Presentation",#N/A,FALSE,"F3 "}</definedName>
    <definedName name="aa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AA" hidden="1">{"F3 detail",#N/A,FALSE,"F1";"F3 Presentation",#N/A,FALSE,"F3 "}</definedName>
    <definedName name="aâ" localSheetId="18" hidden="1">{"'Sheet1'!$L$16"}</definedName>
    <definedName name="aâ" hidden="1">{"'Sheet1'!$L$16"}</definedName>
    <definedName name="AA.Report.Files" hidden="1">#REF!</definedName>
    <definedName name="AA.Reports.Available" hidden="1">#REF!</definedName>
    <definedName name="aaa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8" hidden="1">{"Profit",#N/A,FALSE,"448k";"Capital",#N/A,FALSE,"448k"}</definedName>
    <definedName name="aaaaa" localSheetId="23" hidden="1">{"Profit",#N/A,FALSE,"448k";"Capital",#N/A,FALSE,"448k"}</definedName>
    <definedName name="aaaaa" localSheetId="21" hidden="1">{"Profit",#N/A,FALSE,"448k";"Capital",#N/A,FALSE,"448k"}</definedName>
    <definedName name="aaaaa" localSheetId="20" hidden="1">{"Profit",#N/A,FALSE,"448k";"Capital",#N/A,FALSE,"448k"}</definedName>
    <definedName name="aaaaa" localSheetId="0" hidden="1">{"Profit",#N/A,FALSE,"448k";"Capital",#N/A,FALSE,"448k"}</definedName>
    <definedName name="aaaaa" hidden="1">{"Profit",#N/A,FALSE,"448k";"Capital",#N/A,FALSE,"448k"}</definedName>
    <definedName name="aaaaaa" localSheetId="18" hidden="1">{#N/A,#N/A,FALSE,"CCTV"}</definedName>
    <definedName name="aaaaaa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aaaaaa" hidden="1">{#N/A,#N/A,FALSE,"CCTV"}</definedName>
    <definedName name="aaaaaaa" hidden="1">#REF!</definedName>
    <definedName name="aaaaaaaa" localSheetId="18" hidden="1">{"Tages_D",#N/A,FALSE,"Tagesbericht";"Tages_PL",#N/A,FALSE,"Tagesbericht"}</definedName>
    <definedName name="aaaaaaaa" localSheetId="0" hidden="1">{"'ตัวอย่าง'!$A$1:$O$21"}</definedName>
    <definedName name="aaaaaaaa" hidden="1">{"Tages_D",#N/A,FALSE,"Tagesbericht";"Tages_PL",#N/A,FALSE,"Tagesbericht"}</definedName>
    <definedName name="aaaaaaaaaa" localSheetId="18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localSheetId="23" hidden="1">#REF!</definedName>
    <definedName name="AAAAAAAAAAAAA" hidden="1">#REF!</definedName>
    <definedName name="aaaaaaaaaaaaaaaa" localSheetId="18" hidden="1">{0}</definedName>
    <definedName name="aaaaaaaaaaaaaaaa" hidden="1">{0}</definedName>
    <definedName name="aaag" localSheetId="18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18" hidden="1">{"'매출계획'!$D$2"}</definedName>
    <definedName name="aad" hidden="1">{"'매출계획'!$D$2"}</definedName>
    <definedName name="aas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localSheetId="18" hidden="1">{#N/A,#N/A,FALSE,"SPLIT1";#N/A,#N/A,FALSE,"SPLIT2";#N/A,#N/A,FALSE,"TELEX";#N/A,#N/A,FALSE,"TELEX";#N/A,#N/A,FALSE,"VCB";#N/A,#N/A,FALSE,"VCB"}</definedName>
    <definedName name="aassd" hidden="1">{#N/A,#N/A,FALSE,"SPLIT1";#N/A,#N/A,FALSE,"SPLIT2";#N/A,#N/A,FALSE,"TELEX";#N/A,#N/A,FALSE,"TELEX";#N/A,#N/A,FALSE,"VCB";#N/A,#N/A,FALSE,"VCB"}</definedName>
    <definedName name="ää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localSheetId="18" hidden="1">{"weichwaren",#N/A,FALSE,"Liste 1";"hartwaren",#N/A,FALSE,"Liste 1";"food",#N/A,FALSE,"Liste 1";"fleisch",#N/A,FALSE,"Liste 1"}</definedName>
    <definedName name="aawe" hidden="1">{"weichwaren",#N/A,FALSE,"Liste 1";"hartwaren",#N/A,FALSE,"Liste 1";"food",#N/A,FALSE,"Liste 1";"fleisch",#N/A,FALSE,"Liste 1"}</definedName>
    <definedName name="aaww" localSheetId="18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localSheetId="18" hidden="1">{#N/A,#N/A,FALSE,"Aging Summary";#N/A,#N/A,FALSE,"Ratio Analysis";#N/A,#N/A,FALSE,"Test 120 Day Accts";#N/A,#N/A,FALSE,"Tickmarks"}</definedName>
    <definedName name="ab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B" hidden="1">{#N/A,#N/A,FALSE,"Aging Summary";#N/A,#N/A,FALSE,"Ratio Analysis";#N/A,#N/A,FALSE,"Test 120 Day Accts";#N/A,#N/A,FALSE,"Tickmarks"}</definedName>
    <definedName name="abc" localSheetId="18" hidden="1">{"'매출계획'!$D$2"}</definedName>
    <definedName name="abc" hidden="1">{"'매출계획'!$D$2"}</definedName>
    <definedName name="ac" hidden="1">#REF!</definedName>
    <definedName name="Access_Button" hidden="1">"Primark_SUMMER_1998_SUMMARY_List"</definedName>
    <definedName name="AccessDatabase" localSheetId="0" hidden="1">"C:\DATA\KEVIN\MODELS\Model 0218.mdb"</definedName>
    <definedName name="AccessDatabase" hidden="1">"H:\My Documents\PLAN\Primark.mdb"</definedName>
    <definedName name="AccessOpt" hidden="1">"Yes"</definedName>
    <definedName name="Accounts">#REF!</definedName>
    <definedName name="ấcdv" localSheetId="18" hidden="1">{#N/A,#N/A,FALSE,"Week 2002";#N/A,#N/A,FALSE,"YTD 2002";#N/A,#N/A,FALSE,"Quarterly Trend(Q3)"}</definedName>
    <definedName name="ấcdv" hidden="1">{#N/A,#N/A,FALSE,"Week 2002";#N/A,#N/A,FALSE,"YTD 2002";#N/A,#N/A,FALSE,"Quarterly Trend(Q3)"}</definedName>
    <definedName name="ACT" localSheetId="18" hidden="1">{#N/A,#N/A,FALSE,"TL";#N/A,#N/A,FALSE,"KK";#N/A,#N/A,FALSE,"TS";#N/A,#N/A,FALSE,"KW";#N/A,#N/A,FALSE,"LP";#N/A,#N/A,FALSE,"DC"}</definedName>
    <definedName name="ACT" hidden="1">{#N/A,#N/A,FALSE,"TL";#N/A,#N/A,FALSE,"KK";#N/A,#N/A,FALSE,"TS";#N/A,#N/A,FALSE,"KW";#N/A,#N/A,FALSE,"LP";#N/A,#N/A,FALSE,"DC"}</definedName>
    <definedName name="Activity_Reports">#REF!</definedName>
    <definedName name="ad" localSheetId="18" hidden="1">{"income",#N/A,FALSE,"INCOME"}</definedName>
    <definedName name="ad" localSheetId="0" hidden="1">{"income",#N/A,FALSE,"INCOME"}</definedName>
    <definedName name="ad" hidden="1">{"income",#N/A,FALSE,"INCOME"}</definedName>
    <definedName name="àd" localSheetId="18" hidden="1">{"Offgrid",#N/A,FALSE,"OFFGRID";"Region",#N/A,FALSE,"REGION";"Offgrid -2",#N/A,FALSE,"OFFGRID";"WTP",#N/A,FALSE,"WTP";"WTP -2",#N/A,FALSE,"WTP";"Project",#N/A,FALSE,"PROJECT";"Summary -2",#N/A,FALSE,"SUMMARY"}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localSheetId="18" hidden="1">{"'매출계획'!$D$2"}</definedName>
    <definedName name="ADAS" hidden="1">{"'매출계획'!$D$2"}</definedName>
    <definedName name="adasadad" localSheetId="18" hidden="1">{#N/A,#N/A,TRUE,"BT M200 da 10x20"}</definedName>
    <definedName name="adasadad" hidden="1">{#N/A,#N/A,TRUE,"BT M200 da 10x20"}</definedName>
    <definedName name="ADC" localSheetId="18" hidden="1">{"'매출계획'!$D$2"}</definedName>
    <definedName name="ADC" hidden="1">{"'매출계획'!$D$2"}</definedName>
    <definedName name="add" hidden="1">#REF!</definedName>
    <definedName name="adead" localSheetId="18" hidden="1">{"'Sheet1'!$L$16"}</definedName>
    <definedName name="adead" hidden="1">{"'Sheet1'!$L$16"}</definedName>
    <definedName name="a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localSheetId="18" hidden="1">{#N/A,#N/A,FALSE,"CCTV"}</definedName>
    <definedName name="ÁDF" hidden="1">{#N/A,#N/A,FALSE,"CCTV"}</definedName>
    <definedName name="adfd" localSheetId="18" hidden="1">{0,#N/A,FALSE,0}</definedName>
    <definedName name="adfd" hidden="1">{0,#N/A,FALSE,0}</definedName>
    <definedName name="ADFHA" localSheetId="18" hidden="1">{"'Sheet1'!$L$16"}</definedName>
    <definedName name="ADFHA" hidden="1">{"'Sheet1'!$L$16"}</definedName>
    <definedName name="ADFHGADFH" localSheetId="18" hidden="1">{"'Sheet1'!$L$16"}</definedName>
    <definedName name="ADFHGADFH" hidden="1">{"'Sheet1'!$L$16"}</definedName>
    <definedName name="ADFJDGJ" localSheetId="18" hidden="1">{#N/A,#N/A,FALSE,"CCTV"}</definedName>
    <definedName name="ADFJDGJ" hidden="1">{#N/A,#N/A,FALSE,"CCTV"}</definedName>
    <definedName name="ADG" localSheetId="18" hidden="1">{"'매출계획'!$D$2"}</definedName>
    <definedName name="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" hidden="1">{"'매출계획'!$D$2"}</definedName>
    <definedName name="adgad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>#REF!</definedName>
    <definedName name="adqad" localSheetId="18" hidden="1">{#N/A,#N/A,FALSE,"Gesamt";#N/A,#N/A,FALSE,"Ree KG";#N/A,#N/A,FALSE,"Ree Inter";#N/A,#N/A,FALSE,"BTM";#N/A,#N/A,FALSE,"GmbH";#N/A,#N/A,FALSE,"Sonstige"}</definedName>
    <definedName name="adqad" hidden="1">{#N/A,#N/A,FALSE,"Gesamt";#N/A,#N/A,FALSE,"Ree KG";#N/A,#N/A,FALSE,"Ree Inter";#N/A,#N/A,FALSE,"BTM";#N/A,#N/A,FALSE,"GmbH";#N/A,#N/A,FALSE,"Sonstige"}</definedName>
    <definedName name="adsadasdasd" hidden="1">#REF!</definedName>
    <definedName name="adsasf" localSheetId="18" hidden="1">{"'Sheet1'!$L$16"}</definedName>
    <definedName name="adsasf" hidden="1">{"'Sheet1'!$L$16"}</definedName>
    <definedName name="adsf" localSheetId="18" hidden="1">{0,#N/A,FALSE,0}</definedName>
    <definedName name="adsf" hidden="1">{0,#N/A,FALSE,0}</definedName>
    <definedName name="adsf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localSheetId="18" hidden="1">{"HK PR",#N/A,FALSE,"HK";"SUMMARY",#N/A,FALSE,"PAYROLL";"SUMMARY",#N/A,FALSE,"PAYROLL";"HK PR",#N/A,FALSE,"HK"}</definedName>
    <definedName name="ae" hidden="1">{"HK PR",#N/A,FALSE,"HK";"SUMMARY",#N/A,FALSE,"PAYROLL";"SUMMARY",#N/A,FALSE,"PAYROLL";"HK PR",#N/A,FALSE,"HK"}</definedName>
    <definedName name="aef" localSheetId="18" hidden="1">{"'ตัวอย่าง'!$A$1:$O$21"}</definedName>
    <definedName name="aef" localSheetId="0" hidden="1">{"'ตัวอย่าง'!$A$1:$O$21"}</definedName>
    <definedName name="aef" hidden="1">{"'ตัวอย่าง'!$A$1:$O$21"}</definedName>
    <definedName name="AERG" localSheetId="18" hidden="1">{"'매출계획'!$D$2"}</definedName>
    <definedName name="AERG" hidden="1">{"'매출계획'!$D$2"}</definedName>
    <definedName name="AERT" localSheetId="18" hidden="1">{"'매출계획'!$D$2"}</definedName>
    <definedName name="AERT" hidden="1">{"'매출계획'!$D$2"}</definedName>
    <definedName name="ÂF" localSheetId="18" hidden="1">{#N/A,#N/A,FALSE,"CCTV"}</definedName>
    <definedName name="ÂF" hidden="1">{#N/A,#N/A,FALSE,"CCTV"}</definedName>
    <definedName name="afa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localSheetId="18" hidden="1">{"'ตัวอย่าง'!$A$1:$O$21"}</definedName>
    <definedName name="afd" localSheetId="0" hidden="1">{"'ตัวอย่าง'!$A$1:$O$21"}</definedName>
    <definedName name="afd" hidden="1">{"'ตัวอย่าง'!$A$1:$O$21"}</definedName>
    <definedName name="afd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localSheetId="18" hidden="1">{#N/A,#N/A,FALSE,"CCTV"}</definedName>
    <definedName name="afdasgh" hidden="1">{#N/A,#N/A,FALSE,"CCTV"}</definedName>
    <definedName name="afdsfdg" localSheetId="18" hidden="1">{#N/A,#N/A,FALSE,"CCTV"}</definedName>
    <definedName name="afdsfdg" hidden="1">{#N/A,#N/A,FALSE,"CCTV"}</definedName>
    <definedName name="afffgff" localSheetId="18" hidden="1">{#N/A,#N/A,FALSE,"CCTV"}</definedName>
    <definedName name="afffgff" hidden="1">{#N/A,#N/A,FALSE,"CCTV"}</definedName>
    <definedName name="af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hidden="1">#REF!</definedName>
    <definedName name="AG" localSheetId="18" hidden="1">{"'매출계획'!$D$2"}</definedName>
    <definedName name="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" hidden="1">{"'매출계획'!$D$2"}</definedName>
    <definedName name="a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localSheetId="18" hidden="1">{#N/A,#N/A,FALSE,"CCTV"}</definedName>
    <definedName name="ÁGADFGA" hidden="1">{#N/A,#N/A,FALSE,"CCTV"}</definedName>
    <definedName name="agfa" localSheetId="18" hidden="1">{"'Sheet1'!$L$16"}</definedName>
    <definedName name="agfa" hidden="1">{"'Sheet1'!$L$16"}</definedName>
    <definedName name="a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localSheetId="18" hidden="1">{#N/A,#N/A,FALSE,"CCTV"}</definedName>
    <definedName name="AH" hidden="1">{#N/A,#N/A,FALSE,"CCTV"}</definedName>
    <definedName name="ai" localSheetId="18" hidden="1">{"level1",#N/A,FALSE,"1_LEV";"LEVEL1",#N/A,FALSE,"1_LEV"}</definedName>
    <definedName name="ai" localSheetId="0" hidden="1">{"level1",#N/A,FALSE,"1_LEV";"LEVEL1",#N/A,FALSE,"1_LEV"}</definedName>
    <definedName name="ai" hidden="1">{"level1",#N/A,FALSE,"1_LEV";"LEVEL1",#N/A,FALSE,"1_LEV"}</definedName>
    <definedName name="al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localSheetId="18" hidden="1">{"'Feb 99'!$A$1:$G$30"}</definedName>
    <definedName name="ALI" hidden="1">{"'Feb 99'!$A$1:$G$30"}</definedName>
    <definedName name="aLKFJFH" localSheetId="18" hidden="1">{#N/A,#N/A,FALSE,"CCTV"}</definedName>
    <definedName name="aLKFJFH" hidden="1">{#N/A,#N/A,FALSE,"CCTV"}</definedName>
    <definedName name="all" localSheetId="18" hidden="1">{#N/A,#N/A,FALSE,"m66";#N/A,#N/A,FALSE,"m66"}</definedName>
    <definedName name="all" hidden="1">{#N/A,#N/A,FALSE,"m66";#N/A,#N/A,FALSE,"m66"}</definedName>
    <definedName name="alread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localSheetId="18" hidden="1">{"level1",#N/A,FALSE,"1_LEV";"LEVEL1",#N/A,FALSE,"1_LEV"}</definedName>
    <definedName name="amie" hidden="1">{"level1",#N/A,FALSE,"1_LEV";"LEVEL1",#N/A,FALSE,"1_LEV"}</definedName>
    <definedName name="ancd" localSheetId="18" hidden="1">{#N/A,#N/A,FALSE,"SPLIT1";#N/A,#N/A,FALSE,"SPLIT2";#N/A,#N/A,FALSE,"TELEX";#N/A,#N/A,FALSE,"TELEX";#N/A,#N/A,FALSE,"VCB";#N/A,#N/A,FALSE,"VCB"}</definedName>
    <definedName name="ancd" hidden="1">{#N/A,#N/A,FALSE,"SPLIT1";#N/A,#N/A,FALSE,"SPLIT2";#N/A,#N/A,FALSE,"TELEX";#N/A,#N/A,FALSE,"TELEX";#N/A,#N/A,FALSE,"VCB";#N/A,#N/A,FALSE,"VCB"}</definedName>
    <definedName name="anphong" localSheetId="18" hidden="1">{"'Sheet1'!$L$16"}</definedName>
    <definedName name="anphong" hidden="1">{"'Sheet1'!$L$16"}</definedName>
    <definedName name="anscount" localSheetId="23" hidden="1">2</definedName>
    <definedName name="anscount" localSheetId="21" hidden="1">2</definedName>
    <definedName name="anscount" localSheetId="20" hidden="1">2</definedName>
    <definedName name="anscount" localSheetId="0" hidden="1">1</definedName>
    <definedName name="anscount" hidden="1">1</definedName>
    <definedName name="appendix4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[6]!Table6[Application]</definedName>
    <definedName name="APRDN" localSheetId="18" hidden="1">{"'Sheet1'!$L$16"}</definedName>
    <definedName name="APRDN" hidden="1">{"'Sheet1'!$L$16"}</definedName>
    <definedName name="AQWS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_Trade" localSheetId="18" hidden="1">{#N/A,#N/A,FALSE,"Aging Summary";#N/A,#N/A,FALSE,"Ratio Analysis";#N/A,#N/A,FALSE,"Test 120 Day Accts";#N/A,#N/A,FALSE,"Tickmarks"}</definedName>
    <definedName name="AR_Trade" hidden="1">{#N/A,#N/A,FALSE,"Aging Summary";#N/A,#N/A,FALSE,"Ratio Analysis";#N/A,#N/A,FALSE,"Test 120 Day Accts";#N/A,#N/A,FALSE,"Tickmarks"}</definedName>
    <definedName name="ar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localSheetId="18" hidden="1">{#N/A,#N/A,FALSE,"Aging Summary";#N/A,#N/A,FALSE,"Ratio Analysis";#N/A,#N/A,FALSE,"Test 120 Day Accts";#N/A,#N/A,FALSE,"Tickmarks"}</definedName>
    <definedName name="ARO" hidden="1">{#N/A,#N/A,FALSE,"Aging Summary";#N/A,#N/A,FALSE,"Ratio Analysis";#N/A,#N/A,FALSE,"Test 120 Day Accts";#N/A,#N/A,FALSE,"Tickmarks"}</definedName>
    <definedName name="ART" localSheetId="18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0" hidden="1">{"'照明目录'!$A$1:$H$31"}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as" localSheetId="0" hidden="1">{"'照明目录'!$A$1:$H$31"}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localSheetId="18" hidden="1">{"'Sheet1'!$L$16"}</definedName>
    <definedName name="asc" hidden="1">{"'Sheet1'!$L$16"}</definedName>
    <definedName name="asd" localSheetId="18" hidden="1">{"hilight2",#N/A,FALSE,"HILIGHT2"}</definedName>
    <definedName name="asd" hidden="1">{"hilight2",#N/A,FALSE,"HILIGHT2"}</definedName>
    <definedName name="asda" localSheetId="23" hidden="1">#REF!</definedName>
    <definedName name="asda" hidden="1">#REF!</definedName>
    <definedName name="asdadasd" hidden="1">#REF!</definedName>
    <definedName name="asdasd" hidden="1">#REF!</definedName>
    <definedName name="asdasdas" localSheetId="18" hidden="1">{#N/A,#N/A,FALSE,"Sheet2"}</definedName>
    <definedName name="asdasdas" hidden="1">{#N/A,#N/A,FALSE,"Sheet2"}</definedName>
    <definedName name="asdasdasd" hidden="1">#REF!</definedName>
    <definedName name="asdasddfguer" hidden="1">#REF!</definedName>
    <definedName name="asdaserqwr" localSheetId="18" hidden="1">{"'Sheet1'!$L$16"}</definedName>
    <definedName name="asdaserqwr" hidden="1">{"'Sheet1'!$L$16"}</definedName>
    <definedName name="asdcad" localSheetId="18" hidden="1">{#N/A,#N/A,FALSE,"CCTV"}</definedName>
    <definedName name="asdcad" hidden="1">{#N/A,#N/A,FALSE,"CCTV"}</definedName>
    <definedName name="asdf" localSheetId="23" hidden="1">#REF!</definedName>
    <definedName name="asdf" hidden="1">#REF!</definedName>
    <definedName name="asdfadf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localSheetId="18" hidden="1">{#N/A,#N/A,FALSE,"SPLIT1";#N/A,#N/A,FALSE,"SPLIT2";#N/A,#N/A,FALSE,"TELEX";#N/A,#N/A,FALSE,"TELEX"}</definedName>
    <definedName name="asdfaqwerasdr" hidden="1">{#N/A,#N/A,FALSE,"SPLIT1";#N/A,#N/A,FALSE,"SPLIT2";#N/A,#N/A,FALSE,"TELEX";#N/A,#N/A,FALSE,"TELEX"}</definedName>
    <definedName name="asdfas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localSheetId="18" hidden="1">{#N/A,#N/A,FALSE,"SPLIT1";#N/A,#N/A,FALSE,"SPLIT2";#N/A,#N/A,FALSE,"TELEX";#N/A,#N/A,FALSE,"TELEX";#N/A,#N/A,FALSE,"VCB";#N/A,#N/A,FALSE,"VCB"}</definedName>
    <definedName name="asdfasdfasdf" hidden="1">{#N/A,#N/A,FALSE,"SPLIT1";#N/A,#N/A,FALSE,"SPLIT2";#N/A,#N/A,FALSE,"TELEX";#N/A,#N/A,FALSE,"TELEX";#N/A,#N/A,FALSE,"VCB";#N/A,#N/A,FALSE,"VCB"}</definedName>
    <definedName name="asdfasdfasdfasdf" localSheetId="18" hidden="1">{#N/A,#N/A,FALSE,"SPLIT1";#N/A,#N/A,FALSE,"SPLIT2";#N/A,#N/A,FALSE,"TELEX";#N/A,#N/A,FALSE,"TELEX"}</definedName>
    <definedName name="asdfasdfasdfasdf" hidden="1">{#N/A,#N/A,FALSE,"SPLIT1";#N/A,#N/A,FALSE,"SPLIT2";#N/A,#N/A,FALSE,"TELEX";#N/A,#N/A,FALSE,"TELEX"}</definedName>
    <definedName name="asdfasdfasdfasdfasdf" localSheetId="18" hidden="1">{#N/A,#N/A,FALSE,"SPLIT1";#N/A,#N/A,FALSE,"SPLIT2";#N/A,#N/A,FALSE,"TELEX";#N/A,#N/A,FALSE,"TELEX";#N/A,#N/A,FALSE,"VCB";#N/A,#N/A,FALSE,"VCB"}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localSheetId="18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localSheetId="18" hidden="1">{#N/A,#N/A,FALSE,"SPLIT1";#N/A,#N/A,FALSE,"SPLIT2";#N/A,#N/A,FALSE,"TELEX";#N/A,#N/A,FALSE,"TELEX"}</definedName>
    <definedName name="asdfasdfasdgasgadfhadfh" hidden="1">{#N/A,#N/A,FALSE,"SPLIT1";#N/A,#N/A,FALSE,"SPLIT2";#N/A,#N/A,FALSE,"TELEX";#N/A,#N/A,FALSE,"TELEX"}</definedName>
    <definedName name="asdfasdfds" hidden="1">#REF!</definedName>
    <definedName name="ASDFASERFWERWEF" hidden="1">#REF!</definedName>
    <definedName name="asdfgg" localSheetId="18" hidden="1">{#N/A,#N/A,FALSE,"SPLIT1";#N/A,#N/A,FALSE,"SPLIT2";#N/A,#N/A,FALSE,"TELEX";#N/A,#N/A,FALSE,"TELEX";#N/A,#N/A,FALSE,"VCB";#N/A,#N/A,FALSE,"VCB"}</definedName>
    <definedName name="asdfgg" hidden="1">{#N/A,#N/A,FALSE,"SPLIT1";#N/A,#N/A,FALSE,"SPLIT2";#N/A,#N/A,FALSE,"TELEX";#N/A,#N/A,FALSE,"TELEX";#N/A,#N/A,FALSE,"VCB";#N/A,#N/A,FALSE,"VCB"}</definedName>
    <definedName name="asdfggg" localSheetId="18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localSheetId="18" hidden="1">{#N/A,#N/A,FALSE,"CCTV"}</definedName>
    <definedName name="asdfgjhkjk" hidden="1">{#N/A,#N/A,FALSE,"CCTV"}</definedName>
    <definedName name="asdg" localSheetId="18" hidden="1">{"'1-TheatreBkgs'!$A$1:$L$102"}</definedName>
    <definedName name="asdg" hidden="1">{"'1-TheatreBkgs'!$A$1:$L$102"}</definedName>
    <definedName name="asdg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hidden="1">#REF!</definedName>
    <definedName name="ase" localSheetId="18" hidden="1">{"Tages_D",#N/A,FALSE,"Tagesbericht";"Tages_PL",#N/A,FALSE,"Tagesbericht"}</definedName>
    <definedName name="ase" hidden="1">{"Tages_D",#N/A,FALSE,"Tagesbericht";"Tages_PL",#N/A,FALSE,"Tagesbericht"}</definedName>
    <definedName name="ased" localSheetId="18" hidden="1">{"Tages_D",#N/A,FALSE,"Tagesbericht";"Tages_PL",#N/A,FALSE,"Tagesbericht"}</definedName>
    <definedName name="ased" hidden="1">{"Tages_D",#N/A,FALSE,"Tagesbericht";"Tages_PL",#N/A,FALSE,"Tagesbericht"}</definedName>
    <definedName name="asew" localSheetId="18" hidden="1">{"'ตัวอย่าง'!$A$1:$O$21"}</definedName>
    <definedName name="asew" localSheetId="0" hidden="1">{"'ตัวอย่าง'!$A$1:$O$21"}</definedName>
    <definedName name="asew" hidden="1">{"'ตัวอย่าง'!$A$1:$O$21"}</definedName>
    <definedName name="asfaf" localSheetId="18" hidden="1">{"level1",#N/A,FALSE,"1_LEV";"LEVEL1",#N/A,FALSE,"1_LEV"}</definedName>
    <definedName name="asfaf" hidden="1">{"level1",#N/A,FALSE,"1_LEV";"LEVEL1",#N/A,FALSE,"1_LEV"}</definedName>
    <definedName name="asfasf" localSheetId="18" hidden="1">{"'Sheet1'!$L$16"}</definedName>
    <definedName name="asfasf" hidden="1">{"'Sheet1'!$L$16"}</definedName>
    <definedName name="asfe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localSheetId="18" hidden="1">{"F3 Presentation",#N/A,FALSE,"F3 ";"F3 detail",#N/A,FALSE,"F3 "}</definedName>
    <definedName name="asgv" hidden="1">{"F3 Presentation",#N/A,FALSE,"F3 ";"F3 detail",#N/A,FALSE,"F3 "}</definedName>
    <definedName name="ass" localSheetId="18" hidden="1">{"revable",#N/A,FALSE,"REVABLE"}</definedName>
    <definedName name="ass" localSheetId="0" hidden="1">{"revable",#N/A,FALSE,"REVABLE"}</definedName>
    <definedName name="ass" hidden="1">{"revable",#N/A,FALSE,"REVABLE"}</definedName>
    <definedName name="assdd" localSheetId="18" hidden="1">{"'Sheet1'!$L$16"}</definedName>
    <definedName name="assdd" hidden="1">{"'Sheet1'!$L$16"}</definedName>
    <definedName name="asss" localSheetId="18" hidden="1">{"'1-TheatreBkgs'!$A$1:$L$102"}</definedName>
    <definedName name="asss" hidden="1">{"'1-TheatreBkgs'!$A$1:$L$102"}</definedName>
    <definedName name="assssssanid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localSheetId="18" hidden="1">{"revable",#N/A,FALSE,"REVABLE"}</definedName>
    <definedName name="ast" hidden="1">{"revable",#N/A,FALSE,"REVABLE"}</definedName>
    <definedName name="asv" localSheetId="18" hidden="1">{"'Sheet1'!$L$16"}</definedName>
    <definedName name="asv" hidden="1">{"'Sheet1'!$L$16"}</definedName>
    <definedName name="asws" localSheetId="18" hidden="1">{#N/A,#N/A,FALSE,"CCTV"}</definedName>
    <definedName name="asws" hidden="1">{#N/A,#N/A,FALSE,"CCTV"}</definedName>
    <definedName name="ASㅁㄴㄴ" localSheetId="18" hidden="1">{"'매출계획'!$D$2"}</definedName>
    <definedName name="ASㅁㄴㄴ" hidden="1">{"'매출계획'!$D$2"}</definedName>
    <definedName name="AU" localSheetId="18" hidden="1">{"'Sheet1'!$L$16"}</definedName>
    <definedName name="AU" hidden="1">{"'Sheet1'!$L$16"}</definedName>
    <definedName name="Aug.05" localSheetId="18" hidden="1">{"'Sheet1'!$L$16"}</definedName>
    <definedName name="Aug.05" hidden="1">{"'Sheet1'!$L$16"}</definedName>
    <definedName name="AUGFIX01" localSheetId="18" hidden="1">{"level1",#N/A,FALSE,"1_LEV";"LEVEL1",#N/A,FALSE,"1_LEV"}</definedName>
    <definedName name="AUGFIX01" localSheetId="0" hidden="1">{"level1",#N/A,FALSE,"1_LEV";"LEVEL1",#N/A,FALSE,"1_LEV"}</definedName>
    <definedName name="AUGFIX01" hidden="1">{"level1",#N/A,FALSE,"1_LEV";"LEVEL1",#N/A,FALSE,"1_LEV"}</definedName>
    <definedName name="AUGFIX02" localSheetId="18" hidden="1">{"level1",#N/A,FALSE,"1_LEV";"LEVEL1",#N/A,FALSE,"1_LEV"}</definedName>
    <definedName name="AUGFIX02" localSheetId="0" hidden="1">{"level1",#N/A,FALSE,"1_LEV";"LEVEL1",#N/A,FALSE,"1_LEV"}</definedName>
    <definedName name="AUGFIX02" hidden="1">{"level1",#N/A,FALSE,"1_LEV";"LEVEL1",#N/A,FALSE,"1_LEV"}</definedName>
    <definedName name="av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localSheetId="18" hidden="1">{"'매출계획'!$D$2"}</definedName>
    <definedName name="AWERT" hidden="1">{"'매출계획'!$D$2"}</definedName>
    <definedName name="awlfj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localSheetId="18" hidden="1">{"hilight1",#N/A,FALSE,"HILIGHT1"}</definedName>
    <definedName name="aWS" hidden="1">{"hilight1",#N/A,FALSE,"HILIGHT1"}</definedName>
    <definedName name="awsgtrf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localSheetId="18" hidden="1">{"'매출계획'!$D$2"}</definedName>
    <definedName name="AZ" hidden="1">{"'매출계획'!$D$2"}</definedName>
    <definedName name="b" localSheetId="0" hidden="1">{"income",#N/A,FALSE,"INCOME"}</definedName>
    <definedName name="B">#REF!</definedName>
    <definedName name="B1.1" hidden="1">#REF!</definedName>
    <definedName name="BABA" localSheetId="18" hidden="1">{"'Sheet1'!$L$16"}</definedName>
    <definedName name="BABA" hidden="1">{"'Sheet1'!$L$16"}</definedName>
    <definedName name="back">#REF!</definedName>
    <definedName name="bal" hidden="1">#REF!</definedName>
    <definedName name="balancesheet" hidden="1">#REF!</definedName>
    <definedName name="ban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localSheetId="18" hidden="1">{"'Sheet1'!$L$16"}</definedName>
    <definedName name="banking1" localSheetId="23" hidden="1">{"'Sheet1'!$L$16"}</definedName>
    <definedName name="banking1" localSheetId="21" hidden="1">{"'Sheet1'!$L$16"}</definedName>
    <definedName name="banking1" localSheetId="20" hidden="1">{"'Sheet1'!$L$16"}</definedName>
    <definedName name="banking1" localSheetId="0" hidden="1">{"'Sheet1'!$L$16"}</definedName>
    <definedName name="banking1" hidden="1">{"'Sheet1'!$L$16"}</definedName>
    <definedName name="Bao" localSheetId="18" hidden="1">{#N/A,#N/A,FALSE,"Chi tiÆt"}</definedName>
    <definedName name="Bao" hidden="1">{#N/A,#N/A,FALSE,"Chi tiÆt"}</definedName>
    <definedName name="baogio" localSheetId="18" hidden="1">{#N/A,#N/A,FALSE,"CCTV"}</definedName>
    <definedName name="baogio" hidden="1">{#N/A,#N/A,FALSE,"CCTV"}</definedName>
    <definedName name="BASE1" localSheetId="18" hidden="1">{#N/A,#N/A,FALSE,"CCTV"}</definedName>
    <definedName name="BASE1" hidden="1">{#N/A,#N/A,FALSE,"CCTV"}</definedName>
    <definedName name="BASE2" localSheetId="18" hidden="1">{#N/A,#N/A,FALSE,"CCTV"}</definedName>
    <definedName name="BASE2" hidden="1">{#N/A,#N/A,FALSE,"CCTV"}</definedName>
    <definedName name="bb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{#N/A,#N/A,FALSE,"Assessment";#N/A,#N/A,FALSE,"Staffing";#N/A,#N/A,FALSE,"Hires";#N/A,#N/A,FALSE,"Assumptions"}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localSheetId="18" hidden="1">{"'ตัวอย่าง'!$A$1:$O$21"}</definedName>
    <definedName name="bbbbbbbbb" localSheetId="0" hidden="1">{"'ตัวอย่าง'!$A$1:$O$21"}</definedName>
    <definedName name="bbbbbbbbb" hidden="1">{"'ตัวอย่าง'!$A$1:$O$21"}</definedName>
    <definedName name="bcong5.03" localSheetId="18" hidden="1">{"'Sheet1'!$L$16"}</definedName>
    <definedName name="bcong5.03" hidden="1">{"'Sheet1'!$L$16"}</definedName>
    <definedName name="BCTHUET6" localSheetId="18" hidden="1">{"'Sheet1'!$L$16"}</definedName>
    <definedName name="BCTHUET6" hidden="1">{"'Sheet1'!$L$16"}</definedName>
    <definedName name="BCV" localSheetId="18" hidden="1">{"'매출계획'!$D$2"}</definedName>
    <definedName name="BCV" hidden="1">{"'매출계획'!$D$2"}</definedName>
    <definedName name="BEx00YBID5NGFPBA5XV5WKLV3XQ8" localSheetId="18" hidden="1">Stat Key #REF!</definedName>
    <definedName name="BEx00YBID5NGFPBA5XV5WKLV3XQ8" hidden="1">Stat Key #REF!</definedName>
    <definedName name="BEx00YRMWRRN9YYEO5QJFUWENZAZ" localSheetId="18" hidden="1">PCA Cube CP_HDKD!p&amp;CP_HDKD!L by Profit #REF!</definedName>
    <definedName name="BEx00YRMWRRN9YYEO5QJFUWENZAZ" hidden="1">PCA Cube p&amp;L by Profit #REF!</definedName>
    <definedName name="BEx00ZYSJX8GI4SVAKKS5G614LX8" localSheetId="18" hidden="1">Stat Key #REF!</definedName>
    <definedName name="BEx00ZYSJX8GI4SVAKKS5G614LX8" hidden="1">Stat Key #REF!</definedName>
    <definedName name="BEx015TAHSXF8A4A8QV9IYVCI7YR" localSheetId="18" hidden="1">Balance #REF!</definedName>
    <definedName name="BEx015TAHSXF8A4A8QV9IYVCI7YR" hidden="1">Balance #REF!</definedName>
    <definedName name="BEx01L3K20XXWOQIKRQMCIUR2CV1" hidden="1">#REF!</definedName>
    <definedName name="BEx1G1298KRJECT1KZ4K418HQV3O" localSheetId="18" hidden="1">Balance #REF!</definedName>
    <definedName name="BEx1G1298KRJECT1KZ4K418HQV3O" hidden="1">Balance #REF!</definedName>
    <definedName name="BEx1HBD45N7VENNICLCPUCN7RJY0" localSheetId="18" hidden="1">Stat Key #REF!</definedName>
    <definedName name="BEx1HBD45N7VENNICLCPUCN7RJY0" hidden="1">Stat Key #REF!</definedName>
    <definedName name="BEx1HZXXT48OAKV9YCV5TKA7XA37" hidden="1">#REF!</definedName>
    <definedName name="BEx1IV9D7SVNJKEOYIOTEX4ZQI24" localSheetId="18" hidden="1">Stat Key #REF!</definedName>
    <definedName name="BEx1IV9D7SVNJKEOYIOTEX4ZQI24" hidden="1">Stat Key #REF!</definedName>
    <definedName name="BEx1JCSGKB0SKVGAA1Q3V5Q9GBUE" localSheetId="18" hidden="1">Sales #REF!</definedName>
    <definedName name="BEx1JCSGKB0SKVGAA1Q3V5Q9GBUE" hidden="1">Sales #REF!</definedName>
    <definedName name="BEx1LHTDQ3BDBX3CY98KO10N4VSH" localSheetId="18" hidden="1">PCA Cube CP_HDKD!p&amp;CP_HDKD!L by Profit #REF!</definedName>
    <definedName name="BEx1LHTDQ3BDBX3CY98KO10N4VSH" hidden="1">PCA Cube p&amp;L by Profit #REF!</definedName>
    <definedName name="BEx1MUD5RKHLA4QF7CZITHHGT4IR" localSheetId="18" hidden="1">Cost #REF!</definedName>
    <definedName name="BEx1MUD5RKHLA4QF7CZITHHGT4IR" hidden="1">Cost #REF!</definedName>
    <definedName name="BEx1OC0HIHMN68QC05T495HI5XRT" localSheetId="18" hidden="1">PCA Cube CP_HDKD!p&amp;CP_HDKD!L by Profit #REF!</definedName>
    <definedName name="BEx1OC0HIHMN68QC05T495HI5XRT" hidden="1">PCA Cube p&amp;L by Profit #REF!</definedName>
    <definedName name="BEx1RP8OOR8V4GL9JG4PRLGQVDL2" hidden="1">#REF!</definedName>
    <definedName name="BEx1RTA9N9K3D334AMMAB5SB1IPW" localSheetId="18" hidden="1">Sales #REF!</definedName>
    <definedName name="BEx1RTA9N9K3D334AMMAB5SB1IPW" hidden="1">Sales #REF!</definedName>
    <definedName name="BEx1SBKES9TRVNT8I3ST7LKLUSCX" localSheetId="18" hidden="1">PCA Cube by GL #REF!</definedName>
    <definedName name="BEx1SBKES9TRVNT8I3ST7LKLUSCX" hidden="1">PCA Cube by GL #REF!</definedName>
    <definedName name="BEx1TDMOPCTE5XLY1C94G3TH4Z6D" hidden="1">#N/A</definedName>
    <definedName name="BEx1UO8FKR4RSSQ8PWEUJI22GA02" hidden="1">#REF!</definedName>
    <definedName name="BEx1VJ91EGF02SVFROM36L8N7V42" localSheetId="18" hidden="1">PCA Cube CP_HDKD!p&amp;CP_HDKD!L by Profit #REF!</definedName>
    <definedName name="BEx1VJ91EGF02SVFROM36L8N7V42" hidden="1">PCA Cube p&amp;L by Profit #REF!</definedName>
    <definedName name="BEx1XGMSWQRH04DR6D8D32LTAFXS" localSheetId="18" hidden="1">FIGL Cube by #REF!</definedName>
    <definedName name="BEx1XGMSWQRH04DR6D8D32LTAFXS" hidden="1">FIGL Cube by #REF!</definedName>
    <definedName name="BEx3B26FAU4BE9XEX1ORD15X113N" localSheetId="18" hidden="1">Weekly KPI #REF!</definedName>
    <definedName name="BEx3B26FAU4BE9XEX1ORD15X113N" hidden="1">Weekly KPI #REF!</definedName>
    <definedName name="BEx3C01NYX0TA2X6W0JXRJ3AKV64" localSheetId="18" hidden="1">FIGL Cube by GL #REF!</definedName>
    <definedName name="BEx3C01NYX0TA2X6W0JXRJ3AKV64" hidden="1">FIGL Cube by GL #REF!</definedName>
    <definedName name="BEx3CJ2NR23Y66SYTOETD1RHDMIM" localSheetId="18" hidden="1">PCA Cube by GL #REF!</definedName>
    <definedName name="BEx3CJ2NR23Y66SYTOETD1RHDMIM" hidden="1">PCA Cube by GL #REF!</definedName>
    <definedName name="BEx3ED07Y3510OFGLVS6SAPEX39P" localSheetId="18" hidden="1">PCA Cube CP_HDKD!p&amp;CP_HDKD!L by Profit #REF!</definedName>
    <definedName name="BEx3ED07Y3510OFGLVS6SAPEX39P" hidden="1">PCA Cube p&amp;L by Profit #REF!</definedName>
    <definedName name="BEx3EHNKG2H5BP2X3RRLN0FCBDEJ" localSheetId="18" hidden="1">PCA Cube CP_HDKD!p&amp;CP_HDKD!L by Profit #REF!</definedName>
    <definedName name="BEx3EHNKG2H5BP2X3RRLN0FCBDEJ" hidden="1">PCA Cube p&amp;L by Profit #REF!</definedName>
    <definedName name="BEx3ENY673TKTGB1K5WZTSO80U4K" localSheetId="18" hidden="1">Stat Key #REF!</definedName>
    <definedName name="BEx3ENY673TKTGB1K5WZTSO80U4K" hidden="1">Stat Key #REF!</definedName>
    <definedName name="BEx3H4NR0T5SCJ8VOXANA1078H75" localSheetId="18" hidden="1">Balance #REF!</definedName>
    <definedName name="BEx3H4NR0T5SCJ8VOXANA1078H75" hidden="1">Balance #REF!</definedName>
    <definedName name="BEx3I9V9K7AV41R3XRCFPR0HEKJR" localSheetId="18" hidden="1">Financials - Prior #REF!</definedName>
    <definedName name="BEx3I9V9K7AV41R3XRCFPR0HEKJR" hidden="1">Financials - Prior #REF!</definedName>
    <definedName name="BEx3IVWC7EINDQ48V0O28396VAI3" localSheetId="18" hidden="1">PCA Cube CP_HDKD!p&amp;CP_HDKD!L by Profit #REF!</definedName>
    <definedName name="BEx3IVWC7EINDQ48V0O28396VAI3" hidden="1">PCA Cube p&amp;L by Profit #REF!</definedName>
    <definedName name="BEx3JQGPUNHKC5QZPKHSA17GW5MH" hidden="1">#REF!</definedName>
    <definedName name="BEx3JXT6PCVNXT9E6X7QHXFHOFA1" localSheetId="18" hidden="1">Sales #REF!</definedName>
    <definedName name="BEx3JXT6PCVNXT9E6X7QHXFHOFA1" hidden="1">Sales #REF!</definedName>
    <definedName name="BEx3K5QZCYBUW93N75YYMKEQTEJO" localSheetId="18" hidden="1">Stat Key #REF!</definedName>
    <definedName name="BEx3K5QZCYBUW93N75YYMKEQTEJO" hidden="1">Stat Key #REF!</definedName>
    <definedName name="BEx3LJY7LDVGZJE3GJM9UCQQVY26" localSheetId="18" hidden="1">PCA Cube by GL #REF!</definedName>
    <definedName name="BEx3LJY7LDVGZJE3GJM9UCQQVY26" hidden="1">PCA Cube by GL #REF!</definedName>
    <definedName name="BEx3LOLD93FINK24XRLFOL4HRAVI" hidden="1">#N/A</definedName>
    <definedName name="BEx3M4S6AO494RHO7E4L2BGJ9AIM" localSheetId="18" hidden="1">Stat Key #REF!</definedName>
    <definedName name="BEx3M4S6AO494RHO7E4L2BGJ9AIM" hidden="1">Stat Key #REF!</definedName>
    <definedName name="BEx3OQL4PSEX5IVIXMHF0BWPXU98" hidden="1">#REF!</definedName>
    <definedName name="BEx3PB45HFPVC8AVRDYINNC63B1V" localSheetId="18" hidden="1">Sales #REF!</definedName>
    <definedName name="BEx3PB45HFPVC8AVRDYINNC63B1V" hidden="1">Sales #REF!</definedName>
    <definedName name="BEx3PNUMCJ6IVH0D91OTHJB15GLP" localSheetId="18" hidden="1">Financials - Prior #REF!</definedName>
    <definedName name="BEx3PNUMCJ6IVH0D91OTHJB15GLP" hidden="1">Financials - Prior #REF!</definedName>
    <definedName name="BEx3Q0LAP5OHFRYMOC1AKQTZCCA4" localSheetId="18" hidden="1">Stat Key #REF!</definedName>
    <definedName name="BEx3Q0LAP5OHFRYMOC1AKQTZCCA4" hidden="1">Stat Key #REF!</definedName>
    <definedName name="BEx3QH80CTCOTSUOC8UWB9OCYSI4" localSheetId="18" hidden="1">PCA Cube by GL #REF!</definedName>
    <definedName name="BEx3QH80CTCOTSUOC8UWB9OCYSI4" hidden="1">PCA Cube by GL #REF!</definedName>
    <definedName name="BEx3SGJT3YFDJV1E1UN555Y7K0WB" localSheetId="18" hidden="1">PCA Cube CP_HDKD!p&amp;CP_HDKD!L by Profit #REF!</definedName>
    <definedName name="BEx3SGJT3YFDJV1E1UN555Y7K0WB" hidden="1">PCA Cube p&amp;L by Profit #REF!</definedName>
    <definedName name="BEx3SO1JQMBS2OAF4BSQDBC83AOZ" localSheetId="18" hidden="1">Stat Key #REF!</definedName>
    <definedName name="BEx3SO1JQMBS2OAF4BSQDBC83AOZ" hidden="1">Stat Key #REF!</definedName>
    <definedName name="BEx3UAC0OE7PYA3ADF3TG5OT4BNE" localSheetId="18" hidden="1">FIGL Cube by GL #REF!</definedName>
    <definedName name="BEx3UAC0OE7PYA3ADF3TG5OT4BNE" hidden="1">FIGL Cube by GL #REF!</definedName>
    <definedName name="BEx59U5RVBS5J46R8I9DY8WCMEWI" localSheetId="18" hidden="1">Financials - Prior #REF!</definedName>
    <definedName name="BEx59U5RVBS5J46R8I9DY8WCMEWI" hidden="1">Financials - Prior #REF!</definedName>
    <definedName name="BEx5AMXKNUE35ZW6O5BL2OLSTESD" localSheetId="18" hidden="1">Stat Key #REF!</definedName>
    <definedName name="BEx5AMXKNUE35ZW6O5BL2OLSTESD" hidden="1">Stat Key #REF!</definedName>
    <definedName name="BEx5BGLS0KO7IMPMUIEM931K3AKN" localSheetId="18" hidden="1">PCA Cube CP_HDKD!p&amp;CP_HDKD!L by Profit #REF!</definedName>
    <definedName name="BEx5BGLS0KO7IMPMUIEM931K3AKN" hidden="1">PCA Cube p&amp;L by Profit #REF!</definedName>
    <definedName name="BEx5CFIMCLG1TE6EFY1LBTWI0V81" hidden="1">#REF!</definedName>
    <definedName name="BEx5D5547BZ9LLAL3SE06TM5693U" localSheetId="18" hidden="1">PCA Statkey by Profit #REF!</definedName>
    <definedName name="BEx5D5547BZ9LLAL3SE06TM5693U" hidden="1">PCA Statkey by Profit #REF!</definedName>
    <definedName name="BEx5EFG08IIV4F5N3THGOF52RJ90" localSheetId="18" hidden="1">Financials - Prior #REF!</definedName>
    <definedName name="BEx5EFG08IIV4F5N3THGOF52RJ90" hidden="1">Financials - Prior #REF!</definedName>
    <definedName name="BEx5ER4SJ4958AW3ODDWP5BMRGXY" localSheetId="18" hidden="1">PCA Cube by GL #REF!</definedName>
    <definedName name="BEx5ER4SJ4958AW3ODDWP5BMRGXY" hidden="1">PCA Cube by GL #REF!</definedName>
    <definedName name="BEx5ES6HA847TKZF3SQ5XS4BN7EG" localSheetId="18" hidden="1">Balance #REF!</definedName>
    <definedName name="BEx5ES6HA847TKZF3SQ5XS4BN7EG" hidden="1">Balance #REF!</definedName>
    <definedName name="BEx5FBTAF4QT6NJGCTWDYYTQEO8N" localSheetId="18" hidden="1">PCA Cube CP_HDKD!p&amp;CP_HDKD!L by Profit #REF!</definedName>
    <definedName name="BEx5FBTAF4QT6NJGCTWDYYTQEO8N" hidden="1">PCA Cube p&amp;L by Profit #REF!</definedName>
    <definedName name="BEx5FJAV0BUU8X6VYTC0L58UD9OV" localSheetId="18" hidden="1">Weekly KPI #REF!</definedName>
    <definedName name="BEx5FJAV0BUU8X6VYTC0L58UD9OV" hidden="1">Weekly KPI #REF!</definedName>
    <definedName name="BEx5GERRDTY9X3Q44PPT6D1YUFL2" localSheetId="18" hidden="1">Cost #REF!</definedName>
    <definedName name="BEx5GERRDTY9X3Q44PPT6D1YUFL2" hidden="1">Cost #REF!</definedName>
    <definedName name="BEx5GMEUJGIOG3KYY8B3E33TWIVR" localSheetId="18" hidden="1">Stat Key #REF!</definedName>
    <definedName name="BEx5GMEUJGIOG3KYY8B3E33TWIVR" hidden="1">Stat Key #REF!</definedName>
    <definedName name="BEx5J6KJCIA054X5JL5JAWMU96OO" localSheetId="18" hidden="1">PCA Cube CP_HDKD!p&amp;CP_HDKD!L by Profit #REF!</definedName>
    <definedName name="BEx5J6KJCIA054X5JL5JAWMU96OO" hidden="1">PCA Cube p&amp;L by Profit #REF!</definedName>
    <definedName name="BEx5J8DBXXXZ6VRAKQAE2E9QVMA8" localSheetId="18" hidden="1">Cost #REF!</definedName>
    <definedName name="BEx5J8DBXXXZ6VRAKQAE2E9QVMA8" hidden="1">Cost #REF!</definedName>
    <definedName name="BEx5JV5BXSE2Q18524NRNYDCR1LC" localSheetId="18" hidden="1">PCA Cube by GL #REF!</definedName>
    <definedName name="BEx5JV5BXSE2Q18524NRNYDCR1LC" hidden="1">PCA Cube by GL #REF!</definedName>
    <definedName name="BEx5KE128N1HKAP4N47Y8PJR1T2G" localSheetId="18" hidden="1">PCA Cube by GL #REF!</definedName>
    <definedName name="BEx5KE128N1HKAP4N47Y8PJR1T2G" hidden="1">PCA Cube by GL #REF!</definedName>
    <definedName name="BEx5KLTMAQLUVLLN257E6UIZWF7T" localSheetId="18" hidden="1">Cost #REF!</definedName>
    <definedName name="BEx5KLTMAQLUVLLN257E6UIZWF7T" hidden="1">Cost #REF!</definedName>
    <definedName name="BEx5MX4XIRZACIN5LFJK9ZZ2P4AW" localSheetId="18" hidden="1">Capital Employed by #REF!</definedName>
    <definedName name="BEx5MX4XIRZACIN5LFJK9ZZ2P4AW" hidden="1">Capital Employed by #REF!</definedName>
    <definedName name="BEx5N6FFDDHUQSZD7BV430M8PGQH" localSheetId="18" hidden="1">Sales #REF!</definedName>
    <definedName name="BEx5N6FFDDHUQSZD7BV430M8PGQH" hidden="1">Sales #REF!</definedName>
    <definedName name="BEx5NUUPIHRNABGUOI1EUZW555OF" localSheetId="18" hidden="1">Balance #REF!</definedName>
    <definedName name="BEx5NUUPIHRNABGUOI1EUZW555OF" hidden="1">Balance #REF!</definedName>
    <definedName name="BEx5ORTM4EHT1GX3DLQK9KKSZ8B6" hidden="1">#REF!</definedName>
    <definedName name="BEx5QE444SPS9G7IZUJVCHAG6A3V" localSheetId="18" hidden="1">Financials - Prior #REF!</definedName>
    <definedName name="BEx5QE444SPS9G7IZUJVCHAG6A3V" hidden="1">Financials - Prior #REF!</definedName>
    <definedName name="BEx74SKTSYZC4JAG10H9UDESMMRW" localSheetId="18" hidden="1">Capital Employed by #REF!</definedName>
    <definedName name="BEx74SKTSYZC4JAG10H9UDESMMRW" hidden="1">Capital Employed by #REF!</definedName>
    <definedName name="BEx74YKL4IIU7IK7XP77L6M7JI0Q" localSheetId="18" hidden="1">Stat Key #REF!</definedName>
    <definedName name="BEx74YKL4IIU7IK7XP77L6M7JI0Q" hidden="1">Stat Key #REF!</definedName>
    <definedName name="BEx75PZS2SRS5VQO2856WVJ2ND4N" hidden="1">#REF!</definedName>
    <definedName name="BEx7CUZHLKLYSFMRY3OOCSVE51D7" localSheetId="18" hidden="1">Balance #REF!</definedName>
    <definedName name="BEx7CUZHLKLYSFMRY3OOCSVE51D7" hidden="1">Balance #REF!</definedName>
    <definedName name="BEx7GAM670XF1O4W3PZBR256A1KB" localSheetId="18" hidden="1">Financials - Prior #REF!</definedName>
    <definedName name="BEx7GAM670XF1O4W3PZBR256A1KB" hidden="1">Financials - Prior #REF!</definedName>
    <definedName name="BEx7GD5RFH5LJBA29OXE029KVNEQ" localSheetId="18" hidden="1">Sales #REF!</definedName>
    <definedName name="BEx7GD5RFH5LJBA29OXE029KVNEQ" hidden="1">Sales #REF!</definedName>
    <definedName name="BEx7GF9ASYXFPZFDF2HY73LI1T8U" localSheetId="18" hidden="1">Stat Key #REF!</definedName>
    <definedName name="BEx7GF9ASYXFPZFDF2HY73LI1T8U" hidden="1">Stat Key #REF!</definedName>
    <definedName name="BEx7GOEBH2E3RXCT98T47ZPEO80Q" localSheetId="18" hidden="1">FIGL Cube by GL #REF!</definedName>
    <definedName name="BEx7GOEBH2E3RXCT98T47ZPEO80Q" hidden="1">FIGL Cube by GL #REF!</definedName>
    <definedName name="BEx7GQSSH3PR5IP3FRLS7PYKOCEF" localSheetId="18" hidden="1">Stat Key #REF!</definedName>
    <definedName name="BEx7GQSSH3PR5IP3FRLS7PYKOCEF" hidden="1">Stat Key #REF!</definedName>
    <definedName name="BEx7ILS21FECPFONXIJTIQKZTKLW" hidden="1">#REF!</definedName>
    <definedName name="BEx7IRXA68PSR3HIG5P092QHFUEJ" localSheetId="18" hidden="1">Sales #REF!</definedName>
    <definedName name="BEx7IRXA68PSR3HIG5P092QHFUEJ" hidden="1">Sales #REF!</definedName>
    <definedName name="BEx7ISDEIDZYDRAN2XHAC737BKR2" localSheetId="18" hidden="1">PCA Cube by GL #REF!</definedName>
    <definedName name="BEx7ISDEIDZYDRAN2XHAC737BKR2" hidden="1">PCA Cube by GL #REF!</definedName>
    <definedName name="BEx7JACSMSWCEH319HTJURJFTSFU" localSheetId="18" hidden="1">Sales #REF!</definedName>
    <definedName name="BEx7JACSMSWCEH319HTJURJFTSFU" hidden="1">Sales #REF!</definedName>
    <definedName name="BEx7JLQT0LEQAHLE5TM2VQD0K35L" localSheetId="18" hidden="1">PCA Statkey by Profit #REF!</definedName>
    <definedName name="BEx7JLQT0LEQAHLE5TM2VQD0K35L" hidden="1">PCA Statkey by Profit #REF!</definedName>
    <definedName name="BEx7JTDUPB0U500J1WN245YIKHQ8" localSheetId="18" hidden="1">Stat Key #REF!</definedName>
    <definedName name="BEx7JTDUPB0U500J1WN245YIKHQ8" hidden="1">Stat Key #REF!</definedName>
    <definedName name="BEx7L3E4OJ0F138WZF37W04MOQ2P" hidden="1">#REF!</definedName>
    <definedName name="BEx7L6OODY8K3FCLC1QXLO4GJ55Q" localSheetId="18" hidden="1">Sales #REF!</definedName>
    <definedName name="BEx7L6OODY8K3FCLC1QXLO4GJ55Q" hidden="1">Sales #REF!</definedName>
    <definedName name="BEx7L8HKUBYU2N2E2LTD2DT5MFHF" localSheetId="18" hidden="1">PCA Cube CP_HDKD!p&amp;CP_HDKD!L by Profit #REF!</definedName>
    <definedName name="BEx7L8HKUBYU2N2E2LTD2DT5MFHF" hidden="1">PCA Cube p&amp;L by Profit #REF!</definedName>
    <definedName name="BEx7MXXA3BL463VNO56IQVDCRNPN" localSheetId="18" hidden="1">Weekly KPI #REF!</definedName>
    <definedName name="BEx7MXXA3BL463VNO56IQVDCRNPN" hidden="1">Weekly KPI #REF!</definedName>
    <definedName name="BEx90TCXM07DCGKQ6PP94JDC2Q19" localSheetId="18" hidden="1">Balance #REF!</definedName>
    <definedName name="BEx90TCXM07DCGKQ6PP94JDC2Q19" hidden="1">Balance #REF!</definedName>
    <definedName name="BEx91IZEBCKBX8HJ4RKSH3T633VJ" hidden="1">#REF!</definedName>
    <definedName name="BEx95GFXYNFJ3Y9GQTA7TFRQA2E4" localSheetId="18" hidden="1">PCA Cube by GL #REF!</definedName>
    <definedName name="BEx95GFXYNFJ3Y9GQTA7TFRQA2E4" hidden="1">PCA Cube by GL #REF!</definedName>
    <definedName name="BEx95YVF5C5FIQ6DCNDO1Z0YV5L5" localSheetId="18" hidden="1">Stat Key #REF!</definedName>
    <definedName name="BEx95YVF5C5FIQ6DCNDO1Z0YV5L5" hidden="1">Stat Key #REF!</definedName>
    <definedName name="BEx98LVL90BE7D84NKILKAK2VC3C" localSheetId="18" hidden="1">Weekly KPI #REF!</definedName>
    <definedName name="BEx98LVL90BE7D84NKILKAK2VC3C" hidden="1">Weekly KPI #REF!</definedName>
    <definedName name="BEx98UKHG9IEZ5KQRJ1HIDLR4KPM" localSheetId="18" hidden="1">Weekly KPI #REF!</definedName>
    <definedName name="BEx98UKHG9IEZ5KQRJ1HIDLR4KPM" hidden="1">Weekly KPI #REF!</definedName>
    <definedName name="BEx9AGK81ZDMW90NRLEZPPPYGK85" localSheetId="18" hidden="1">PCA Cube CP_HDKD!p&amp;CP_HDKD!L by Profit #REF!</definedName>
    <definedName name="BEx9AGK81ZDMW90NRLEZPPPYGK85" hidden="1">PCA Cube p&amp;L by Profit #REF!</definedName>
    <definedName name="BEx9BQ9I8KH8D83AODG5JALDL2E7" localSheetId="18" hidden="1">Stat Key #REF!</definedName>
    <definedName name="BEx9BQ9I8KH8D83AODG5JALDL2E7" hidden="1">Stat Key #REF!</definedName>
    <definedName name="BEx9E9DF5T5I7NMUHUSIME47T0W9" localSheetId="18" hidden="1">Financials - Prior #REF!</definedName>
    <definedName name="BEx9E9DF5T5I7NMUHUSIME47T0W9" hidden="1">Financials - Prior #REF!</definedName>
    <definedName name="BEx9EZG3T2KCLLIB4RLF2PD1L1ON" localSheetId="18" hidden="1">Stat Key #REF!</definedName>
    <definedName name="BEx9EZG3T2KCLLIB4RLF2PD1L1ON" hidden="1">Stat Key #REF!</definedName>
    <definedName name="BEx9HLPDNKKEXIPVS0AUPB33LFD5" localSheetId="18" hidden="1">Weekly KPI #REF!</definedName>
    <definedName name="BEx9HLPDNKKEXIPVS0AUPB33LFD5" hidden="1">Weekly KPI #REF!</definedName>
    <definedName name="BExAWT39979Y5AA24PFVVBYP1HMZ" localSheetId="18" hidden="1">Stat Key #REF!</definedName>
    <definedName name="BExAWT39979Y5AA24PFVVBYP1HMZ" hidden="1">Stat Key #REF!</definedName>
    <definedName name="BExAYJKTLUY0WPMCGZ6VEFR34QX8" localSheetId="18" hidden="1">PCA Cube by GL #REF!</definedName>
    <definedName name="BExAYJKTLUY0WPMCGZ6VEFR34QX8" hidden="1">PCA Cube by GL #REF!</definedName>
    <definedName name="BExAZ3I9YZ0OK8AFUI0NCBLXXV4J" localSheetId="18" hidden="1">Sales #REF!</definedName>
    <definedName name="BExAZ3I9YZ0OK8AFUI0NCBLXXV4J" hidden="1">Sales #REF!</definedName>
    <definedName name="BExB3RXQJQWFF9P38YOLT3YH8K2V" hidden="1">#N/A</definedName>
    <definedName name="BExB4EF2VDTB15W5V70QXJ9D6HV4" localSheetId="18" hidden="1">Financials - Prior #REF!</definedName>
    <definedName name="BExB4EF2VDTB15W5V70QXJ9D6HV4" hidden="1">Financials - Prior #REF!</definedName>
    <definedName name="BExB4U5HIUN2URGEHB3DTZKVBLJD" localSheetId="18" hidden="1">Balance #REF!</definedName>
    <definedName name="BExB4U5HIUN2URGEHB3DTZKVBLJD" hidden="1">Balance #REF!</definedName>
    <definedName name="BExB5X44OCNWJP4O36LYGMK8F5CA" localSheetId="18" hidden="1">PCA Statkey by Profit #REF!</definedName>
    <definedName name="BExB5X44OCNWJP4O36LYGMK8F5CA" hidden="1">PCA Statkey by Profit #REF!</definedName>
    <definedName name="BExB6ZH0Y2AEYTL7T47BYDT3R076" localSheetId="18" hidden="1">Sales #REF!</definedName>
    <definedName name="BExB6ZH0Y2AEYTL7T47BYDT3R076" hidden="1">Sales #REF!</definedName>
    <definedName name="BExB7C26T16PEB9NLRFXZ0T4TPYF" localSheetId="18" hidden="1">PCA Cube by GL #REF!</definedName>
    <definedName name="BExB7C26T16PEB9NLRFXZ0T4TPYF" hidden="1">PCA Cube by GL #REF!</definedName>
    <definedName name="BExB8DTOQJ524TV47NBU6Y8JD2GI" localSheetId="18" hidden="1">PCA Cube by GL #REF!</definedName>
    <definedName name="BExB8DTOQJ524TV47NBU6Y8JD2GI" hidden="1">PCA Cube by GL #REF!</definedName>
    <definedName name="BExB8MYP3J72XV05LEBOSN79N2A5" localSheetId="18" hidden="1">Stat Key #REF!</definedName>
    <definedName name="BExB8MYP3J72XV05LEBOSN79N2A5" hidden="1">Stat Key #REF!</definedName>
    <definedName name="BExB98E3ML579Q3115RN6UQZGSSP" localSheetId="18" hidden="1">Stat Key #REF!</definedName>
    <definedName name="BExB98E3ML579Q3115RN6UQZGSSP" hidden="1">Stat Key #REF!</definedName>
    <definedName name="BExB9CVWJFW0MUU19819UW7LRTQY" localSheetId="18" hidden="1">Stat Key #REF!</definedName>
    <definedName name="BExB9CVWJFW0MUU19819UW7LRTQY" hidden="1">Stat Key #REF!</definedName>
    <definedName name="BExBDUVH9P5ULH37Y490M42FU90B" localSheetId="18" hidden="1">Capital Employed by #REF!</definedName>
    <definedName name="BExBDUVH9P5ULH37Y490M42FU90B" hidden="1">Capital Employed by #REF!</definedName>
    <definedName name="BExBDUVI8WKP7VR3QQ9N3GNZZTOY" localSheetId="18" hidden="1">PCA Cube by GL #REF!</definedName>
    <definedName name="BExBDUVI8WKP7VR3QQ9N3GNZZTOY" hidden="1">PCA Cube by GL #REF!</definedName>
    <definedName name="BExBDVH265L20RMCRHU53QZSX59U" localSheetId="18" hidden="1">PCA Cube CP_HDKD!p&amp;CP_HDKD!L by Profit #REF!</definedName>
    <definedName name="BExBDVH265L20RMCRHU53QZSX59U" hidden="1">PCA Cube p&amp;L by Profit #REF!</definedName>
    <definedName name="BExBFEX5D46PCLOYGE3LIRP0XFCY" localSheetId="18" hidden="1">Financials - Prior #REF!</definedName>
    <definedName name="BExBFEX5D46PCLOYGE3LIRP0XFCY" hidden="1">Financials - Prior #REF!</definedName>
    <definedName name="BExCR8MKLBRQR3OOXIXDOPQ5RL51" localSheetId="18" hidden="1">PCA Cube by GL #REF!</definedName>
    <definedName name="BExCR8MKLBRQR3OOXIXDOPQ5RL51" hidden="1">PCA Cube by GL #REF!</definedName>
    <definedName name="BExCTRQMA5QTJWBTMAIF02X65KFL" hidden="1">#REF!</definedName>
    <definedName name="BExCWEFZQZKE3EGZ431OSFC5V89X" localSheetId="18" hidden="1">Sales #REF!</definedName>
    <definedName name="BExCWEFZQZKE3EGZ431OSFC5V89X" hidden="1">Sales #REF!</definedName>
    <definedName name="BExCZIOHH6HLTNXB3BSBMS5FCSWB" hidden="1">#REF!</definedName>
    <definedName name="BExD0SZETQ9D8L07D9IPYERRR6EB" localSheetId="18" hidden="1">Cost #REF!</definedName>
    <definedName name="BExD0SZETQ9D8L07D9IPYERRR6EB" hidden="1">Cost #REF!</definedName>
    <definedName name="BExD100V2KDX02260SX6RAU9M49A" localSheetId="18" hidden="1">PCA Cube by GL #REF!</definedName>
    <definedName name="BExD100V2KDX02260SX6RAU9M49A" hidden="1">PCA Cube by GL #REF!</definedName>
    <definedName name="BExD1H3V8J5G7ZQ8W42YG966T8X3" localSheetId="18" hidden="1">Stat Key #REF!</definedName>
    <definedName name="BExD1H3V8J5G7ZQ8W42YG966T8X3" hidden="1">Stat Key #REF!</definedName>
    <definedName name="BExD3F36SC53CN1I0ALAWVG2Q2C0" localSheetId="18" hidden="1">PCA Cube CP_HDKD!p&amp;CP_HDKD!L by Profit #REF!</definedName>
    <definedName name="BExD3F36SC53CN1I0ALAWVG2Q2C0" hidden="1">PCA Cube p&amp;L by Profit #REF!</definedName>
    <definedName name="BExD40TC263V86N8T32313B7CSVI" hidden="1">#REF!</definedName>
    <definedName name="BExD4YJ90IOKGKY63A956CEHCRTS" localSheetId="18" hidden="1">PCA Cube CP_HDKD!p&amp;CP_HDKD!L by Profit #REF!</definedName>
    <definedName name="BExD4YJ90IOKGKY63A956CEHCRTS" hidden="1">PCA Cube p&amp;L by Profit #REF!</definedName>
    <definedName name="BExD7SFEC2PLDP11NDRQ1KCKH6US" localSheetId="18" hidden="1">Cost #REF!</definedName>
    <definedName name="BExD7SFEC2PLDP11NDRQ1KCKH6US" hidden="1">Cost #REF!</definedName>
    <definedName name="BExD7XOB5TE739KCQP0PUQ43WWN4" localSheetId="18" hidden="1">Stat Key #REF!</definedName>
    <definedName name="BExD7XOB5TE739KCQP0PUQ43WWN4" hidden="1">Stat Key #REF!</definedName>
    <definedName name="BExD7Y4JV1OPZGH3FWV1822HFBB9" hidden="1">#REF!</definedName>
    <definedName name="BExD8USH7IU9B2V43300KD112P0A" hidden="1">#REF!</definedName>
    <definedName name="BExD8YZJ4MYT4VO8ZQEJP659N73O" hidden="1">#N/A</definedName>
    <definedName name="BExDBR8LGPOXB54PGZNEVPVTDH2N" localSheetId="18" hidden="1">PCA Statkey by Profit #REF!</definedName>
    <definedName name="BExDBR8LGPOXB54PGZNEVPVTDH2N" hidden="1">PCA Statkey by Profit #REF!</definedName>
    <definedName name="BExEONB3COV8354HQ3FDFFPSASSJ" localSheetId="18" hidden="1">PCA #REF!</definedName>
    <definedName name="BExEONB3COV8354HQ3FDFFPSASSJ" hidden="1">PCA #REF!</definedName>
    <definedName name="BExEQ1YJURXDM3G2MQQ9CMKIOKMF" localSheetId="18" hidden="1">PCA Statkey by Profit #REF!</definedName>
    <definedName name="BExEQ1YJURXDM3G2MQQ9CMKIOKMF" hidden="1">PCA Statkey by Profit #REF!</definedName>
    <definedName name="BExEQ83O7F0XKVM0KW9IL94RQ6UC" localSheetId="18" hidden="1">Stat Key #REF!</definedName>
    <definedName name="BExEQ83O7F0XKVM0KW9IL94RQ6UC" hidden="1">Stat Key #REF!</definedName>
    <definedName name="BExERTXWZ5WXAQZ3LBLD33ZCL7G4" localSheetId="18" hidden="1">Stat Key #REF!</definedName>
    <definedName name="BExERTXWZ5WXAQZ3LBLD33ZCL7G4" hidden="1">Stat Key #REF!</definedName>
    <definedName name="BExET6HUONZASBKI139PVWEUZPB2" localSheetId="18" hidden="1">PCA Cube CP_HDKD!p&amp;CP_HDKD!L by Profit #REF!</definedName>
    <definedName name="BExET6HUONZASBKI139PVWEUZPB2" hidden="1">PCA Cube p&amp;L by Profit #REF!</definedName>
    <definedName name="BExET7ZSMHYP44PZT75DYQSJ9TI1" localSheetId="18" hidden="1">PCA Cube CP_HDKD!p&amp;CP_HDKD!L by Profit #REF!</definedName>
    <definedName name="BExET7ZSMHYP44PZT75DYQSJ9TI1" hidden="1">PCA Cube p&amp;L by Profit #REF!</definedName>
    <definedName name="BExEV7BKBG3S8NZE1FWODTIENBLV" localSheetId="18" hidden="1">PCA Cube CP_HDKD!p&amp;CP_HDKD!L by Profit #REF!</definedName>
    <definedName name="BExEV7BKBG3S8NZE1FWODTIENBLV" hidden="1">PCA Cube p&amp;L by Profit #REF!</definedName>
    <definedName name="BExEX502RRLC2R9T8K1KFLZ4NVQ2" localSheetId="18" hidden="1">Balance #REF!</definedName>
    <definedName name="BExEX502RRLC2R9T8K1KFLZ4NVQ2" hidden="1">Balance #REF!</definedName>
    <definedName name="BExEXDU94UM4G7VT8AE3HEFP6DU1" hidden="1">#REF!</definedName>
    <definedName name="BExEXG3AL9XN1XRU4N3N2D5B3LWA" localSheetId="18" hidden="1">PCA Cube by GL #REF!</definedName>
    <definedName name="BExEXG3AL9XN1XRU4N3N2D5B3LWA" hidden="1">PCA Cube by GL #REF!</definedName>
    <definedName name="BExEY4D8LXWV4OT4D70LHA9D5VR0" hidden="1">#REF!</definedName>
    <definedName name="BExEYY6QIKZ1YQG2PLBK2X5I1AAX" hidden="1">#REF!</definedName>
    <definedName name="BExF0U2GXQJK47H6TDKGLY3Q4PO2" localSheetId="18" hidden="1">Sales #REF!</definedName>
    <definedName name="BExF0U2GXQJK47H6TDKGLY3Q4PO2" hidden="1">Sales #REF!</definedName>
    <definedName name="BExF119FS2J0CPH4NFUNH5Y6P4FF" localSheetId="18" hidden="1">Balance #REF!</definedName>
    <definedName name="BExF119FS2J0CPH4NFUNH5Y6P4FF" hidden="1">Balance #REF!</definedName>
    <definedName name="BExF167J5IVFMPC6NH0BT3H15OMT" hidden="1">#REF!</definedName>
    <definedName name="BExF1B5H7JJXUQJT6640GYZ0YCKB" hidden="1">#REF!</definedName>
    <definedName name="BExF1LSFOKCET8J203M349ADI245" hidden="1">#REF!</definedName>
    <definedName name="BExF3EZ5CQ40RBW8SBWAU3WK1QIY" localSheetId="18" hidden="1">PCA Cube CP_HDKD!p&amp;CP_HDKD!L by Profit #REF!</definedName>
    <definedName name="BExF3EZ5CQ40RBW8SBWAU3WK1QIY" hidden="1">PCA Cube p&amp;L by Profit #REF!</definedName>
    <definedName name="BExF3R9HQJXI2QYZO69WUUZM0IO2" localSheetId="18" hidden="1">Stat Key #REF!</definedName>
    <definedName name="BExF3R9HQJXI2QYZO69WUUZM0IO2" hidden="1">Stat Key #REF!</definedName>
    <definedName name="BExF63XCVV3VCBTZKIX9VOFI9L2T" localSheetId="18" hidden="1">Stat Key #REF!</definedName>
    <definedName name="BExF63XCVV3VCBTZKIX9VOFI9L2T" hidden="1">Stat Key #REF!</definedName>
    <definedName name="BExF672Q0SYU6F0WP3ICHQPCHNA1" localSheetId="18" hidden="1">PCA Cube CP_HDKD!p&amp;CP_HDKD!L by Profit #REF!</definedName>
    <definedName name="BExF672Q0SYU6F0WP3ICHQPCHNA1" hidden="1">PCA Cube p&amp;L by Profit #REF!</definedName>
    <definedName name="BExF6XG700ZEDCFQ4N4H8YHH0EUU" localSheetId="18" hidden="1">Financials - Prior #REF!</definedName>
    <definedName name="BExF6XG700ZEDCFQ4N4H8YHH0EUU" hidden="1">Financials - Prior #REF!</definedName>
    <definedName name="BExGMUWRYY9FD768A7OKO9R3TUV7" localSheetId="18" hidden="1">Cost #REF!</definedName>
    <definedName name="BExGMUWRYY9FD768A7OKO9R3TUV7" hidden="1">Cost #REF!</definedName>
    <definedName name="BExGOUE0MAIDUPVG2L9FHMU1OMDW" localSheetId="18" hidden="1">PCA Statkey by Profit #REF!</definedName>
    <definedName name="BExGOUE0MAIDUPVG2L9FHMU1OMDW" hidden="1">PCA Statkey by Profit #REF!</definedName>
    <definedName name="BExGPEM8FSBRJ9YC38L921J2QPBM" localSheetId="18" hidden="1">Cost #REF!</definedName>
    <definedName name="BExGPEM8FSBRJ9YC38L921J2QPBM" hidden="1">Cost #REF!</definedName>
    <definedName name="BExGR3GJ2J7JT513SH5SFWS8EG01" hidden="1">#REF!</definedName>
    <definedName name="BExGR6WIJ1AEWSBRYZOEQR1Q5D8G" localSheetId="18" hidden="1">Cost #REF!</definedName>
    <definedName name="BExGR6WIJ1AEWSBRYZOEQR1Q5D8G" hidden="1">Cost #REF!</definedName>
    <definedName name="BExGRJN66HDRNCDXECTL3VFCZC7V" hidden="1">#REF!</definedName>
    <definedName name="BExGRS13C78QW8PP32XPH1R36BS7" localSheetId="18" hidden="1">Stat Key #REF!</definedName>
    <definedName name="BExGRS13C78QW8PP32XPH1R36BS7" hidden="1">Stat Key #REF!</definedName>
    <definedName name="BExGSTHUYA7PLEZLLYPEYLRVR8WQ" hidden="1">#REF!</definedName>
    <definedName name="BExGSZN350NLNPMM3PF4NVOIHQ2M" hidden="1">#REF!</definedName>
    <definedName name="BExGT8MM7OF2WAT62BFOO6PSZ4BS" localSheetId="18" hidden="1">Stat Key #REF!</definedName>
    <definedName name="BExGT8MM7OF2WAT62BFOO6PSZ4BS" hidden="1">Stat Key #REF!</definedName>
    <definedName name="BExGVRVYUAGJE4XBXCIP234YOEEN" hidden="1">#REF!</definedName>
    <definedName name="BExGVVS9C37L3ZLL7SRQ7BKXI96S" hidden="1">#REF!</definedName>
    <definedName name="BExGWWCL9UGTUX7UOVXJ5CSCBYRH" localSheetId="18" hidden="1">PCA Cube by GL #REF!</definedName>
    <definedName name="BExGWWCL9UGTUX7UOVXJ5CSCBYRH" hidden="1">PCA Cube by GL #REF!</definedName>
    <definedName name="BExGYCHTNVBQVYQH2N0QTPE7T8OG" localSheetId="18" hidden="1">Stat Key #REF!</definedName>
    <definedName name="BExGYCHTNVBQVYQH2N0QTPE7T8OG" hidden="1">Stat Key #REF!</definedName>
    <definedName name="BExH1AFWIKSFJ3RAOD3LW97VG3H8" localSheetId="18" hidden="1">Capital Employed by #REF!</definedName>
    <definedName name="BExH1AFWIKSFJ3RAOD3LW97VG3H8" hidden="1">Capital Employed by #REF!</definedName>
    <definedName name="BExH2NFXK60U3SINULU4W2ZUNAQK" localSheetId="18" hidden="1">Weekly KPI #REF!</definedName>
    <definedName name="BExH2NFXK60U3SINULU4W2ZUNAQK" hidden="1">Weekly KPI #REF!</definedName>
    <definedName name="BExIGPMA5RFMGW7NCQIXIE6MI6PO" localSheetId="18" hidden="1">Financials - Prior #REF!</definedName>
    <definedName name="BExIGPMA5RFMGW7NCQIXIE6MI6PO" hidden="1">Financials - Prior #REF!</definedName>
    <definedName name="BExIGQIMVM7H9K4O0GJU41UXB6W9" localSheetId="18" hidden="1">Balance #REF!</definedName>
    <definedName name="BExIGQIMVM7H9K4O0GJU41UXB6W9" hidden="1">Balance #REF!</definedName>
    <definedName name="BExIHBSPOASFNMHXALY97HXPFWRI" localSheetId="18" hidden="1">Cost #REF!</definedName>
    <definedName name="BExIHBSPOASFNMHXALY97HXPFWRI" hidden="1">Cost #REF!</definedName>
    <definedName name="BExIHVA1SW6RRMN5JPNAVXI0550D" hidden="1">#REF!</definedName>
    <definedName name="BExIIVU7W0FS55INPOVT9FBQN25Y" hidden="1">#REF!</definedName>
    <definedName name="BExIK5UI6JIGT9HWA701WVWJEWRO" hidden="1">#REF!</definedName>
    <definedName name="BExIL40DT0ICZ1ZM0K91EQ6IM2K8" localSheetId="18" hidden="1">Balance #REF!</definedName>
    <definedName name="BExIL40DT0ICZ1ZM0K91EQ6IM2K8" hidden="1">Balance #REF!</definedName>
    <definedName name="BExIL45T8ZWP0ZW7RAZN29UQY8E1" localSheetId="18" hidden="1">PCA Cube CP_HDKD!p&amp;CP_HDKD!L by Profit #REF!</definedName>
    <definedName name="BExIL45T8ZWP0ZW7RAZN29UQY8E1" hidden="1">PCA Cube p&amp;L by Profit #REF!</definedName>
    <definedName name="BExILKHTB9RASA7HFQP7LNO2RN75" hidden="1">#REF!</definedName>
    <definedName name="BExINA2ZJAI3K13AVJQ0MEFD2L3A" localSheetId="18" hidden="1">PCA Cube by GL #REF!</definedName>
    <definedName name="BExINA2ZJAI3K13AVJQ0MEFD2L3A" hidden="1">PCA Cube by GL #REF!</definedName>
    <definedName name="BExIR9MWCUXQ1PIKTDU2NUO7UC80" localSheetId="18" hidden="1">Cost #REF!</definedName>
    <definedName name="BExIR9MWCUXQ1PIKTDU2NUO7UC80" hidden="1">Cost #REF!</definedName>
    <definedName name="BExIUK65KO7S29CXSM6P78HK4M3Z" localSheetId="18" hidden="1">Capital Employed by #REF!</definedName>
    <definedName name="BExIUK65KO7S29CXSM6P78HK4M3Z" hidden="1">Capital Employed by #REF!</definedName>
    <definedName name="BExIVYYW1JLDAL99IF5QX9PDTHTB" localSheetId="18" hidden="1">Stat Key #REF!</definedName>
    <definedName name="BExIVYYW1JLDAL99IF5QX9PDTHTB" hidden="1">Stat Key #REF!</definedName>
    <definedName name="BExIX3VKLG2AWYKL6FRNC413JZE6" localSheetId="18" hidden="1">Key #REF!</definedName>
    <definedName name="BExIX3VKLG2AWYKL6FRNC413JZE6" hidden="1">Key #REF!</definedName>
    <definedName name="BExIX8O8CXY11R936FG8KYYER3L4" localSheetId="18" hidden="1">Stat Key #REF!</definedName>
    <definedName name="BExIX8O8CXY11R936FG8KYYER3L4" hidden="1">Stat Key #REF!</definedName>
    <definedName name="BExIYQ649L046KGPY1VOY71Y2V7S" localSheetId="18" hidden="1">Stat Key #REF!</definedName>
    <definedName name="BExIYQ649L046KGPY1VOY71Y2V7S" hidden="1">Stat Key #REF!</definedName>
    <definedName name="BExKDLF2U62TRMTNRIKVFEBVYVTK" localSheetId="18" hidden="1">Sales #REF!</definedName>
    <definedName name="BExKDLF2U62TRMTNRIKVFEBVYVTK" hidden="1">Sales #REF!</definedName>
    <definedName name="BExKDPBBMAXPZ8NX9NE8FZGX8IE9" localSheetId="18" hidden="1">Stat Key #REF!</definedName>
    <definedName name="BExKDPBBMAXPZ8NX9NE8FZGX8IE9" hidden="1">Stat Key #REF!</definedName>
    <definedName name="BExKE0JUTDRN1NSSNCGPCG9EVICK" hidden="1">#REF!</definedName>
    <definedName name="BExKECOX4DBSYAP2ZWVB0ESMWSYA" localSheetId="18" hidden="1">Stat Key #REF!</definedName>
    <definedName name="BExKECOX4DBSYAP2ZWVB0ESMWSYA" hidden="1">Stat Key #REF!</definedName>
    <definedName name="BExKF19O6TAMRAWIRQ6KO114CC7O" localSheetId="18" hidden="1">PCA Cube CP_HDKD!p&amp;CP_HDKD!L by Profit #REF!</definedName>
    <definedName name="BExKF19O6TAMRAWIRQ6KO114CC7O" hidden="1">PCA Cube p&amp;L by Profit #REF!</definedName>
    <definedName name="BExKG3117T9OGHNZYM5TWVT2O749" hidden="1">#REF!</definedName>
    <definedName name="BExKGM27MBY48XBQMU4JNZQNME80" localSheetId="18" hidden="1">PCA Cube by GL #REF!</definedName>
    <definedName name="BExKGM27MBY48XBQMU4JNZQNME80" hidden="1">PCA Cube by GL #REF!</definedName>
    <definedName name="BExKHQYXS21HEZH2DL0ZU0QE2V6Z" localSheetId="18" hidden="1">PCA Cube by GL #REF!</definedName>
    <definedName name="BExKHQYXS21HEZH2DL0ZU0QE2V6Z" hidden="1">PCA Cube by GL #REF!</definedName>
    <definedName name="BExKI9EEPZTM6U2D5OBZPRG884HA" localSheetId="18" hidden="1">Sales #REF!</definedName>
    <definedName name="BExKI9EEPZTM6U2D5OBZPRG884HA" hidden="1">Sales #REF!</definedName>
    <definedName name="BExKIAWD36UHGXPQ0KKBHDEHMV5J" localSheetId="18" hidden="1">Stat Key #REF!</definedName>
    <definedName name="BExKIAWD36UHGXPQ0KKBHDEHMV5J" hidden="1">Stat Key #REF!</definedName>
    <definedName name="BExKIJ4ZUBYQC8MU45JASNIDW3XI" localSheetId="18" hidden="1">PCA Cube by GL #REF!</definedName>
    <definedName name="BExKIJ4ZUBYQC8MU45JASNIDW3XI" hidden="1">PCA Cube by GL #REF!</definedName>
    <definedName name="BExKIRTXENVJFE7BJ390OAE8R7VC" localSheetId="18" hidden="1">Sales #REF!</definedName>
    <definedName name="BExKIRTXENVJFE7BJ390OAE8R7VC" hidden="1">Sales #REF!</definedName>
    <definedName name="BExKJTAMFXIL5ADOWR2UTEUC5RVU" hidden="1">#REF!</definedName>
    <definedName name="BExKJWL8ZTB1YT80642N50U2Y3LL" localSheetId="18" hidden="1">Balance #REF!</definedName>
    <definedName name="BExKJWL8ZTB1YT80642N50U2Y3LL" hidden="1">Balance #REF!</definedName>
    <definedName name="BExKLVRQPZ3N3XF8B5Q2YH020987" localSheetId="18" hidden="1">PCA Statkey by Profit #REF!</definedName>
    <definedName name="BExKLVRQPZ3N3XF8B5Q2YH020987" hidden="1">PCA Statkey by Profit #REF!</definedName>
    <definedName name="BExKM4RGD3CGUJFQNJUZ7Q96O05Y" hidden="1">#REF!</definedName>
    <definedName name="BExKMHSP877O7I6KOFVXM1HJNBDV" localSheetId="18" hidden="1">Sales #REF!</definedName>
    <definedName name="BExKMHSP877O7I6KOFVXM1HJNBDV" hidden="1">Sales #REF!</definedName>
    <definedName name="BExKMNCE13MSXS7EG410J9UXQAIH" hidden="1">#REF!</definedName>
    <definedName name="BExKOIBTNYKNKGR3OGA2X8QSS2RH" localSheetId="18" hidden="1">Stat Key #REF!</definedName>
    <definedName name="BExKOIBTNYKNKGR3OGA2X8QSS2RH" hidden="1">Stat Key #REF!</definedName>
    <definedName name="BExKPJSBI5I90YRJINAJQ1HI34PJ" localSheetId="18" hidden="1">Sales #REF!</definedName>
    <definedName name="BExKPJSBI5I90YRJINAJQ1HI34PJ" hidden="1">Sales #REF!</definedName>
    <definedName name="BExKQF3SP26XO6QF1A45F90F8SD5" localSheetId="18" hidden="1">FIGL Cube by GL #REF!</definedName>
    <definedName name="BExKQF3SP26XO6QF1A45F90F8SD5" hidden="1">FIGL Cube by GL #REF!</definedName>
    <definedName name="BExKR8RXMB5W6PISG5ZO0TX3PID9" localSheetId="18" hidden="1">PCA Cube by GL #REF!</definedName>
    <definedName name="BExKR8RXMB5W6PISG5ZO0TX3PID9" hidden="1">PCA Cube by GL #REF!</definedName>
    <definedName name="BExKRN0EFS84I0I7AYPWUTJGLPMF" localSheetId="18" hidden="1">FIGL Cube by #REF!</definedName>
    <definedName name="BExKRN0EFS84I0I7AYPWUTJGLPMF" hidden="1">FIGL Cube by #REF!</definedName>
    <definedName name="BExKRRNOR173VF56DHGQF6N3MTYT" localSheetId="18" hidden="1">Weekly KPI #REF!</definedName>
    <definedName name="BExKRRNOR173VF56DHGQF6N3MTYT" hidden="1">Weekly KPI #REF!</definedName>
    <definedName name="BExKS73AQDK5K1XQWFCOZ0M3A7OB" localSheetId="18" hidden="1">Weekly KPI #REF!</definedName>
    <definedName name="BExKS73AQDK5K1XQWFCOZ0M3A7OB" hidden="1">Weekly KPI #REF!</definedName>
    <definedName name="BExMA1XLXACJ4KOUL1BYSGGDSWJ7" localSheetId="18" hidden="1">Sales #REF!</definedName>
    <definedName name="BExMA1XLXACJ4KOUL1BYSGGDSWJ7" hidden="1">Sales #REF!</definedName>
    <definedName name="BExMBXTCJWRDKUDFMGVSAG2JY3AL" localSheetId="18" hidden="1">PCA Cube CP_HDKD!p&amp;CP_HDKD!L by Profit #REF!</definedName>
    <definedName name="BExMBXTCJWRDKUDFMGVSAG2JY3AL" hidden="1">PCA Cube p&amp;L by Profit #REF!</definedName>
    <definedName name="BExMEI9VYN2ZWFZZEEA2GC1V4DHB" localSheetId="18" hidden="1">PCA Cube CP_HDKD!p&amp;CP_HDKD!L by Profit #REF!</definedName>
    <definedName name="BExMEI9VYN2ZWFZZEEA2GC1V4DHB" hidden="1">PCA Cube p&amp;L by Profit #REF!</definedName>
    <definedName name="BExMGPOZ3XOWWQVHAF6CV49QNPR8" localSheetId="18" hidden="1">Cost #REF!</definedName>
    <definedName name="BExMGPOZ3XOWWQVHAF6CV49QNPR8" hidden="1">Cost #REF!</definedName>
    <definedName name="BExMGYJ7MH0DIHR8TXYRA8B3PDRP" localSheetId="18" hidden="1">PCA Statkey by Profit #REF!</definedName>
    <definedName name="BExMGYJ7MH0DIHR8TXYRA8B3PDRP" hidden="1">PCA Statkey by Profit #REF!</definedName>
    <definedName name="BExMJMQNADK5M1Q5P5HWM6FR96L1" hidden="1">#N/A</definedName>
    <definedName name="BExMKYE2KPVOP1LF57NR2CR773G9" localSheetId="18" hidden="1">PCA Statkey by Profit #REF!</definedName>
    <definedName name="BExMKYE2KPVOP1LF57NR2CR773G9" hidden="1">PCA Statkey by Profit #REF!</definedName>
    <definedName name="BExMNH74ODSOVQYX4NW9ZEFQYAOG" hidden="1">#N/A</definedName>
    <definedName name="BExMNKY372BF1TQR0UPE2RC4UCTW" hidden="1">#REF!</definedName>
    <definedName name="BExMNXJ8A2Y7C41KDKE6J6G3T4UT" hidden="1">#REF!</definedName>
    <definedName name="BExMOGV4ZZ0UBPQMQKEZSMQ88CF7" localSheetId="18" hidden="1">Stat Key #REF!</definedName>
    <definedName name="BExMOGV4ZZ0UBPQMQKEZSMQ88CF7" hidden="1">Stat Key #REF!</definedName>
    <definedName name="BExMP0N86NIZFKRJDNP7C6UYQQ33" localSheetId="18" hidden="1">PCA Cube CP_HDKD!p&amp;CP_HDKD!L by Profit #REF!</definedName>
    <definedName name="BExMP0N86NIZFKRJDNP7C6UYQQ33" hidden="1">PCA Cube p&amp;L by Profit #REF!</definedName>
    <definedName name="BExMQ3064BKW2P7MDOXE14Z9K934" localSheetId="18" hidden="1">Stat Key #REF!</definedName>
    <definedName name="BExMQ3064BKW2P7MDOXE14Z9K934" hidden="1">Stat Key #REF!</definedName>
    <definedName name="BExMR0PW02U9CZ2O0FBH1C0BNZVH" localSheetId="18" hidden="1">Balance #REF!</definedName>
    <definedName name="BExMR0PW02U9CZ2O0FBH1C0BNZVH" hidden="1">Balance #REF!</definedName>
    <definedName name="BExO52QYQ356W5G1NDL32BOCQJAN" localSheetId="18" hidden="1">Stat Key #REF!</definedName>
    <definedName name="BExO52QYQ356W5G1NDL32BOCQJAN" hidden="1">Stat Key #REF!</definedName>
    <definedName name="BExO5IXMMEXD2S31P2U52ZPOQZ4O" hidden="1">#N/A</definedName>
    <definedName name="BExO6YHE8J2RBJ4MS0Q0HKALTCAY" hidden="1">#REF!</definedName>
    <definedName name="BExO7QSYD3JFH403WI5PF9WOL7EE" hidden="1">#REF!</definedName>
    <definedName name="BExODHLHVO1YU6AYVWHRM4FYEEVY" localSheetId="18" hidden="1">PCA Cube CP_HDKD!p&amp;CP_HDKD!L by Profit #REF!</definedName>
    <definedName name="BExODHLHVO1YU6AYVWHRM4FYEEVY" hidden="1">PCA Cube p&amp;L by Profit #REF!</definedName>
    <definedName name="BExODN574ZY9WR1DA9A20NWT5DII" localSheetId="18" hidden="1">Stat Key #REF!</definedName>
    <definedName name="BExODN574ZY9WR1DA9A20NWT5DII" hidden="1">Stat Key #REF!</definedName>
    <definedName name="BExOE84AZZFLSQADBHEEEZIH8K1Z" hidden="1">#REF!</definedName>
    <definedName name="BExOFYGJZXCI5V7XGINBWQUBCZA1" hidden="1">#REF!</definedName>
    <definedName name="BExOG10543ZEP1FNQ54NMZ43NOVL" localSheetId="18" hidden="1">Financials - Prior #REF!</definedName>
    <definedName name="BExOG10543ZEP1FNQ54NMZ43NOVL" hidden="1">Financials - Prior #REF!</definedName>
    <definedName name="BExOGCZQIMJ15O110UMJ429J8NJ6" localSheetId="18" hidden="1">PCA Statkey by Profit #REF!</definedName>
    <definedName name="BExOGCZQIMJ15O110UMJ429J8NJ6" hidden="1">PCA Statkey by Profit #REF!</definedName>
    <definedName name="BExOGF3B1ARXFO58WUY4IFY0AXLC" localSheetId="18" hidden="1">Sales #REF!</definedName>
    <definedName name="BExOGF3B1ARXFO58WUY4IFY0AXLC" hidden="1">Sales #REF!</definedName>
    <definedName name="BExOJA6RWS2RHN3VUF7J6ZZ39UD4" hidden="1">#REF!</definedName>
    <definedName name="BExOJYM1Z4IRYTWQNOG17KT4QK81" localSheetId="18" hidden="1">PCA Cube CP_HDKD!p&amp;CP_HDKD!L by Profit #REF!</definedName>
    <definedName name="BExOJYM1Z4IRYTWQNOG17KT4QK81" hidden="1">PCA Cube p&amp;L by Profit #REF!</definedName>
    <definedName name="BExOL9YTG4YQZTP6MT0CZNLW8RBD" localSheetId="18" hidden="1">PCA Cube by GL #REF!</definedName>
    <definedName name="BExOL9YTG4YQZTP6MT0CZNLW8RBD" hidden="1">PCA Cube by GL #REF!</definedName>
    <definedName name="BExOLQ5H62AOJN7UVX4P9LS775UD" localSheetId="18" hidden="1">Sales #REF!</definedName>
    <definedName name="BExOLQ5H62AOJN7UVX4P9LS775UD" hidden="1">Sales #REF!</definedName>
    <definedName name="BExOLW58M3412DQ65KPYOXFTGZGU" localSheetId="18" hidden="1">FIGL Cube by #REF!</definedName>
    <definedName name="BExOLW58M3412DQ65KPYOXFTGZGU" hidden="1">FIGL Cube by #REF!</definedName>
    <definedName name="BExOMFMD8Q4IGC2FQTY2E1RAM9L1" localSheetId="18" hidden="1">Capital Employed by #REF!</definedName>
    <definedName name="BExOMFMD8Q4IGC2FQTY2E1RAM9L1" hidden="1">Capital Employed by #REF!</definedName>
    <definedName name="BExOMQPLQ4QV7LH4TY39L3DQ89LN" localSheetId="18" hidden="1">PCA Statkey by Profit #REF!</definedName>
    <definedName name="BExOMQPLQ4QV7LH4TY39L3DQ89LN" hidden="1">PCA Statkey by Profit #REF!</definedName>
    <definedName name="BExOP2S1SZGWLB974U2XAF13E3LV" localSheetId="18" hidden="1">Balance #REF!</definedName>
    <definedName name="BExOP2S1SZGWLB974U2XAF13E3LV" hidden="1">Balance #REF!</definedName>
    <definedName name="BExQ1UNGS02XPGD4NEUUXBFJ6BWQ" hidden="1">#REF!</definedName>
    <definedName name="BExQ3EP3QNZR8672MQBASJBZCARC" localSheetId="18" hidden="1">PCA Cube by GL #REF!</definedName>
    <definedName name="BExQ3EP3QNZR8672MQBASJBZCARC" hidden="1">PCA Cube by GL #REF!</definedName>
    <definedName name="BExQ5JKMBENT3F5QZL1VAMK72OOM" localSheetId="18" hidden="1">Financials - Prior #REF!</definedName>
    <definedName name="BExQ5JKMBENT3F5QZL1VAMK72OOM" hidden="1">Financials - Prior #REF!</definedName>
    <definedName name="BExQ6KFK8RY953WUNEGEONQBJNJH" hidden="1">#REF!</definedName>
    <definedName name="BExQ6XMB4GX76LGACM2G7K7KNSMA" hidden="1">#REF!</definedName>
    <definedName name="BExQ72PRGGMTZ2LTO3LHHS7CI7V1" hidden="1">#REF!</definedName>
    <definedName name="BExQBK907PKNFAAK1RI42AMIDAG2" hidden="1">#REF!</definedName>
    <definedName name="BExQBTOZV7LWUZL3JNC7BQ9ENYGP" localSheetId="18" hidden="1">Stat Key #REF!</definedName>
    <definedName name="BExQBTOZV7LWUZL3JNC7BQ9ENYGP" hidden="1">Stat Key #REF!</definedName>
    <definedName name="BExQCN27L2DP8JXYJEOEPJD3OD9M" localSheetId="18" hidden="1">Stat Key #REF!</definedName>
    <definedName name="BExQCN27L2DP8JXYJEOEPJD3OD9M" hidden="1">Stat Key #REF!</definedName>
    <definedName name="BExQCPB7TJC6ZYR06WLRZQSYLHYQ" localSheetId="18" hidden="1">PCA Cube CP_HDKD!p&amp;CP_HDKD!L by Profit #REF!</definedName>
    <definedName name="BExQCPB7TJC6ZYR06WLRZQSYLHYQ" hidden="1">PCA Cube p&amp;L by Profit #REF!</definedName>
    <definedName name="BExQD1ASPPBVK3AUJ6C82DDU3I4J" localSheetId="18" hidden="1">PCA Cube by GL #REF!</definedName>
    <definedName name="BExQD1ASPPBVK3AUJ6C82DDU3I4J" hidden="1">PCA Cube by GL #REF!</definedName>
    <definedName name="BExQD6UGUX56J682IZ8NLSSYRNAF" localSheetId="18" hidden="1">Sales #REF!</definedName>
    <definedName name="BExQD6UGUX56J682IZ8NLSSYRNAF" hidden="1">Sales #REF!</definedName>
    <definedName name="BExQGVB7K7QFJYFRTBETNGEPZWLF" hidden="1">#REF!</definedName>
    <definedName name="BExQHZH031WM21292PLXDGSUCKD3" localSheetId="18" hidden="1">FIGL Cube by GL #REF!</definedName>
    <definedName name="BExQHZH031WM21292PLXDGSUCKD3" hidden="1">FIGL Cube by GL #REF!</definedName>
    <definedName name="BExQJAZ2DKSCO3QHK44ZHC541SX4" localSheetId="18" hidden="1">Sales #REF!</definedName>
    <definedName name="BExQJAZ2DKSCO3QHK44ZHC541SX4" hidden="1">Sales #REF!</definedName>
    <definedName name="BExQJOGLETXKFU10VFQ3DUDVFIVS" localSheetId="18" hidden="1">Cost #REF!</definedName>
    <definedName name="BExQJOGLETXKFU10VFQ3DUDVFIVS" hidden="1">Cost #REF!</definedName>
    <definedName name="BExQJQ3WLG07RDZGEINF0BECRT6W" localSheetId="18" hidden="1">Weekly KPI #REF!</definedName>
    <definedName name="BExQJQ3WLG07RDZGEINF0BECRT6W" hidden="1">Weekly KPI #REF!</definedName>
    <definedName name="BExQJRWL3V8OIQ9FC0J2PD6QXCO6" localSheetId="18" hidden="1">PCA Cube CP_HDKD!p&amp;CP_HDKD!L by Profit #REF!</definedName>
    <definedName name="BExQJRWL3V8OIQ9FC0J2PD6QXCO6" hidden="1">PCA Cube p&amp;L by Profit #REF!</definedName>
    <definedName name="BExQKAHKA2LWUT29A67T7PHWDL8G" localSheetId="18" hidden="1">Stat Key #REF!</definedName>
    <definedName name="BExQKAHKA2LWUT29A67T7PHWDL8G" hidden="1">Stat Key #REF!</definedName>
    <definedName name="BExS06LMRSBKPP5179IE6U8KTE2J" localSheetId="18" hidden="1">Capital Employed by #REF!</definedName>
    <definedName name="BExS06LMRSBKPP5179IE6U8KTE2J" hidden="1">Capital Employed by #REF!</definedName>
    <definedName name="BExS0FFVRTJ46QA86LXAXJ46FRQ7" localSheetId="18" hidden="1">PCA Cube by GL #REF!</definedName>
    <definedName name="BExS0FFVRTJ46QA86LXAXJ46FRQ7" hidden="1">PCA Cube by GL #REF!</definedName>
    <definedName name="BExS1IUMRBX09GW5KBA99FO3C0JP" hidden="1">#REF!</definedName>
    <definedName name="BExS1XZL9I9BJGNDIULG593TMIJH" localSheetId="18" hidden="1">Stat Key #REF!</definedName>
    <definedName name="BExS1XZL9I9BJGNDIULG593TMIJH" hidden="1">Stat Key #REF!</definedName>
    <definedName name="BExS1YVZ5LXGSZTV08QOGBZPWJQI" localSheetId="18" hidden="1">Stat Key #REF!</definedName>
    <definedName name="BExS1YVZ5LXGSZTV08QOGBZPWJQI" hidden="1">Stat Key #REF!</definedName>
    <definedName name="BExS2983M2NMIV3VQ5Q3838N0B9M" localSheetId="18" hidden="1">Sales #REF!</definedName>
    <definedName name="BExS2983M2NMIV3VQ5Q3838N0B9M" hidden="1">Sales #REF!</definedName>
    <definedName name="BExS2BX84K3WNOHHXTE5EH849JVZ" hidden="1">#REF!</definedName>
    <definedName name="BExS2FO0MESHHMII0W4TOGUBJH5D" hidden="1">#REF!</definedName>
    <definedName name="BExS6331P8EW63XQTOGAQPXZ9J8T" hidden="1">#REF!</definedName>
    <definedName name="BExS67A93JM1POI27DNJY5N3X3UD" localSheetId="18" hidden="1">Balance #REF!</definedName>
    <definedName name="BExS67A93JM1POI27DNJY5N3X3UD" hidden="1">Balance #REF!</definedName>
    <definedName name="BExS67L0V8G8L11AJK8SGJ5CQRZS" localSheetId="18" hidden="1">Weekly KPI #REF!</definedName>
    <definedName name="BExS67L0V8G8L11AJK8SGJ5CQRZS" hidden="1">Weekly KPI #REF!</definedName>
    <definedName name="BExS7FHNILQBKBDF2YN5L35TV2RM" localSheetId="18" hidden="1">Stat Key #REF!</definedName>
    <definedName name="BExS7FHNILQBKBDF2YN5L35TV2RM" hidden="1">Stat Key #REF!</definedName>
    <definedName name="BExS8MHVXHU5XOJW37K1Y4EPC0WL" hidden="1">#REF!</definedName>
    <definedName name="BExSAXYJH8PF0AOO0TMZ8GZRZYKO" localSheetId="18" hidden="1">Sales #REF!</definedName>
    <definedName name="BExSAXYJH8PF0AOO0TMZ8GZRZYKO" hidden="1">Sales #REF!</definedName>
    <definedName name="BExSB2LV3N7QIXFQ0YSN5ECK52LZ" localSheetId="18" hidden="1">Balance #REF!</definedName>
    <definedName name="BExSB2LV3N7QIXFQ0YSN5ECK52LZ" hidden="1">Balance #REF!</definedName>
    <definedName name="BExSBMDZX02MGUP77C2P3JDAKAIF" hidden="1">#REF!</definedName>
    <definedName name="BExSC2VE4YHOL4PFTV6JHMISZG82" localSheetId="18" hidden="1">Financials - Prior #REF!</definedName>
    <definedName name="BExSC2VE4YHOL4PFTV6JHMISZG82" hidden="1">Financials - Prior #REF!</definedName>
    <definedName name="BExSCKUMW87PNQANFNJVBG0J8UO5" localSheetId="18" hidden="1">Stat Key #REF!</definedName>
    <definedName name="BExSCKUMW87PNQANFNJVBG0J8UO5" hidden="1">Stat Key #REF!</definedName>
    <definedName name="BExSD2ZIMPV4N71UOB6BY9YOZ7JT" localSheetId="18" hidden="1">Capital #REF!</definedName>
    <definedName name="BExSD2ZIMPV4N71UOB6BY9YOZ7JT" hidden="1">Capital #REF!</definedName>
    <definedName name="BExSDABRS00CRKN92DNDOTCKW746" localSheetId="18" hidden="1">FIGL Cube by GL #REF!</definedName>
    <definedName name="BExSDABRS00CRKN92DNDOTCKW746" hidden="1">FIGL Cube by GL #REF!</definedName>
    <definedName name="BExSDW7FMOS8MX2YIRDTD4EDEJRK" localSheetId="18" hidden="1">Sales #REF!</definedName>
    <definedName name="BExSDW7FMOS8MX2YIRDTD4EDEJRK" hidden="1">Sales #REF!</definedName>
    <definedName name="BExSFD90BUEWN8XC6DZ51184Z6OP" localSheetId="18" hidden="1">Stat Key #REF!</definedName>
    <definedName name="BExSFD90BUEWN8XC6DZ51184Z6OP" hidden="1">Stat Key #REF!</definedName>
    <definedName name="BExSFJUD1JXIB8S4CI1G3OQE37RE" localSheetId="18" hidden="1">Stat Key #REF!</definedName>
    <definedName name="BExSFJUD1JXIB8S4CI1G3OQE37RE" hidden="1">Stat Key #REF!</definedName>
    <definedName name="BExSFRMWOPSH7B7HHMXQNYBNQ5AA" localSheetId="18" hidden="1">Balance #REF!</definedName>
    <definedName name="BExSFRMWOPSH7B7HHMXQNYBNQ5AA" hidden="1">Balance #REF!</definedName>
    <definedName name="BExSFW4QLMNU5D0N5DNMJRACGB44" hidden="1">#REF!</definedName>
    <definedName name="BExSGU5FM4JAE2AICI12AEOCC88Z" localSheetId="18" hidden="1">Sales #REF!</definedName>
    <definedName name="BExSGU5FM4JAE2AICI12AEOCC88Z" hidden="1">Sales #REF!</definedName>
    <definedName name="BExSH2E43KKMER05XSPSAH0D7E5L" localSheetId="18" hidden="1">Sales #REF!</definedName>
    <definedName name="BExSH2E43KKMER05XSPSAH0D7E5L" hidden="1">Sales #REF!</definedName>
    <definedName name="BExSIJFUAKB564KZGJEWYYKBQ6W8" localSheetId="18" hidden="1">Stat Key #REF!</definedName>
    <definedName name="BExSIJFUAKB564KZGJEWYYKBQ6W8" hidden="1">Stat Key #REF!</definedName>
    <definedName name="BExTUCE6ZLMNMLU7NSQ0CVO2ENLH" localSheetId="18" hidden="1">PCA Cube CP_HDKD!p&amp;CP_HDKD!L by Profit #REF!</definedName>
    <definedName name="BExTUCE6ZLMNMLU7NSQ0CVO2ENLH" hidden="1">PCA Cube p&amp;L by Profit #REF!</definedName>
    <definedName name="BExTVAK9OVMT4MFSCO4MFCTZ2OS1" localSheetId="18" hidden="1">Stat Key #REF!</definedName>
    <definedName name="BExTVAK9OVMT4MFSCO4MFCTZ2OS1" hidden="1">Stat Key #REF!</definedName>
    <definedName name="BExTVII92OY7H2YU7LDL07TC4TUR" localSheetId="18" hidden="1">PCA Cube by GL #REF!</definedName>
    <definedName name="BExTVII92OY7H2YU7LDL07TC4TUR" hidden="1">PCA Cube by GL #REF!</definedName>
    <definedName name="BExTVXHQ61PJXP9ED3WFXAEQGKY5" hidden="1">#REF!</definedName>
    <definedName name="BExTWKPUF1WDIIL3Z5GE4T3A5L9M" localSheetId="18" hidden="1">Stat Key #REF!</definedName>
    <definedName name="BExTWKPUF1WDIIL3Z5GE4T3A5L9M" hidden="1">Stat Key #REF!</definedName>
    <definedName name="BExTYL8RJWBFM6N83CQSE93HK4IR" localSheetId="18" hidden="1">Sales #REF!</definedName>
    <definedName name="BExTYL8RJWBFM6N83CQSE93HK4IR" hidden="1">Sales #REF!</definedName>
    <definedName name="BExU0MTK8EXJ210YUQ6YOFMWRVIO" localSheetId="18" hidden="1">FIGL Cube by #REF!</definedName>
    <definedName name="BExU0MTK8EXJ210YUQ6YOFMWRVIO" hidden="1">FIGL Cube by #REF!</definedName>
    <definedName name="BExU0Y7L9W1GIUXJEUY5H2D5TPNR" localSheetId="18" hidden="1">Capital Employed by #REF!</definedName>
    <definedName name="BExU0Y7L9W1GIUXJEUY5H2D5TPNR" hidden="1">Capital Employed by #REF!</definedName>
    <definedName name="BExU1UVI8PMASBCGM38E1YVX2TUZ" localSheetId="18" hidden="1">Capital Employed by #REF!</definedName>
    <definedName name="BExU1UVI8PMASBCGM38E1YVX2TUZ" hidden="1">Capital Employed by #REF!</definedName>
    <definedName name="BExU386H9UY9THJQDGI7GXR1NW9J" localSheetId="18" hidden="1">Stat Key #REF!</definedName>
    <definedName name="BExU386H9UY9THJQDGI7GXR1NW9J" hidden="1">Stat Key #REF!</definedName>
    <definedName name="BExU3TB1FRKUFAWLSBFGDKEIY0GZ" localSheetId="18" hidden="1">Financials - Prior #REF!</definedName>
    <definedName name="BExU3TB1FRKUFAWLSBFGDKEIY0GZ" hidden="1">Financials - Prior #REF!</definedName>
    <definedName name="BExU4IBXDRVMMCUQM8G8Y5UVG45Q" localSheetId="18" hidden="1">Stat Key #REF!</definedName>
    <definedName name="BExU4IBXDRVMMCUQM8G8Y5UVG45Q" hidden="1">Stat Key #REF!</definedName>
    <definedName name="BExU70E4ZUMZOAB9DFE779M7H4N3" hidden="1">#REF!</definedName>
    <definedName name="BExU70OVG69G5BQBVVYE98P8QZ6X" localSheetId="18" hidden="1">Balance #REF!</definedName>
    <definedName name="BExU70OVG69G5BQBVVYE98P8QZ6X" hidden="1">Balance #REF!</definedName>
    <definedName name="BExU9ZDVJWDEZ9B7320KU1JTFHSW" localSheetId="18" hidden="1">Stat Key #REF!</definedName>
    <definedName name="BExU9ZDVJWDEZ9B7320KU1JTFHSW" hidden="1">Stat Key #REF!</definedName>
    <definedName name="BExUARUQ2M64SYF83KXZU001KW0G" localSheetId="18" hidden="1">Stat Key #REF!</definedName>
    <definedName name="BExUARUQ2M64SYF83KXZU001KW0G" hidden="1">Stat Key #REF!</definedName>
    <definedName name="BExUCRMPZQ1EHG9GXXZMYFPNTM3A" hidden="1">#N/A</definedName>
    <definedName name="BExUDNZZZXTU1G5SSPAVRN9FNC4I" localSheetId="18" hidden="1">PCA Cube CP_HDKD!p&amp;CP_HDKD!L by Profit #REF!</definedName>
    <definedName name="BExUDNZZZXTU1G5SSPAVRN9FNC4I" hidden="1">PCA Cube p&amp;L by Profit #REF!</definedName>
    <definedName name="BExVRSQ7G44MXXXBZP4X8NZZ1L4T" hidden="1">#REF!</definedName>
    <definedName name="BExVS3D5GX6CKM1NXYZSCEOYACPZ" localSheetId="18" hidden="1">Key #REF!</definedName>
    <definedName name="BExVS3D5GX6CKM1NXYZSCEOYACPZ" hidden="1">Key #REF!</definedName>
    <definedName name="BExVTW9155VL84LJIMJO9X0X6XMG" localSheetId="18" hidden="1">Weekly KPI #REF!</definedName>
    <definedName name="BExVTW9155VL84LJIMJO9X0X6XMG" hidden="1">Weekly KPI #REF!</definedName>
    <definedName name="BExVVMQLACOP7FAZBIA79TQGCYAY" localSheetId="18" hidden="1">Stat Key #REF!</definedName>
    <definedName name="BExVVMQLACOP7FAZBIA79TQGCYAY" hidden="1">Stat Key #REF!</definedName>
    <definedName name="BExVX66I8LBR5JLSC93GUVPIY19W" localSheetId="18" hidden="1">Stat Key #REF!</definedName>
    <definedName name="BExVX66I8LBR5JLSC93GUVPIY19W" hidden="1">Stat Key #REF!</definedName>
    <definedName name="BExVY2JR12G2SXGT1P6WEA58J5SF" localSheetId="18" hidden="1">Stat Key #REF!</definedName>
    <definedName name="BExVY2JR12G2SXGT1P6WEA58J5SF" hidden="1">Stat Key #REF!</definedName>
    <definedName name="BExVYBOYGG74CEJRZUHGNZHWTKGS" localSheetId="18" hidden="1">Financials - Prior #REF!</definedName>
    <definedName name="BExVYBOYGG74CEJRZUHGNZHWTKGS" hidden="1">Financials - Prior #REF!</definedName>
    <definedName name="BExVYT82EAH1LNR7L1NW3DDELI2N" localSheetId="18" hidden="1">PCA Cube by GL #REF!</definedName>
    <definedName name="BExVYT82EAH1LNR7L1NW3DDELI2N" hidden="1">PCA Cube by GL #REF!</definedName>
    <definedName name="BExW05XB4CFQGXK85I4JD3DR365K" hidden="1">#REF!</definedName>
    <definedName name="BExW0IYPWV86RX1Z2Z3BU1ZUFNWM" hidden="1">#REF!</definedName>
    <definedName name="BExW0K5QQI8MRY9DIMGIYV5NP52C" localSheetId="18" hidden="1">Balance #REF!</definedName>
    <definedName name="BExW0K5QQI8MRY9DIMGIYV5NP52C" hidden="1">Balance #REF!</definedName>
    <definedName name="BExW0KGI8LFJ4LKXWV0PAZX8ZBEN" localSheetId="18" hidden="1">Stat Key #REF!</definedName>
    <definedName name="BExW0KGI8LFJ4LKXWV0PAZX8ZBEN" hidden="1">Stat Key #REF!</definedName>
    <definedName name="BExW1MZ3VQ6VBRYJSLT8QIAVDB36" localSheetId="18" hidden="1">Stat Key #REF!</definedName>
    <definedName name="BExW1MZ3VQ6VBRYJSLT8QIAVDB36" hidden="1">Stat Key #REF!</definedName>
    <definedName name="BExW5JDRQEA50B319VGP92MKL08X" localSheetId="18" hidden="1">Stat Key #REF!</definedName>
    <definedName name="BExW5JDRQEA50B319VGP92MKL08X" hidden="1">Stat Key #REF!</definedName>
    <definedName name="BExW5NKOL90K9ZGIR3Z216HK6W90" localSheetId="18" hidden="1">Balance #REF!</definedName>
    <definedName name="BExW5NKOL90K9ZGIR3Z216HK6W90" hidden="1">Balance #REF!</definedName>
    <definedName name="BExXM5V66CPJL0CWKYUQQEUMHNRV" localSheetId="18" hidden="1">PCA Cube CP_HDKD!p&amp;CP_HDKD!L by Profit #REF!</definedName>
    <definedName name="BExXM5V66CPJL0CWKYUQQEUMHNRV" hidden="1">PCA Cube p&amp;L by Profit #REF!</definedName>
    <definedName name="BExXN4XKLUPO8W2I342RDGS27T1H" localSheetId="18" hidden="1">Balance #REF!</definedName>
    <definedName name="BExXN4XKLUPO8W2I342RDGS27T1H" hidden="1">Balance #REF!</definedName>
    <definedName name="BExXOMKQ2RSCTA0TXMDSYSNZUWV2" localSheetId="18" hidden="1">Balance #REF!</definedName>
    <definedName name="BExXOMKQ2RSCTA0TXMDSYSNZUWV2" hidden="1">Balance #REF!</definedName>
    <definedName name="BExXORIVIWLDMFL3IQ7IULEKAQF8" localSheetId="18" hidden="1">PCA Cube by GL #REF!</definedName>
    <definedName name="BExXORIVIWLDMFL3IQ7IULEKAQF8" hidden="1">PCA Cube by GL #REF!</definedName>
    <definedName name="BExXPHQWNMWNZUKVHWLG0UVDXUBO" hidden="1">#N/A</definedName>
    <definedName name="BExXPOXVAXEBXHGFZIGQPJV9PCF3" localSheetId="18" hidden="1">PCA Statkey by Profit #REF!</definedName>
    <definedName name="BExXPOXVAXEBXHGFZIGQPJV9PCF3" hidden="1">PCA Statkey by Profit #REF!</definedName>
    <definedName name="BExXQC5Y3NO1QJ37OOGM8AW5YQON" localSheetId="18" hidden="1">Cost #REF!</definedName>
    <definedName name="BExXQC5Y3NO1QJ37OOGM8AW5YQON" hidden="1">Cost #REF!</definedName>
    <definedName name="BExXRFVH8IKEEJQ85CT0WK0ILOAI" localSheetId="18" hidden="1">Cost #REF!</definedName>
    <definedName name="BExXRFVH8IKEEJQ85CT0WK0ILOAI" hidden="1">Cost #REF!</definedName>
    <definedName name="BExXRG0Z51OUC9XG8I43W14ACRGG" localSheetId="18" hidden="1">Stat Key #REF!</definedName>
    <definedName name="BExXRG0Z51OUC9XG8I43W14ACRGG" hidden="1">Stat Key #REF!</definedName>
    <definedName name="BExXRR9JBR9BNCJVKMGMBI3DS4TG" localSheetId="18" hidden="1">PCA Cube by GL #REF!</definedName>
    <definedName name="BExXRR9JBR9BNCJVKMGMBI3DS4TG" hidden="1">PCA Cube by GL #REF!</definedName>
    <definedName name="BExXT1F3RWI3Y38E73TI1CI2LD96" localSheetId="18" hidden="1">Cost #REF!</definedName>
    <definedName name="BExXT1F3RWI3Y38E73TI1CI2LD96" hidden="1">Cost #REF!</definedName>
    <definedName name="BExXU3MPA8HDCS70PPNHVHOWVVFG" localSheetId="18" hidden="1">PCA Cube by GL #REF!</definedName>
    <definedName name="BExXU3MPA8HDCS70PPNHVHOWVVFG" hidden="1">PCA Cube by GL #REF!</definedName>
    <definedName name="BExXWWBWJKZ6AINRM8UE2K6H813M" hidden="1">#REF!</definedName>
    <definedName name="BExXX9O2QS1HP1ZGRRQNV22SV8JD" localSheetId="18" hidden="1">PCA Cube CP_HDKD!p&amp;CP_HDKD!L by Profit #REF!</definedName>
    <definedName name="BExXX9O2QS1HP1ZGRRQNV22SV8JD" hidden="1">PCA Cube p&amp;L by Profit #REF!</definedName>
    <definedName name="BExXXOCLXRVQBHYH970269XO80HS" localSheetId="18" hidden="1">Stat Key #REF!</definedName>
    <definedName name="BExXXOCLXRVQBHYH970269XO80HS" hidden="1">Stat Key #REF!</definedName>
    <definedName name="BExXYD2O80YE26BKL10CAV0R515F" localSheetId="18" hidden="1">PCA Cube CP_HDKD!p&amp;CP_HDKD!L by Profit #REF!</definedName>
    <definedName name="BExXYD2O80YE26BKL10CAV0R515F" hidden="1">PCA Cube p&amp;L by Profit #REF!</definedName>
    <definedName name="BExXZN2XZS4KDG9XEUIG9QI53FYR" hidden="1">#REF!</definedName>
    <definedName name="BExY0Y4RTTMPCKW55F89EN59A45B" localSheetId="18" hidden="1">PCA Cube CP_HDKD!p&amp;CP_HDKD!L by Profit #REF!</definedName>
    <definedName name="BExY0Y4RTTMPCKW55F89EN59A45B" hidden="1">PCA Cube p&amp;L by Profit #REF!</definedName>
    <definedName name="BExY1L7KE5XLL8VS9SFCV71P927O" localSheetId="18" hidden="1">Sales #REF!</definedName>
    <definedName name="BExY1L7KE5XLL8VS9SFCV71P927O" hidden="1">Sales #REF!</definedName>
    <definedName name="BExY2A8ETRH3FUPH3RA2G4YUXUTI" localSheetId="18" hidden="1">Sales #REF!</definedName>
    <definedName name="BExY2A8ETRH3FUPH3RA2G4YUXUTI" hidden="1">Sales #REF!</definedName>
    <definedName name="BExY470KYIV2VP0SC58OM8QMZTY9" hidden="1">#REF!</definedName>
    <definedName name="BExY568B2ORG9UPJHA700F203WNG" localSheetId="18" hidden="1">Financials - Prior #REF!</definedName>
    <definedName name="BExY568B2ORG9UPJHA700F203WNG" hidden="1">Financials - Prior #REF!</definedName>
    <definedName name="BExZJDYD8PH4TW3C4MW9PZDRV9DF" localSheetId="18" hidden="1">Stat Key #REF!</definedName>
    <definedName name="BExZJDYD8PH4TW3C4MW9PZDRV9DF" hidden="1">Stat Key #REF!</definedName>
    <definedName name="BExZKM5QZ0L9CYV6R657E62IN7NB" localSheetId="18" hidden="1">PCA Cube CP_HDKD!p&amp;CP_HDKD!L by Profit #REF!</definedName>
    <definedName name="BExZKM5QZ0L9CYV6R657E62IN7NB" hidden="1">PCA Cube p&amp;L by Profit #REF!</definedName>
    <definedName name="BExZL5XUL9TGNR9ISX97XPOVD38M" hidden="1">#REF!</definedName>
    <definedName name="BExZO0VV323HIYMF516781JVA7N6" localSheetId="18" hidden="1">PCA Cube by GL #REF!</definedName>
    <definedName name="BExZO0VV323HIYMF516781JVA7N6" hidden="1">PCA Cube by GL #REF!</definedName>
    <definedName name="BExZPMFHJGID7HHK2HWOI292D4WT" localSheetId="18" hidden="1">Sales #REF!</definedName>
    <definedName name="BExZPMFHJGID7HHK2HWOI292D4WT" hidden="1">Sales #REF!</definedName>
    <definedName name="BExZPQ0XN99A1IHMTMS0QBJ523PK" localSheetId="18" hidden="1">Financials - Prior #REF!</definedName>
    <definedName name="BExZPQ0XN99A1IHMTMS0QBJ523PK" hidden="1">Financials - Prior #REF!</definedName>
    <definedName name="BExZR4IX5O1TS4IN669ZZ80XZ40K" localSheetId="18" hidden="1">Sales #REF!</definedName>
    <definedName name="BExZR4IX5O1TS4IN669ZZ80XZ40K" hidden="1">Sales #REF!</definedName>
    <definedName name="BExZR8KIMQN8EKAR3KEEO85VP071" localSheetId="18" hidden="1">Stat Key #REF!</definedName>
    <definedName name="BExZR8KIMQN8EKAR3KEEO85VP071" hidden="1">Stat Key #REF!</definedName>
    <definedName name="BExZSBJ61MOB9Y5KK8OZPGTJMSDB" localSheetId="18" hidden="1">Stat Key #REF!</definedName>
    <definedName name="BExZSBJ61MOB9Y5KK8OZPGTJMSDB" hidden="1">Stat Key #REF!</definedName>
    <definedName name="BExZSMX51HR5GLKW08JGXAF6M43N" localSheetId="18" hidden="1">Balance #REF!</definedName>
    <definedName name="BExZSMX51HR5GLKW08JGXAF6M43N" hidden="1">Balance #REF!</definedName>
    <definedName name="BExZT8SSBP52BMR781HUJ7Y55GQF" localSheetId="18" hidden="1">Cost #REF!</definedName>
    <definedName name="BExZT8SSBP52BMR781HUJ7Y55GQF" hidden="1">Cost #REF!</definedName>
    <definedName name="BExZTTBUKWEHN3YPOBMWC5VK0COX" localSheetId="18" hidden="1">Stat Key #REF!</definedName>
    <definedName name="BExZTTBUKWEHN3YPOBMWC5VK0COX" hidden="1">Stat Key #REF!</definedName>
    <definedName name="BExZUW50J9DSAB92APRCSV0E7DZM" hidden="1">#REF!</definedName>
    <definedName name="BExZUWFSMOQ5BBONOV4QBKEA6NW9" hidden="1">#REF!</definedName>
    <definedName name="BExZVCRRENPUGU4IAFDN9KWTHXFV" localSheetId="18" hidden="1">Balance #REF!</definedName>
    <definedName name="BExZVCRRENPUGU4IAFDN9KWTHXFV" hidden="1">Balance #REF!</definedName>
    <definedName name="BExZWRVADOH3OLA7ZJTBKSPKX8BO" localSheetId="18" hidden="1">Stat Key #REF!</definedName>
    <definedName name="BExZWRVADOH3OLA7ZJTBKSPKX8BO" hidden="1">Stat Key #REF!</definedName>
    <definedName name="BExZZFMHSCTXPM4LX9F56KCZONMY" localSheetId="18" hidden="1">Stat Key #REF!</definedName>
    <definedName name="BExZZFMHSCTXPM4LX9F56KCZONMY" hidden="1">Stat Key #REF!</definedName>
    <definedName name="bf7yre" localSheetId="18" hidden="1">{"'Sheet1'!$L$16"}</definedName>
    <definedName name="bf7yre" hidden="1">{"'Sheet1'!$L$16"}</definedName>
    <definedName name="bfbfdhfdhdfgh" localSheetId="18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hidden="1">#REF!</definedName>
    <definedName name="bi" localSheetId="18" hidden="1">{"HK PR",#N/A,FALSE,"HK";"SUMMARY",#N/A,FALSE,"PAYROLL";"SUMMARY",#N/A,FALSE,"PAYROLL";"HK PR",#N/A,FALSE,"HK"}</definedName>
    <definedName name="bi" localSheetId="23" hidden="1">{"HK PR",#N/A,FALSE,"HK";"SUMMARY",#N/A,FALSE,"PAYROLL";"SUMMARY",#N/A,FALSE,"PAYROLL";"HK PR",#N/A,FALSE,"HK"}</definedName>
    <definedName name="bi" localSheetId="21" hidden="1">{"HK PR",#N/A,FALSE,"HK";"SUMMARY",#N/A,FALSE,"PAYROLL";"SUMMARY",#N/A,FALSE,"PAYROLL";"HK PR",#N/A,FALSE,"HK"}</definedName>
    <definedName name="bi" localSheetId="20" hidden="1">{"HK PR",#N/A,FALSE,"HK";"SUMMARY",#N/A,FALSE,"PAYROLL";"SUMMARY",#N/A,FALSE,"PAYROLL";"HK PR",#N/A,FALSE,"HK"}</definedName>
    <definedName name="bi" localSheetId="0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8" hidden="1">{"'Sheet1'!$L$16"}</definedName>
    <definedName name="bieudo" localSheetId="23" hidden="1">{"'Sheet1'!$L$16"}</definedName>
    <definedName name="bieudo" localSheetId="21" hidden="1">{"'Sheet1'!$L$16"}</definedName>
    <definedName name="bieudo" localSheetId="20" hidden="1">{"'Sheet1'!$L$16"}</definedName>
    <definedName name="bieudo" localSheetId="0" hidden="1">{"'Sheet1'!$L$16"}</definedName>
    <definedName name="bieudo" hidden="1">{"'Sheet1'!$L$16"}</definedName>
    <definedName name="bieudo1" localSheetId="18" hidden="1">{"'Sheet1'!$L$16"}</definedName>
    <definedName name="bieudo1" localSheetId="23" hidden="1">{"'Sheet1'!$L$16"}</definedName>
    <definedName name="bieudo1" localSheetId="21" hidden="1">{"'Sheet1'!$L$16"}</definedName>
    <definedName name="bieudo1" localSheetId="20" hidden="1">{"'Sheet1'!$L$16"}</definedName>
    <definedName name="bieudo1" localSheetId="0" hidden="1">{"'Sheet1'!$L$16"}</definedName>
    <definedName name="bieudo1" hidden="1">{"'Sheet1'!$L$16"}</definedName>
    <definedName name="binh" localSheetId="18" hidden="1">{"'Sheet1'!$L$16"}</definedName>
    <definedName name="binh" hidden="1">{"'Sheet1'!$L$16"}</definedName>
    <definedName name="binh1" localSheetId="18" hidden="1">{"'Sheet1'!$L$16"}</definedName>
    <definedName name="binh1" localSheetId="23" hidden="1">{"'Sheet1'!$L$16"}</definedName>
    <definedName name="binh1" localSheetId="21" hidden="1">{"'Sheet1'!$L$16"}</definedName>
    <definedName name="binh1" localSheetId="20" hidden="1">{"'Sheet1'!$L$16"}</definedName>
    <definedName name="binh1" localSheetId="0" hidden="1">{"'Sheet1'!$L$16"}</definedName>
    <definedName name="binh1" hidden="1">{"'Sheet1'!$L$16"}</definedName>
    <definedName name="biz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localSheetId="18" hidden="1">{#N/A,#N/A,FALSE,"CCTV"}</definedName>
    <definedName name="BJJ" hidden="1">{#N/A,#N/A,FALSE,"CCTV"}</definedName>
    <definedName name="bleine.erg" localSheetId="18" hidden="1">{"fleisch",#N/A,FALSE,"WG HK";"food",#N/A,FALSE,"WG HK";"hartwaren",#N/A,FALSE,"WG HK";"weichwaren",#N/A,FALSE,"WG HK"}</definedName>
    <definedName name="bleine.erg" hidden="1">{"fleisch",#N/A,FALSE,"WG HK";"food",#N/A,FALSE,"WG HK";"hartwaren",#N/A,FALSE,"WG HK";"weichwaren",#N/A,FALSE,"WG HK"}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M" hidden="1">#REF!</definedName>
    <definedName name="BNE_MESSAGES_HIDDEN" hidden="1">#REF!</definedName>
    <definedName name="BO" localSheetId="18" hidden="1">{#N/A,#N/A,FALSE,"CCTV"}</definedName>
    <definedName name="BO" hidden="1">{#N/A,#N/A,FALSE,"CCTV"}</definedName>
    <definedName name="BO00043B7E1E324A3B816B38E3ACAE0671" hidden="1">#REF!</definedName>
    <definedName name="BO0007353E98C84C90990324AADCC29B40" localSheetId="23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localSheetId="23" hidden="1">#REF!</definedName>
    <definedName name="BO0058A5E0C1104588BFD1FC5F694286F9" hidden="1">#REF!</definedName>
    <definedName name="BO005A577D92864FC8B40998831CDFE7A8" localSheetId="23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localSheetId="23" hidden="1">#REF!</definedName>
    <definedName name="BO01D0E16CBD0C473996504B44510A2B25" localSheetId="21" hidden="1">#REF!</definedName>
    <definedName name="BO01D0E16CBD0C473996504B44510A2B25" localSheetId="20" hidden="1">#REF!</definedName>
    <definedName name="BO01D0E16CBD0C473996504B44510A2B25" localSheetId="0" hidden="1">#REF!</definedName>
    <definedName name="BO01D0E16CBD0C473996504B44510A2B25" hidden="1">[7]lailo!#REF!</definedName>
    <definedName name="BO01EF9BC3509746939ED1C0E4F00BF055" localSheetId="23" hidden="1">#REF!</definedName>
    <definedName name="BO01EF9BC3509746939ED1C0E4F00BF055" hidden="1">#REF!</definedName>
    <definedName name="BO020F2E97F5CF403D8F93927170418F64" hidden="1">#REF!</definedName>
    <definedName name="BO0216458ABC754695A1F9A8CDB0DD094C" localSheetId="23" hidden="1">#REF!</definedName>
    <definedName name="BO0216458ABC754695A1F9A8CDB0DD094C" hidden="1">#REF!</definedName>
    <definedName name="BO022317F8B3944CD883A13E728C129916" localSheetId="23" hidden="1">#REF!</definedName>
    <definedName name="BO022317F8B3944CD883A13E728C129916" hidden="1">#REF!</definedName>
    <definedName name="BO02392633CA99433B88D46F2EF39F428A" hidden="1">#REF!</definedName>
    <definedName name="BO02516734C6DF4EF2B0A72A47B8AABEFB" localSheetId="0" hidden="1">#REF!</definedName>
    <definedName name="BO02516734C6DF4EF2B0A72A47B8AABEFB" hidden="1">[8]Ketqua!#REF!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localSheetId="0" hidden="1">#REF!</definedName>
    <definedName name="BO02A8FD3A8942468DBAD7F1EDD7F87346" hidden="1">[8]Ketqua!#REF!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localSheetId="23" hidden="1">#REF!</definedName>
    <definedName name="BO048C4D3FE93F49AA8198D2880A899608" localSheetId="21" hidden="1">#REF!</definedName>
    <definedName name="BO048C4D3FE93F49AA8198D2880A899608" localSheetId="20" hidden="1">#REF!</definedName>
    <definedName name="BO048C4D3FE93F49AA8198D2880A899608" localSheetId="0" hidden="1">#REF!</definedName>
    <definedName name="BO048C4D3FE93F49AA8198D2880A899608" hidden="1">[7]lailo!#REF!</definedName>
    <definedName name="BO049368304C694928BF12E8C39A084E34" hidden="1">#REF!</definedName>
    <definedName name="BO0497D4BA7B1F46C88C265E498D165441" localSheetId="23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localSheetId="23" hidden="1">#REF!</definedName>
    <definedName name="BO04B75EC4531244EA841D17B01F38E684" hidden="1">#REF!</definedName>
    <definedName name="BO04BE305BE627425DA7C2FEF199FBCBA2" localSheetId="23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localSheetId="0" hidden="1">#REF!</definedName>
    <definedName name="BO05419C07D7B6466394350974D9D4F877" hidden="1">[9]Giaitrinh!#REF!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localSheetId="0" hidden="1">#REF!</definedName>
    <definedName name="BO06E32C35EADD426283277A6F4767C6B0" hidden="1">[8]Ketqua!#REF!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localSheetId="23" hidden="1">#REF!</definedName>
    <definedName name="BO099F887F9C5F4068BA6B8F1084394257" localSheetId="21" hidden="1">#REF!</definedName>
    <definedName name="BO099F887F9C5F4068BA6B8F1084394257" localSheetId="20" hidden="1">#REF!</definedName>
    <definedName name="BO099F887F9C5F4068BA6B8F1084394257" localSheetId="0" hidden="1">#REF!</definedName>
    <definedName name="BO099F887F9C5F4068BA6B8F1084394257" hidden="1">[7]lailo!#REF!</definedName>
    <definedName name="BO09A92B216FCC406388E7D75F758060D5" localSheetId="23" hidden="1">#REF!</definedName>
    <definedName name="BO09A92B216FCC406388E7D75F758060D5" hidden="1">#REF!</definedName>
    <definedName name="BO09B01FBE487D42169A0B01DC62FE7DDC" localSheetId="23" hidden="1">#REF!</definedName>
    <definedName name="BO09B01FBE487D42169A0B01DC62FE7DDC" localSheetId="21" hidden="1">#REF!</definedName>
    <definedName name="BO09B01FBE487D42169A0B01DC62FE7DDC" localSheetId="20" hidden="1">#REF!</definedName>
    <definedName name="BO09B01FBE487D42169A0B01DC62FE7DDC" localSheetId="0" hidden="1">#REF!</definedName>
    <definedName name="BO09B01FBE487D42169A0B01DC62FE7DDC" hidden="1">[7]lailo!#REF!</definedName>
    <definedName name="BO09B1C52A1D8443609A270B3D7E126A13" localSheetId="0" hidden="1">#REF!</definedName>
    <definedName name="BO09B1C52A1D8443609A270B3D7E126A13" hidden="1">[8]Ketqua!#REF!</definedName>
    <definedName name="BO09C22B1D529145609DEC624CE7B07293" hidden="1">#REF!</definedName>
    <definedName name="BO09C3E790E8D9462BAE7754E47C08E4E9" localSheetId="23" hidden="1">#REF!</definedName>
    <definedName name="BO09C3E790E8D9462BAE7754E47C08E4E9" localSheetId="21" hidden="1">#REF!</definedName>
    <definedName name="BO09C3E790E8D9462BAE7754E47C08E4E9" localSheetId="20" hidden="1">#REF!</definedName>
    <definedName name="BO09C3E790E8D9462BAE7754E47C08E4E9" localSheetId="0" hidden="1">#REF!</definedName>
    <definedName name="BO09C3E790E8D9462BAE7754E47C08E4E9" hidden="1">[7]lailo!#REF!</definedName>
    <definedName name="BO09D2135A97CF4588B42BF527E4D09C55" localSheetId="23" hidden="1">#REF!</definedName>
    <definedName name="BO09D2135A97CF4588B42BF527E4D09C55" hidden="1">#REF!</definedName>
    <definedName name="BO09D401756279444FB19C8C325604ED43" localSheetId="23" hidden="1">#REF!</definedName>
    <definedName name="BO09D401756279444FB19C8C325604ED43" hidden="1">#REF!</definedName>
    <definedName name="BO09F9926728774B699D17E2EB79FE2047" localSheetId="2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localSheetId="0" hidden="1">#REF!</definedName>
    <definedName name="BO0AE560EC229F4837AAC8130E0FC6643F" hidden="1">[9]Giaitrinh!#REF!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localSheetId="23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localSheetId="23" hidden="1">#REF!</definedName>
    <definedName name="BO0B4C25BF3EE541BABF6D7C3DFF218BFE" hidden="1">#REF!</definedName>
    <definedName name="BO0B77B5296AD7452A84BBA0611ADF01A7" localSheetId="23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localSheetId="0" hidden="1">#REF!</definedName>
    <definedName name="BO0C8517565CE449748D03306C29DCE056" hidden="1">[8]Ketqua!#REF!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localSheetId="23" hidden="1">#REF!</definedName>
    <definedName name="BO0E1E2F80FC8D4C0DB3564683D16EEFC1" localSheetId="21" hidden="1">#REF!</definedName>
    <definedName name="BO0E1E2F80FC8D4C0DB3564683D16EEFC1" localSheetId="20" hidden="1">#REF!</definedName>
    <definedName name="BO0E1E2F80FC8D4C0DB3564683D16EEFC1" localSheetId="0" hidden="1">#REF!</definedName>
    <definedName name="BO0E1E2F80FC8D4C0DB3564683D16EEFC1" hidden="1">[7]lailo!#REF!</definedName>
    <definedName name="BO0E27F1CD072948F29AECF05EFC4A7578" localSheetId="23" hidden="1">#REF!</definedName>
    <definedName name="BO0E27F1CD072948F29AECF05EFC4A7578" hidden="1">#REF!</definedName>
    <definedName name="BO0E3744B5B95B4593842CB858CD9C693E" hidden="1">#REF!</definedName>
    <definedName name="BO0E430A5E4F144A208D9D5B3C20B5D29F" localSheetId="23" hidden="1">#REF!</definedName>
    <definedName name="BO0E430A5E4F144A208D9D5B3C20B5D29F" hidden="1">#REF!</definedName>
    <definedName name="BO0E92C76E22454378A2ADA4C84B066AE2" hidden="1">#REF!</definedName>
    <definedName name="BO0E95F4D81CCD49788BFD31E660E08DEA" localSheetId="23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localSheetId="0" hidden="1">#REF!</definedName>
    <definedName name="BO0ED883B059E145E7AD618EAA4D4C0021" hidden="1">[9]Giaitrinh!#REF!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localSheetId="0" hidden="1">#REF!</definedName>
    <definedName name="BO0F8ED4536B0445B4946298F4B61EE3C4" hidden="1">[9]xml!#REF!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localSheetId="0" hidden="1">#REF!</definedName>
    <definedName name="BO0FF82BB103FB4B9A882AD5330EAE4FC6" hidden="1">[10]Giaitrinh!#REF!</definedName>
    <definedName name="BO100DAFF26E56419D9A8CFC5AE2565CB4" localSheetId="23" hidden="1">#REF!</definedName>
    <definedName name="BO100DAFF26E56419D9A8CFC5AE2565CB4" localSheetId="21" hidden="1">#REF!</definedName>
    <definedName name="BO100DAFF26E56419D9A8CFC5AE2565CB4" localSheetId="20" hidden="1">#REF!</definedName>
    <definedName name="BO100DAFF26E56419D9A8CFC5AE2565CB4" localSheetId="0" hidden="1">#REF!</definedName>
    <definedName name="BO100DAFF26E56419D9A8CFC5AE2565CB4" hidden="1">[7]lailo!#REF!</definedName>
    <definedName name="BO1011EFDB7313475AB25630C77E2CD7FB" localSheetId="23" hidden="1">#REF!</definedName>
    <definedName name="BO1011EFDB7313475AB25630C77E2CD7FB" hidden="1">#REF!</definedName>
    <definedName name="BO101B3CBA1D804854AA097B099DEACA06" localSheetId="23" hidden="1">#REF!</definedName>
    <definedName name="BO101B3CBA1D804854AA097B099DEACA06" hidden="1">#REF!</definedName>
    <definedName name="BO101EDBA5B09D4FBEA5C83431A243009A" hidden="1">#REF!</definedName>
    <definedName name="BO1026C64ECF28460A8F1662BA42D1D66F" localSheetId="23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localSheetId="0" hidden="1">#REF!</definedName>
    <definedName name="BO115FD69D0BB94E1398EBFC921472CD65" hidden="1">[9]xml!#REF!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localSheetId="0" hidden="1">#REF!</definedName>
    <definedName name="BO11D45D2A380E4753A698027552BE513C" hidden="1">[8]Ketqua!$I$11:$U$11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localSheetId="0" hidden="1">#REF!</definedName>
    <definedName name="BO1247719AFAA8494CB660516F8BCEC32F" hidden="1">[9]xml!#REF!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localSheetId="0" hidden="1">#REF!</definedName>
    <definedName name="BO128DA76DA2644090B145C6D45306439F" hidden="1">[9]xml!#REF!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localSheetId="0" hidden="1">#REF!</definedName>
    <definedName name="BO132943BF05E04514A93936E60D34EDC6" hidden="1">[8]Ketqua!#REF!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localSheetId="23" hidden="1">#REF!</definedName>
    <definedName name="BO137F3B29748F4BD5886E798FD23F54F8" hidden="1">#REF!</definedName>
    <definedName name="BO1385D29733C14D91B3EEF21CA0EBBD24" localSheetId="23" hidden="1">#REF!</definedName>
    <definedName name="BO1385D29733C14D91B3EEF21CA0EBBD24" hidden="1">#REF!</definedName>
    <definedName name="BO1393899720BE4F51912354E268AF38C4" localSheetId="23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localSheetId="23" hidden="1">#REF!</definedName>
    <definedName name="BO150A5E3D977F48E993F3CB56BD24DB0C" hidden="1">#REF!</definedName>
    <definedName name="BO150F2145D9F048989F095910F6DB863A" hidden="1">#REF!</definedName>
    <definedName name="BO151DE5F71231460FAC324E04EE97CB34" localSheetId="23" hidden="1">#REF!</definedName>
    <definedName name="BO151DE5F71231460FAC324E04EE97CB34" hidden="1">#REF!</definedName>
    <definedName name="BO152CDB1E4CEB4659B8841DB4159ADA15" localSheetId="23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0786834721450AA9E64ED6D3688CA4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localSheetId="23" hidden="1">#REF!</definedName>
    <definedName name="BO17F77ADE17FD4586B5AE23DE524AA455" hidden="1">#REF!</definedName>
    <definedName name="BO180D5AC456C54B1AA485F04675F631C7" localSheetId="23" hidden="1">#REF!</definedName>
    <definedName name="BO180D5AC456C54B1AA485F04675F631C7" hidden="1">#REF!</definedName>
    <definedName name="BO18286B73E6C94321BA98CC7D3C230477" localSheetId="0" hidden="1">#REF!</definedName>
    <definedName name="BO18286B73E6C94321BA98CC7D3C230477" hidden="1">[9]xml!#REF!</definedName>
    <definedName name="BO182E18D1D972408CAAB284BA109EA4A9" localSheetId="23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localSheetId="0" hidden="1">#REF!</definedName>
    <definedName name="BO18FF1F4F75384C64A29B08F84D535D5D" hidden="1">[9]xml!#REF!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localSheetId="0" hidden="1">#REF!</definedName>
    <definedName name="BO196AD46038C94804B4B05CA9A5E476C0" hidden="1">[8]Ketqua!#REF!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localSheetId="23" hidden="1">#REF!</definedName>
    <definedName name="BO1BD3FB86C9A0455BB37599C94BB564CE" localSheetId="21" hidden="1">#REF!</definedName>
    <definedName name="BO1BD3FB86C9A0455BB37599C94BB564CE" localSheetId="20" hidden="1">#REF!</definedName>
    <definedName name="BO1BD3FB86C9A0455BB37599C94BB564CE" localSheetId="0" hidden="1">#REF!</definedName>
    <definedName name="BO1BD3FB86C9A0455BB37599C94BB564CE" hidden="1">[7]lailo!#REF!</definedName>
    <definedName name="BO1BD5BEE3F0664E2299E441B511B97CD6" localSheetId="23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localSheetId="23" hidden="1">#REF!</definedName>
    <definedName name="BO1C1B872000E84603A42BE7E77F4FBEEA" hidden="1">#REF!</definedName>
    <definedName name="BO1C212F7E93FD425EB8C7E403A359ADC4" hidden="1">#REF!</definedName>
    <definedName name="BO1C221C7E133F46F290B6C8355CE46EEB" localSheetId="23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localSheetId="0" hidden="1">#REF!</definedName>
    <definedName name="BO1C5C8D2C30914762A13EA7F12F743B68" hidden="1">[8]Ketqua!#REF!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localSheetId="0" hidden="1">#REF!</definedName>
    <definedName name="BO1CDFABE9376F4369B49FB2A91466507B" hidden="1">[9]xml!#REF!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localSheetId="0" hidden="1">#REF!</definedName>
    <definedName name="BO1EEB43E5768B490D93158CAC36C32735" hidden="1">[8]Ketqua!#REF!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localSheetId="0" hidden="1">#REF!</definedName>
    <definedName name="BO2034D10499B544CB9B0F74995F6888FC" hidden="1">[8]Ketqua!$I$11:$U$11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localSheetId="0" hidden="1">#REF!</definedName>
    <definedName name="BO21545020FCFF4D56B98295C96A8B077E" hidden="1">[9]xml!#REF!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localSheetId="0" hidden="1">#REF!</definedName>
    <definedName name="BO220D7DC8FBCC46DB8AE26ED60EB83250" hidden="1">[9]Giaitrinh!#REF!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localSheetId="23" hidden="1">#REF!</definedName>
    <definedName name="BO227B01F824A3434990F27C39FBDF7F99" hidden="1">#REF!</definedName>
    <definedName name="BO22888E30CEE943998FCB14107ADFE414" localSheetId="0" hidden="1">#REF!</definedName>
    <definedName name="BO22888E30CEE943998FCB14107ADFE414" hidden="1">[8]Ketqua!#REF!</definedName>
    <definedName name="BO228F47AF9DF4454598ED125BC46429B3" hidden="1">#REF!</definedName>
    <definedName name="BO22916AF3B18045F194E6B4C88878CC89" localSheetId="2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localSheetId="23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localSheetId="0" hidden="1">#REF!</definedName>
    <definedName name="BO245314F5F48D49ECB9E2294C5FD21EF4" hidden="1">[10]Giaitrinh!#REF!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localSheetId="0" hidden="1">#REF!</definedName>
    <definedName name="BO253ACAECC53145009F3843BD2D2D919F" hidden="1">[8]Ketqua!#REF!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localSheetId="0" hidden="1">#REF!</definedName>
    <definedName name="BO25CE6931E52947EC9FF070514959E42A" hidden="1">[8]Ketqua!#REF!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localSheetId="23" hidden="1">#REF!</definedName>
    <definedName name="BO2672883EFAC5493481EFB4B31BDD63E6" localSheetId="21" hidden="1">#REF!</definedName>
    <definedName name="BO2672883EFAC5493481EFB4B31BDD63E6" localSheetId="20" hidden="1">#REF!</definedName>
    <definedName name="BO2672883EFAC5493481EFB4B31BDD63E6" localSheetId="0" hidden="1">#REF!</definedName>
    <definedName name="BO2672883EFAC5493481EFB4B31BDD63E6" hidden="1">[7]lailo!#REF!</definedName>
    <definedName name="BO2684A03C65AE4FAC9C61F096104EFFBA" hidden="1">#REF!</definedName>
    <definedName name="BO26B4CA84091B46B0AA4A7DC046DB89D9" localSheetId="23" hidden="1">#REF!</definedName>
    <definedName name="BO26B4CA84091B46B0AA4A7DC046DB89D9" hidden="1">#REF!</definedName>
    <definedName name="BO26C7B304F6FA4B03AB8CF8A8BA949F2F" localSheetId="23" hidden="1">#REF!</definedName>
    <definedName name="BO26C7B304F6FA4B03AB8CF8A8BA949F2F" hidden="1">#REF!</definedName>
    <definedName name="BO26DA3E3B12F143B6A03B8DB89DEB0945" localSheetId="23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localSheetId="0" hidden="1">#REF!</definedName>
    <definedName name="BO2713576DE8C640EB8F34FBFBC18DC2CF" hidden="1">[8]Ketqua!#REF!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localSheetId="23" hidden="1">#REF!</definedName>
    <definedName name="BO276A19D8C2B04DC29C9152E8680B3A3A" localSheetId="21" hidden="1">#REF!</definedName>
    <definedName name="BO276A19D8C2B04DC29C9152E8680B3A3A" localSheetId="20" hidden="1">#REF!</definedName>
    <definedName name="BO276A19D8C2B04DC29C9152E8680B3A3A" localSheetId="0" hidden="1">#REF!</definedName>
    <definedName name="BO276A19D8C2B04DC29C9152E8680B3A3A" hidden="1">[7]lailo!#REF!</definedName>
    <definedName name="BO276E5B75752E42ABA7FFE433FA7483DB" hidden="1">#REF!</definedName>
    <definedName name="BO27717F5DF82846BD86BDA741114D21B0" localSheetId="23" hidden="1">#REF!</definedName>
    <definedName name="BO27717F5DF82846BD86BDA741114D21B0" hidden="1">#REF!</definedName>
    <definedName name="BO27816D7F127044918D1598D188090C9A" localSheetId="0" hidden="1">#REF!</definedName>
    <definedName name="BO27816D7F127044918D1598D188090C9A" hidden="1">[8]Ketqua!#REF!</definedName>
    <definedName name="BO2799BFF607054122BDC70E3D886E6FF4" localSheetId="23" hidden="1">#REF!</definedName>
    <definedName name="BO2799BFF607054122BDC70E3D886E6FF4" hidden="1">#REF!</definedName>
    <definedName name="BO27AFB7AC1D91473EA7307E41C74A7165" hidden="1">#REF!</definedName>
    <definedName name="BO27BA4C88B9F94146BEB079537EB2F2D0" localSheetId="23" hidden="1">#REF!</definedName>
    <definedName name="BO27BA4C88B9F94146BEB079537EB2F2D0" hidden="1">#REF!</definedName>
    <definedName name="BO27C322ECB31949E18971F08D0502AFDC" hidden="1">#REF!</definedName>
    <definedName name="BO27D814C769454C58B42460776C0DC153" localSheetId="0" hidden="1">#REF!</definedName>
    <definedName name="BO27D814C769454C58B42460776C0DC153" hidden="1">[8]Ketqua!$I$11:$U$11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localSheetId="0" hidden="1">#REF!</definedName>
    <definedName name="BO2B91C0FF7A1E481CAFD2A997AED66625" hidden="1">[8]Ketqua!#REF!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localSheetId="23" hidden="1">#REF!</definedName>
    <definedName name="BO2C9B63E184774916BE8749B98B8AE796" localSheetId="21" hidden="1">#REF!</definedName>
    <definedName name="BO2C9B63E184774916BE8749B98B8AE796" localSheetId="20" hidden="1">#REF!</definedName>
    <definedName name="BO2C9B63E184774916BE8749B98B8AE796" localSheetId="0" hidden="1">#REF!</definedName>
    <definedName name="BO2C9B63E184774916BE8749B98B8AE796" hidden="1">[7]lailo!#REF!</definedName>
    <definedName name="BO2CAD8F94E59F41D18ADFAF1D7F6F2436" localSheetId="23" hidden="1">#REF!</definedName>
    <definedName name="BO2CAD8F94E59F41D18ADFAF1D7F6F2436" hidden="1">#REF!</definedName>
    <definedName name="BO2CAEB9A05E524B25B5984BDCD9C073D6" hidden="1">#REF!</definedName>
    <definedName name="BO2CB7639AD20549F3B40E039515EFF2EA" localSheetId="0" hidden="1">#REF!</definedName>
    <definedName name="BO2CB7639AD20549F3B40E039515EFF2EA" hidden="1">[8]Ketqua!$X$16:$AJ$16</definedName>
    <definedName name="BO2CD21433E9524DD5B5827FD905224972" localSheetId="23" hidden="1">#REF!</definedName>
    <definedName name="BO2CD21433E9524DD5B5827FD905224972" hidden="1">#REF!</definedName>
    <definedName name="BO2CFDBA12D8E94FF6AF9B5EA62A3C061E" hidden="1">#REF!</definedName>
    <definedName name="BO2D06A4A023464C6A8482AF000275C1A3" localSheetId="23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localSheetId="0" hidden="1">#REF!</definedName>
    <definedName name="BO2D54BAB3A82B44928B563DE60EC0FD7D" hidden="1">[8]Ketqua!#REF!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localSheetId="0" hidden="1">#REF!</definedName>
    <definedName name="BO2D8E3A6420914965BF19B696C6FDDB98" hidden="1">[9]Giaitrinh!#REF!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localSheetId="0" hidden="1">#REF!</definedName>
    <definedName name="BO2DED502E1D1E4D9C9CCEC23CEB3F40DD" hidden="1">[8]Ketqua!$I$17:$U$17</definedName>
    <definedName name="BO2DED886FB72E452D80B8CDB76E9B61DE" hidden="1">#REF!</definedName>
    <definedName name="BO2DF6685EBC6440CEBADE1F180B3EC72A" hidden="1">#REF!</definedName>
    <definedName name="BO2DFBC5D95CCE4CFEBFF900CE3D346556" localSheetId="23" hidden="1">#REF!</definedName>
    <definedName name="BO2DFBC5D95CCE4CFEBFF900CE3D346556" hidden="1">#REF!</definedName>
    <definedName name="BO2E070348823940B5AC91D46880537C79" localSheetId="23" hidden="1">#REF!</definedName>
    <definedName name="BO2E070348823940B5AC91D46880537C79" hidden="1">#REF!</definedName>
    <definedName name="BO2E0ADDF3EDA5412893AD4ACADC83B2FE" hidden="1">#REF!</definedName>
    <definedName name="BO2E0CEBF6C3334D0486E22BAF923C84FB" localSheetId="0" hidden="1">#REF!</definedName>
    <definedName name="BO2E0CEBF6C3334D0486E22BAF923C84FB" hidden="1">[9]xml!#REF!</definedName>
    <definedName name="BO2E13EDA225FE494DB0E60E9756B990AC" localSheetId="23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localSheetId="0" hidden="1">#REF!</definedName>
    <definedName name="BO2EDBF44490984D53A344E7B9CA6A35D0" hidden="1">[8]Ketqua!$I$11:$U$11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localSheetId="23" hidden="1">#REF!</definedName>
    <definedName name="BO2F88AEEFB75E4DDBA8A5EBA600E78302" hidden="1">#REF!</definedName>
    <definedName name="BO2F8E3968D439492A86A864A71D39F8D2" localSheetId="23" hidden="1">#REF!</definedName>
    <definedName name="BO2F8E3968D439492A86A864A71D39F8D2" hidden="1">#REF!</definedName>
    <definedName name="BO2FB7BBF1D6104358A3FD7E2E098C7429" localSheetId="23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localSheetId="0" hidden="1">#REF!</definedName>
    <definedName name="BO31B1C27CA2784591B3BD7B8F97CEC20D" hidden="1">[8]Ketqua!#REF!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localSheetId="0" hidden="1">#REF!</definedName>
    <definedName name="BO31FF4845F0134E159EDFA068B8DF1456" hidden="1">[8]Ketqua!#REF!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localSheetId="0" hidden="1">#REF!</definedName>
    <definedName name="BO329794FEEEA848A3A8CD1316B34A9B9B" hidden="1">[10]Giaitrinh!#REF!</definedName>
    <definedName name="BO32CC748630CD44A78FE35D7DD55C5CB1" localSheetId="0" hidden="1">#REF!</definedName>
    <definedName name="BO32CC748630CD44A78FE35D7DD55C5CB1" hidden="1">[8]Ketqua!#REF!</definedName>
    <definedName name="BO32D7FC19F8CD43D5BD353992747AA1E4" localSheetId="23" hidden="1">#REF!</definedName>
    <definedName name="BO32D7FC19F8CD43D5BD353992747AA1E4" hidden="1">#REF!</definedName>
    <definedName name="BO32D8C11D52E246B8B1167589D681611B" localSheetId="23" hidden="1">#REF!</definedName>
    <definedName name="BO32D8C11D52E246B8B1167589D681611B" hidden="1">#REF!</definedName>
    <definedName name="BO32E5AAF47BE844E89F8DAB3CAEDFA7E3" localSheetId="23" hidden="1">#REF!</definedName>
    <definedName name="BO32E5AAF47BE844E89F8DAB3CAEDFA7E3" hidden="1">#REF!</definedName>
    <definedName name="BO32FCC3651E0F431EB99F7A93F30F5188" localSheetId="0" hidden="1">#REF!</definedName>
    <definedName name="BO32FCC3651E0F431EB99F7A93F30F5188" hidden="1">[9]Giaitrinh!#REF!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localSheetId="0" hidden="1">#REF!</definedName>
    <definedName name="BO348D5DD8702F4F70A5106B888B0D1864" hidden="1">[8]Ketqua!#REF!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localSheetId="0" hidden="1">#REF!</definedName>
    <definedName name="BO35FDB2AB3FBE44869B1B8C3CB0C955E2" hidden="1">[8]Ketqua!#REF!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localSheetId="23" hidden="1">#REF!</definedName>
    <definedName name="BO36B9487F3641418B8ACA31CB944BB8AC" hidden="1">#REF!</definedName>
    <definedName name="BO36C4508DEA7F40C0A94189CB472FEECD" localSheetId="23" hidden="1">#REF!</definedName>
    <definedName name="BO36C4508DEA7F40C0A94189CB472FEECD" hidden="1">#REF!</definedName>
    <definedName name="BO36CC36EEBD19426B8489215F05CAE479" localSheetId="23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localSheetId="0" hidden="1">#REF!</definedName>
    <definedName name="BO36FCC1C5E1AF49029E2528DB50E43E11" hidden="1">[8]Ketqua!#REF!</definedName>
    <definedName name="BO372580F35EB94DCB9B281AD98E2EDC25" hidden="1">#REF!</definedName>
    <definedName name="BO3728122716B1408E8B7F370B9BBFDADD" localSheetId="23" hidden="1">#REF!</definedName>
    <definedName name="BO3728122716B1408E8B7F370B9BBFDADD" localSheetId="21" hidden="1">#REF!</definedName>
    <definedName name="BO3728122716B1408E8B7F370B9BBFDADD" localSheetId="20" hidden="1">#REF!</definedName>
    <definedName name="BO3728122716B1408E8B7F370B9BBFDADD" localSheetId="0" hidden="1">#REF!</definedName>
    <definedName name="BO3728122716B1408E8B7F370B9BBFDADD" hidden="1">[7]lailo!#REF!</definedName>
    <definedName name="BO372B76582FE64CDDB640E1C4CC66816E" localSheetId="23" hidden="1">#REF!</definedName>
    <definedName name="BO372B76582FE64CDDB640E1C4CC66816E" hidden="1">#REF!</definedName>
    <definedName name="BO37340AA5A61D4C2BACAB348564C36793" localSheetId="23" hidden="1">#REF!</definedName>
    <definedName name="BO37340AA5A61D4C2BACAB348564C36793" hidden="1">#REF!</definedName>
    <definedName name="BO37357DFCCF2E4C95A13F5E9BDBE13910" hidden="1">#REF!</definedName>
    <definedName name="BO374DA8768B8840DD89E1BD17E3812962" localSheetId="23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localSheetId="23" hidden="1">#REF!</definedName>
    <definedName name="BO37A8522087C146439B47E95567DA2B00" localSheetId="21" hidden="1">#REF!</definedName>
    <definedName name="BO37A8522087C146439B47E95567DA2B00" localSheetId="20" hidden="1">#REF!</definedName>
    <definedName name="BO37A8522087C146439B47E95567DA2B00" localSheetId="0" hidden="1">#REF!</definedName>
    <definedName name="BO37A8522087C146439B47E95567DA2B00" hidden="1">[7]lailo!#REF!</definedName>
    <definedName name="BO37B380A5EF9E4B5785D42AEFE11DD44F" localSheetId="23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localSheetId="23" hidden="1">#REF!</definedName>
    <definedName name="BO37DE2C87F23F492A883E07ACF3059AEC" hidden="1">#REF!</definedName>
    <definedName name="BO37E5C32029EF417DBAE749FA4EA393F1" hidden="1">#REF!</definedName>
    <definedName name="BO37E9B4F24D7044948C8E1450B6B2939F" localSheetId="23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localSheetId="23" hidden="1">#REF!</definedName>
    <definedName name="BO3909BFA3143A4B58B6B8CEB581E9528C" localSheetId="21" hidden="1">#REF!</definedName>
    <definedName name="BO3909BFA3143A4B58B6B8CEB581E9528C" localSheetId="20" hidden="1">#REF!</definedName>
    <definedName name="BO3909BFA3143A4B58B6B8CEB581E9528C" localSheetId="0" hidden="1">#REF!</definedName>
    <definedName name="BO3909BFA3143A4B58B6B8CEB581E9528C" hidden="1">[7]lailo!#REF!</definedName>
    <definedName name="BO391485D7A3744249AFEF297F87D28D9C" localSheetId="23" hidden="1">#REF!</definedName>
    <definedName name="BO391485D7A3744249AFEF297F87D28D9C" hidden="1">#REF!</definedName>
    <definedName name="BO39253DB67439440A8208AFD7A588CDDB" hidden="1">#REF!</definedName>
    <definedName name="BO392A098005984AFF8D735A33037308AD" localSheetId="0" hidden="1">#REF!</definedName>
    <definedName name="BO392A098005984AFF8D735A33037308AD" hidden="1">[8]Ketqua!$I$4:$U$4</definedName>
    <definedName name="BO392F5AFEC2BE4937BD3679C489E57222" localSheetId="23" hidden="1">#REF!</definedName>
    <definedName name="BO392F5AFEC2BE4937BD3679C489E57222" hidden="1">#REF!</definedName>
    <definedName name="BO3949FD8C43E84F93B3A81C3E9948A54A" hidden="1">#REF!</definedName>
    <definedName name="BO394F50F2B1F041FC8CEEF06DA709E3C0" localSheetId="23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localSheetId="0" hidden="1">#REF!</definedName>
    <definedName name="BO399E5D7E445147B68FD2A13DF7A45368" hidden="1">[9]Giaitrinh!#REF!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localSheetId="0" hidden="1">#REF!</definedName>
    <definedName name="BO3B8EDFAE9CEF4668895EF6B04607C798" hidden="1">[8]Ketqua!$I$11:$U$11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localSheetId="23" hidden="1">#REF!</definedName>
    <definedName name="BO3D2A93D0CEE640F2A7237D66055200CB" hidden="1">#REF!</definedName>
    <definedName name="BO3D2F486FFEA84E548438ED9ED135ADB5" localSheetId="23" hidden="1">#REF!</definedName>
    <definedName name="BO3D2F486FFEA84E548438ED9ED135ADB5" hidden="1">#REF!</definedName>
    <definedName name="BO3D344CA86F824CC58E2074DCE334FF25" localSheetId="23" hidden="1">#REF!</definedName>
    <definedName name="BO3D344CA86F824CC58E2074DCE334FF25" hidden="1">#REF!</definedName>
    <definedName name="BO3D4564B23F3B4C9895009145888A42D0" localSheetId="23" hidden="1">#REF!</definedName>
    <definedName name="BO3D4564B23F3B4C9895009145888A42D0" hidden="1">#REF!</definedName>
    <definedName name="BO3D49C3ACBF084CF2854C8BDB4F4D4739" localSheetId="23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localSheetId="0" hidden="1">#REF!</definedName>
    <definedName name="BO3E4674A939C24DFAA1C88B525C373305" hidden="1">[9]Giaitrinh!#REF!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localSheetId="0" hidden="1">#REF!</definedName>
    <definedName name="BO3EB98F7D879348158884714BB62D2C9B" hidden="1">[9]xml!#REF!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localSheetId="0" hidden="1">#REF!</definedName>
    <definedName name="BO3F0398545889487D954D70C6205F57CF" hidden="1">[8]Ketqua!#REF!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localSheetId="23" hidden="1">#REF!</definedName>
    <definedName name="BO4057EC314CEC47798B0627DC202DE337" localSheetId="21" hidden="1">#REF!</definedName>
    <definedName name="BO4057EC314CEC47798B0627DC202DE337" localSheetId="20" hidden="1">#REF!</definedName>
    <definedName name="BO4057EC314CEC47798B0627DC202DE337" localSheetId="0" hidden="1">#REF!</definedName>
    <definedName name="BO4057EC314CEC47798B0627DC202DE337" hidden="1">[7]lailo!#REF!</definedName>
    <definedName name="BO406956B8DA1449F7A85FCAF9D714DC11" localSheetId="23" hidden="1">#REF!</definedName>
    <definedName name="BO406956B8DA1449F7A85FCAF9D714DC11" hidden="1">#REF!</definedName>
    <definedName name="BO406B5E0DD44D489B88870815BE1210AE" hidden="1">#REF!</definedName>
    <definedName name="BO40A83F555A3A46FC8D7622D2461C15B6" localSheetId="23" hidden="1">#REF!</definedName>
    <definedName name="BO40A83F555A3A46FC8D7622D2461C15B6" hidden="1">#REF!</definedName>
    <definedName name="BO40B0DAC65A66497B994FCA747A9D2A39" localSheetId="23" hidden="1">#REF!</definedName>
    <definedName name="BO40B0DAC65A66497B994FCA747A9D2A39" hidden="1">#REF!</definedName>
    <definedName name="BO40C63385871F435599B49F3844E13CC2" hidden="1">#REF!</definedName>
    <definedName name="BO40C86DE5C5854E9FA416FC598691D107" localSheetId="23" hidden="1">#REF!</definedName>
    <definedName name="BO40C86DE5C5854E9FA416FC598691D107" hidden="1">#REF!</definedName>
    <definedName name="BO40DBB652AFEC435CBECB93AC0C44ADAB" localSheetId="23" hidden="1">#REF!</definedName>
    <definedName name="BO40DBB652AFEC435CBECB93AC0C44ADAB" hidden="1">#REF!</definedName>
    <definedName name="BO40E48E25225B4A02828BB2163C89438D" localSheetId="23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localSheetId="0" hidden="1">#REF!</definedName>
    <definedName name="BO42A0B3431CAC44BA97E83B69B05F5E78" hidden="1">[8]Ketqua!#REF!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localSheetId="23" hidden="1">#REF!</definedName>
    <definedName name="BO4325C4CE5A6A40EDB239CE3FEA93D616" localSheetId="21" hidden="1">#REF!</definedName>
    <definedName name="BO4325C4CE5A6A40EDB239CE3FEA93D616" localSheetId="20" hidden="1">#REF!</definedName>
    <definedName name="BO4325C4CE5A6A40EDB239CE3FEA93D616" localSheetId="0" hidden="1">#REF!</definedName>
    <definedName name="BO4325C4CE5A6A40EDB239CE3FEA93D616" hidden="1">[7]lailo!#REF!</definedName>
    <definedName name="BO433499B555AB4935A23F3FB59353D2EE" localSheetId="23" hidden="1">#REF!</definedName>
    <definedName name="BO433499B555AB4935A23F3FB59353D2EE" hidden="1">#REF!</definedName>
    <definedName name="BO4335FDB3189549F5BF6D0B206D64D24B" hidden="1">#REF!</definedName>
    <definedName name="BO434317F8DA9741658242E88E107EFF2F" localSheetId="23" hidden="1">#REF!</definedName>
    <definedName name="BO434317F8DA9741658242E88E107EFF2F" hidden="1">#REF!</definedName>
    <definedName name="BO435DD626F933429CBF3601013675993A" localSheetId="0" hidden="1">#REF!</definedName>
    <definedName name="BO435DD626F933429CBF3601013675993A" hidden="1">[9]Kehoachchitiet!#REF!</definedName>
    <definedName name="BO43641DD769414698AF63B91F89C2CE66" localSheetId="23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localSheetId="0" hidden="1">#REF!</definedName>
    <definedName name="BO44D4229713E3428698EACDF7F9B51DFC" hidden="1">[9]Giaitrinh!#REF!</definedName>
    <definedName name="BO44DA8E66CD4940489F111E91BC74453C" localSheetId="0" hidden="1">#REF!</definedName>
    <definedName name="BO44DA8E66CD4940489F111E91BC74453C" hidden="1">[10]Giaitrinh!#REF!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localSheetId="0" hidden="1">#REF!</definedName>
    <definedName name="BO454BFF91FD534BF88883176101908687" hidden="1">[9]Kehoachchitiet!#REF!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localSheetId="23" hidden="1">#REF!</definedName>
    <definedName name="BO4654F35AE4A94B88914D5564F493E506" hidden="1">#REF!</definedName>
    <definedName name="BO469232BE89F143549B8E870E500AC925" localSheetId="23" hidden="1">#REF!</definedName>
    <definedName name="BO469232BE89F143549B8E870E500AC925" hidden="1">#REF!</definedName>
    <definedName name="BO46CE713E74794E9F8F0DAAA6B64AA6A0" localSheetId="23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localSheetId="0" hidden="1">#REF!</definedName>
    <definedName name="BO47FE1908C88F4900971BC7AD61476814" hidden="1">[8]Ketqua!#REF!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localSheetId="0" hidden="1">#REF!</definedName>
    <definedName name="BO48EE5418E8DD4622BB78F4DF1C2A142A" hidden="1">[8]Ketqua!$I$10:$U$10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localSheetId="0" hidden="1">#REF!</definedName>
    <definedName name="BO4A648412D7AD41F39C281FF6AACFFB1C" hidden="1">[8]Ketqua!$I$10:$U$10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localSheetId="23" hidden="1">#REF!</definedName>
    <definedName name="BO4AAF3ED43D1F4BA0A617F05B5FA98022" localSheetId="21" hidden="1">#REF!</definedName>
    <definedName name="BO4AAF3ED43D1F4BA0A617F05B5FA98022" localSheetId="20" hidden="1">#REF!</definedName>
    <definedName name="BO4AAF3ED43D1F4BA0A617F05B5FA98022" localSheetId="0" hidden="1">#REF!</definedName>
    <definedName name="BO4AAF3ED43D1F4BA0A617F05B5FA98022" hidden="1">[7]lailo!#REF!</definedName>
    <definedName name="BO4ABD4D97307B4665ADA92858FAEF49D4" hidden="1">#REF!</definedName>
    <definedName name="BO4AD6EA5278B146B49BB6298E4865E4B4" localSheetId="23" hidden="1">#REF!</definedName>
    <definedName name="BO4AD6EA5278B146B49BB6298E4865E4B4" hidden="1">#REF!</definedName>
    <definedName name="BO4B55FBE7704D4E8ABFBBA6B9FCFCCE0B" hidden="1">#REF!</definedName>
    <definedName name="BO4B600A1E72F94C77B9817B555BEAFCFC" localSheetId="23" hidden="1">#REF!</definedName>
    <definedName name="BO4B600A1E72F94C77B9817B555BEAFCFC" hidden="1">#REF!</definedName>
    <definedName name="BO4B85FA2CA3EB4164B387DE75A013145C" localSheetId="23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localSheetId="23" hidden="1">#REF!</definedName>
    <definedName name="BO4C322C3F08A04888A840CDEC0E0EEECC" hidden="1">#REF!</definedName>
    <definedName name="BO4C3F2B01E1944D59BEB55C5175EBAEA9" localSheetId="23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localSheetId="23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localSheetId="0" hidden="1">#REF!</definedName>
    <definedName name="BO4CA027B4B11C4E88BEA7D5AB0FBFE55C" hidden="1">[9]xml!#REF!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localSheetId="23" hidden="1">#REF!</definedName>
    <definedName name="BO4CF4185D197F40448CE36FEDF9D760A5" hidden="1">#REF!</definedName>
    <definedName name="BO4CF7712420B0467CA6C396B58471C17C" localSheetId="23" hidden="1">#REF!</definedName>
    <definedName name="BO4CF7712420B0467CA6C396B58471C17C" hidden="1">#REF!</definedName>
    <definedName name="BO4CFE4749AA3E4E43BC1AC4E546D31AFE" localSheetId="0" hidden="1">#REF!</definedName>
    <definedName name="BO4CFE4749AA3E4E43BC1AC4E546D31AFE" hidden="1">[8]Ketqua!$I$9:$U$9</definedName>
    <definedName name="BO4D111DFC879A4267A8F215A9F3EE7545" hidden="1">#REF!</definedName>
    <definedName name="BO4D176891D0D447959B2CE9E30A490257" localSheetId="23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localSheetId="0" hidden="1">#REF!</definedName>
    <definedName name="BO4DF2AB7750BF42EB9D57BA4D725243B3" hidden="1">[9]xml!#REF!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localSheetId="0" hidden="1">#REF!</definedName>
    <definedName name="BO4EABBA73A2DA454BA953C9AE702A13FB" hidden="1">[9]xml!#REF!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localSheetId="0" hidden="1">#REF!</definedName>
    <definedName name="BO4EC7C41902974BF0A985E634282CB07E" hidden="1">[9]xml!#REF!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localSheetId="0" hidden="1">#REF!</definedName>
    <definedName name="BO4F0FF9C21C6E41768DF300AE990AF1DC" hidden="1">[9]Giaitrinh!#REF!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localSheetId="0" hidden="1">#REF!</definedName>
    <definedName name="BO522BE2FBF700464AAFC7A88746B3102A" hidden="1">[8]Ketqua!#REF!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localSheetId="0" hidden="1">#REF!</definedName>
    <definedName name="BO52D5C0A0C34646D0A9DBF31C7B4681BE" hidden="1">[8]Ketqua!#REF!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localSheetId="0" hidden="1">#REF!</definedName>
    <definedName name="BO5428BC2AC15245C392FAD48AC0E1D1D3" hidden="1">[9]xml!#REF!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4F7BDCBE69647888EF1706EEA8759AF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localSheetId="0" hidden="1">#REF!</definedName>
    <definedName name="BO553136AC6422422C818B96B66C2C3990" hidden="1">[9]Giaitrinh!#REF!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localSheetId="0" hidden="1">#REF!</definedName>
    <definedName name="BO56C93C031ADA4A8CB9AA79E06B808B71" hidden="1">[9]Kehoachchitiet!#REF!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localSheetId="0" hidden="1">#REF!</definedName>
    <definedName name="BO57A6BD4AE8E243E494577EAD1CBE5386" hidden="1">[9]Giaitrinh!#REF!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localSheetId="0" hidden="1">#REF!</definedName>
    <definedName name="BO583C6F5C29CF4F41A54EA713AA1355F6" hidden="1">[8]Ketqua!#REF!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localSheetId="0" hidden="1">#REF!</definedName>
    <definedName name="BO58B56024014C4E80B3014C3EBF2F4731" hidden="1">[8]Ketqua!$I$16:$U$16</definedName>
    <definedName name="BO58C0409804204ACC886A26B469A98FCA" localSheetId="0" hidden="1">#REF!</definedName>
    <definedName name="BO58C0409804204ACC886A26B469A98FCA" hidden="1">[8]Ketqua!#REF!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localSheetId="23" hidden="1">#REF!,#REF!,#REF!</definedName>
    <definedName name="BO5B3F6E178E114DF088F00C8568A47DBA" hidden="1">#REF!,#REF!,#REF!</definedName>
    <definedName name="BO5B4F0CF744DC4B488CF71D96F8AA06B0" localSheetId="23" hidden="1">#REF!</definedName>
    <definedName name="BO5B4F0CF744DC4B488CF71D96F8AA06B0" hidden="1">#REF!</definedName>
    <definedName name="BO5B52615A450A4CC1B8803DBA2D89031C" hidden="1">#REF!</definedName>
    <definedName name="BO5B55604609A24CB3BC03E06DDE68A82D" localSheetId="23" hidden="1">#REF!</definedName>
    <definedName name="BO5B55604609A24CB3BC03E06DDE68A82D" hidden="1">#REF!</definedName>
    <definedName name="BO5B5DBF9A9EF44018BFA2A181AD7141DD" localSheetId="23" hidden="1">#REF!</definedName>
    <definedName name="BO5B5DBF9A9EF44018BFA2A181AD7141DD" hidden="1">#REF!</definedName>
    <definedName name="BO5B6647E500B64C49A067CFE98195A323" localSheetId="0" hidden="1">#REF!</definedName>
    <definedName name="BO5B6647E500B64C49A067CFE98195A323" hidden="1">[9]Giaitrinh!#REF!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localSheetId="0" hidden="1">#REF!</definedName>
    <definedName name="BO5C73CAE6A2834A4B94D14E18B48EAF16" hidden="1">[9]Kehoachchitiet!#REF!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localSheetId="23" hidden="1">#REF!</definedName>
    <definedName name="BO5C902D60CF47456FA169B1087280482B" localSheetId="21" hidden="1">#REF!</definedName>
    <definedName name="BO5C902D60CF47456FA169B1087280482B" localSheetId="20" hidden="1">#REF!</definedName>
    <definedName name="BO5C902D60CF47456FA169B1087280482B" localSheetId="0" hidden="1">#REF!</definedName>
    <definedName name="BO5C902D60CF47456FA169B1087280482B" hidden="1">[7]lailo!#REF!</definedName>
    <definedName name="BO5C920D0B5B1345BABC2366B7DA1C5E25" hidden="1">#REF!</definedName>
    <definedName name="BO5C93DD374DC2423B967014357CA2D571" localSheetId="23" hidden="1">#REF!</definedName>
    <definedName name="BO5C93DD374DC2423B967014357CA2D571" hidden="1">#REF!</definedName>
    <definedName name="BO5CDE450990984959AE300DAC644A2FF4" localSheetId="23" hidden="1">#REF!</definedName>
    <definedName name="BO5CDE450990984959AE300DAC644A2FF4" hidden="1">#REF!</definedName>
    <definedName name="BO5CF7FE1385DD4292AE9F612853C6FE33" localSheetId="23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localSheetId="23" hidden="1">#REF!</definedName>
    <definedName name="BO5D45774D31BA47B8AE1E174DE6B88DC5" localSheetId="21" hidden="1">#REF!</definedName>
    <definedName name="BO5D45774D31BA47B8AE1E174DE6B88DC5" localSheetId="20" hidden="1">#REF!</definedName>
    <definedName name="BO5D45774D31BA47B8AE1E174DE6B88DC5" localSheetId="0" hidden="1">#REF!</definedName>
    <definedName name="BO5D45774D31BA47B8AE1E174DE6B88DC5" hidden="1">[7]lailo!#REF!</definedName>
    <definedName name="BO5D46C9AD71BC4FDD877EA97718D4BBE9" hidden="1">#REF!</definedName>
    <definedName name="BO5D53DC92829E4BB3B851B388A11032F7" localSheetId="23" hidden="1">#REF!</definedName>
    <definedName name="BO5D53DC92829E4BB3B851B388A11032F7" hidden="1">#REF!</definedName>
    <definedName name="BO5D5F2491E93B4AA3B9D27F259616BD98" localSheetId="23" hidden="1">#REF!</definedName>
    <definedName name="BO5D5F2491E93B4AA3B9D27F259616BD98" hidden="1">#REF!</definedName>
    <definedName name="BO5D8CD6A969174366A721D16A14A45C76" localSheetId="23" hidden="1">#REF!</definedName>
    <definedName name="BO5D8CD6A969174366A721D16A14A45C76" hidden="1">#REF!</definedName>
    <definedName name="BO5D8DDEA539B94BF8ADF2FE3FCCF8C381" localSheetId="23" hidden="1">#REF!</definedName>
    <definedName name="BO5D8DDEA539B94BF8ADF2FE3FCCF8C381" hidden="1">#REF!</definedName>
    <definedName name="BO5D8F589A53DA42018080ED77A6B492DE" localSheetId="23" hidden="1">#REF!</definedName>
    <definedName name="BO5D8F589A53DA42018080ED77A6B492DE" hidden="1">#REF!</definedName>
    <definedName name="BO5D9DFDE61A224480A6661F17796BBA5F" localSheetId="23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localSheetId="23" hidden="1">#REF!</definedName>
    <definedName name="BO5E15162F9C004ABAA5599FEAD7B0B618" localSheetId="21" hidden="1">#REF!</definedName>
    <definedName name="BO5E15162F9C004ABAA5599FEAD7B0B618" localSheetId="20" hidden="1">#REF!</definedName>
    <definedName name="BO5E15162F9C004ABAA5599FEAD7B0B618" localSheetId="0" hidden="1">#REF!</definedName>
    <definedName name="BO5E15162F9C004ABAA5599FEAD7B0B618" hidden="1">[7]lailo!#REF!</definedName>
    <definedName name="BO5E3521EC573C4D1095E01CA58AD9FF10" localSheetId="23" hidden="1">#REF!</definedName>
    <definedName name="BO5E3521EC573C4D1095E01CA58AD9FF10" hidden="1">#REF!</definedName>
    <definedName name="BO5E3AEC809E10421B846FB0743CBC6A3D" localSheetId="23" hidden="1">#REF!</definedName>
    <definedName name="BO5E3AEC809E10421B846FB0743CBC6A3D" hidden="1">#REF!</definedName>
    <definedName name="BO5E3D11B36BB24ABE9E39A8B7C3313197" hidden="1">#REF!</definedName>
    <definedName name="BO5E4EFB78D6D043F8BD8B4785CD5E7216" localSheetId="23" hidden="1">#REF!</definedName>
    <definedName name="BO5E4EFB78D6D043F8BD8B4785CD5E7216" hidden="1">#REF!</definedName>
    <definedName name="BO5E543CAB34A54B94A48D330415EE4DD1" hidden="1">#REF!</definedName>
    <definedName name="BO5E6433AEBB09449AAB690755E35CE034" localSheetId="0" hidden="1">#REF!</definedName>
    <definedName name="BO5E6433AEBB09449AAB690755E35CE034" hidden="1">[8]Ketqua!#REF!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localSheetId="0" hidden="1">#REF!</definedName>
    <definedName name="BO5F7BA0B96A7C4F7A90ACFCB804B8F5F2" hidden="1">[8]Ketqua!#REF!</definedName>
    <definedName name="BO5F905E63F3BB424BB231F0911BD9D24C" hidden="1">#REF!</definedName>
    <definedName name="BO5F92419A2B2042A88CF6F07560803C22" localSheetId="0" hidden="1">#REF!</definedName>
    <definedName name="BO5F92419A2B2042A88CF6F07560803C22" hidden="1">[8]Ketqua!#REF!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localSheetId="0" hidden="1">#REF!</definedName>
    <definedName name="BO5FC82D2B3FCB499BAA5955760CB32BD2" hidden="1">[8]Ketqua!#REF!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localSheetId="0" hidden="1">#REF!</definedName>
    <definedName name="BO60BD75B8DBEA4387803CB4AFC1DE479F" hidden="1">[8]Ketqua!#REF!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localSheetId="0" hidden="1">#REF!</definedName>
    <definedName name="BO615909B743C44F0A96BD891389726A2E" hidden="1">[8]Ketqua!#REF!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localSheetId="0" hidden="1">#REF!</definedName>
    <definedName name="BO6176C8ADB7DA45CAB2379E250E1F35F3" hidden="1">[8]Ketqua!#REF!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localSheetId="23" hidden="1">#REF!</definedName>
    <definedName name="BO65A8281E60C44053BCA2C62905C7294C" localSheetId="21" hidden="1">#REF!</definedName>
    <definedName name="BO65A8281E60C44053BCA2C62905C7294C" localSheetId="20" hidden="1">#REF!</definedName>
    <definedName name="BO65A8281E60C44053BCA2C62905C7294C" localSheetId="0" hidden="1">#REF!</definedName>
    <definedName name="BO65A8281E60C44053BCA2C62905C7294C" hidden="1">[7]lailo!#REF!</definedName>
    <definedName name="BO65AF0ADBEA604FABB6F823015E2A0312" hidden="1">#REF!</definedName>
    <definedName name="BO65B1FC7930AC4569A87D782EFEA863CD" localSheetId="23" hidden="1">#REF!</definedName>
    <definedName name="BO65B1FC7930AC4569A87D782EFEA863CD" hidden="1">#REF!</definedName>
    <definedName name="BO65BA49055D564A788303C1D5B6B70FAE" hidden="1">#REF!</definedName>
    <definedName name="BO65C848D545844E74AEAC85B6656A7F71" localSheetId="23" hidden="1">#REF!</definedName>
    <definedName name="BO65C848D545844E74AEAC85B6656A7F71" hidden="1">#REF!</definedName>
    <definedName name="BO65D4C34990C749D99149EFB3442902EC" localSheetId="23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localSheetId="0" hidden="1">#REF!</definedName>
    <definedName name="BO662440E41F1741A2A2721ECCCA48BE17" hidden="1">[9]Kehoachchitiet!#REF!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localSheetId="0" hidden="1">#REF!</definedName>
    <definedName name="BO671688DCDB4B483A894E29F6D231299E" hidden="1">[9]xml!#REF!</definedName>
    <definedName name="BO671FC621F5464305BB220A1036FBD91D" hidden="1">#REF!</definedName>
    <definedName name="BO67235AAEA53943DA8E3A17FEA2A9CDE9" hidden="1">#REF!</definedName>
    <definedName name="BO6727EE8A602E47A0A5F4DC7B9C146B6A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localSheetId="23" hidden="1">#REF!</definedName>
    <definedName name="BO67533EA6D04240D48B3A9395CDECDB8D" localSheetId="21" hidden="1">#REF!</definedName>
    <definedName name="BO67533EA6D04240D48B3A9395CDECDB8D" localSheetId="20" hidden="1">#REF!</definedName>
    <definedName name="BO67533EA6D04240D48B3A9395CDECDB8D" localSheetId="0" hidden="1">#REF!</definedName>
    <definedName name="BO67533EA6D04240D48B3A9395CDECDB8D" hidden="1">[7]lailo!#REF!</definedName>
    <definedName name="BO675C8934274A466E92901183185078EA" localSheetId="23" hidden="1">#REF!</definedName>
    <definedName name="BO675C8934274A466E92901183185078EA" hidden="1">#REF!</definedName>
    <definedName name="BO676E843689F14388A99B0E52C08F2CA0" localSheetId="23" hidden="1">#REF!</definedName>
    <definedName name="BO676E843689F14388A99B0E52C08F2CA0" hidden="1">#REF!</definedName>
    <definedName name="BO677D79CB5B4E450EB369C28034B70BE1" localSheetId="23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localSheetId="0" hidden="1">#REF!</definedName>
    <definedName name="BO680A36C2E43E4245934EE681ECC82FC1" hidden="1">[8]Ketqua!#REF!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localSheetId="0" hidden="1">#REF!</definedName>
    <definedName name="BO68B5D0347A3B4C45B93128A49F2C24BC" hidden="1">[9]xml!#REF!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localSheetId="0" hidden="1">#REF!</definedName>
    <definedName name="BO6B71F895F44643F6AAD789C645D0E8E0" hidden="1">[9]xml!#REF!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localSheetId="0" hidden="1">#REF!</definedName>
    <definedName name="BO6BD7D8156ED44891A5AF1DABF35D4404" hidden="1">[8]Ketqua!$I$4:$U$4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localSheetId="0" hidden="1">#REF!</definedName>
    <definedName name="BO6F1E1F5F203B44BC9BB6CFF0E412E2D8" hidden="1">[8]Ketqua!$I$10:$U$10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localSheetId="0" hidden="1">#REF!</definedName>
    <definedName name="BO6FED0E09E17C44269179A5BC3F6CC318" hidden="1">[10]Giaitrinh!#REF!</definedName>
    <definedName name="BO700D962BEB2C4A76B4DB1654681DB4D5" hidden="1">#REF!</definedName>
    <definedName name="BO7015443836B74EC2A91F23CB32C3480B" hidden="1">#REF!</definedName>
    <definedName name="BO703AED9A8E984D3DB066D87D9CC0AAF8" localSheetId="0" hidden="1">#REF!</definedName>
    <definedName name="BO703AED9A8E984D3DB066D87D9CC0AAF8" hidden="1">[8]Ketqua!#REF!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localSheetId="0" hidden="1">#REF!</definedName>
    <definedName name="BO7106DC84060C4E658091D86955D71B96" hidden="1">[9]Giaitrinh!#REF!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localSheetId="23" hidden="1">#REF!</definedName>
    <definedName name="BO733E15FC2902430994339FF32CD32B87" localSheetId="21" hidden="1">#REF!</definedName>
    <definedName name="BO733E15FC2902430994339FF32CD32B87" localSheetId="20" hidden="1">#REF!</definedName>
    <definedName name="BO733E15FC2902430994339FF32CD32B87" localSheetId="0" hidden="1">#REF!</definedName>
    <definedName name="BO733E15FC2902430994339FF32CD32B87" hidden="1">[7]lailo!#REF!</definedName>
    <definedName name="BO739D4ED563DB42BFA16CE320226F8C0E" localSheetId="23" hidden="1">#REF!</definedName>
    <definedName name="BO739D4ED563DB42BFA16CE320226F8C0E" hidden="1">#REF!</definedName>
    <definedName name="BO73C8D12805554866BDCFE518BBA0B179" hidden="1">#REF!</definedName>
    <definedName name="BO73D5E3CE0DB6414399F7EE6D4D82A5D9" localSheetId="0" hidden="1">#REF!</definedName>
    <definedName name="BO73D5E3CE0DB6414399F7EE6D4D82A5D9" hidden="1">[9]xml!#REF!</definedName>
    <definedName name="BO73DBB5DE1D1C4A9AA93FF45D7FECB44A" localSheetId="23" hidden="1">#REF!</definedName>
    <definedName name="BO73DBB5DE1D1C4A9AA93FF45D7FECB44A" hidden="1">#REF!</definedName>
    <definedName name="BO740BD9ACD53D4068A50D01FBE388B184" hidden="1">#REF!</definedName>
    <definedName name="BO742F8B43AB074371B4AD08D54D922616" localSheetId="23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localSheetId="0" hidden="1">#REF!</definedName>
    <definedName name="BO75ADB4F32A9B4C6B9B23A6F06C77B2FA" hidden="1">[8]Ketqua!#REF!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53547F56F8431DB45F419C143E91D7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localSheetId="0" hidden="1">#REF!</definedName>
    <definedName name="BO77A82294730E49ADA1F07FC8F00AA69D" hidden="1">[8]Ketqua!#REF!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localSheetId="0" hidden="1">#REF!</definedName>
    <definedName name="BO77E3BD8340C8474DA7D45CEC71ECC2E7" hidden="1">[9]Giaitrinh!#REF!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localSheetId="0" hidden="1">#REF!</definedName>
    <definedName name="BO786482A3A5514950BBE4162F7C12A46A" hidden="1">[9]xml!#REF!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localSheetId="0" hidden="1">#REF!</definedName>
    <definedName name="BO797DA6191F9E43AB8625A5F6351A1609" hidden="1">[10]Giaitrinh!#REF!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localSheetId="23" hidden="1">#REF!</definedName>
    <definedName name="BO7ACA129047DD45B99142AD4BF2FE6CE9" hidden="1">#REF!</definedName>
    <definedName name="BO7ADAAAF76D5D4F11A1D6DCE52EDC3F0E" localSheetId="23" hidden="1">#REF!</definedName>
    <definedName name="BO7ADAAAF76D5D4F11A1D6DCE52EDC3F0E" hidden="1">#REF!</definedName>
    <definedName name="BO7AE3A7858A9F4CE792E7BB1F7DE939D9" localSheetId="23" hidden="1">#REF!</definedName>
    <definedName name="BO7AE3A7858A9F4CE792E7BB1F7DE939D9" hidden="1">#REF!</definedName>
    <definedName name="BO7AECE17A45E947888D280C0A3669697F" localSheetId="0" hidden="1">#REF!</definedName>
    <definedName name="BO7AECE17A45E947888D280C0A3669697F" hidden="1">[8]Ketqua!$I$11:$U$11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localSheetId="0" hidden="1">#REF!</definedName>
    <definedName name="BO7B5705FA795B4415A95726BFE7507495" hidden="1">[9]xml!#REF!</definedName>
    <definedName name="BO7B6ECD01275743B881052FD39FD5FD32" localSheetId="23" hidden="1">#REF!</definedName>
    <definedName name="BO7B6ECD01275743B881052FD39FD5FD32" hidden="1">#REF!</definedName>
    <definedName name="BO7BB71DF7CC7F4BF49D180F690BD5DBBE" localSheetId="23" hidden="1">#REF!</definedName>
    <definedName name="BO7BB71DF7CC7F4BF49D180F690BD5DBBE" hidden="1">#REF!</definedName>
    <definedName name="BO7BB7CC54118D40FAA4097E91803D491F" localSheetId="23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localSheetId="0" hidden="1">#REF!</definedName>
    <definedName name="BO7FA568F38B8549BD8CCB4099EBA6D59E" hidden="1">[8]Ketqua!#REF!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localSheetId="0" hidden="1">#REF!</definedName>
    <definedName name="BO7FED074D327A46A5B3846340D3E435AA" hidden="1">[8]Ketqua!$X$10:$AJ$10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localSheetId="23" hidden="1">#REF!</definedName>
    <definedName name="BO808D0BF0B2354262A1BDB96849FA811D" hidden="1">#REF!</definedName>
    <definedName name="BO809078F987EF4B93AEDA12E8563A1B55" localSheetId="23" hidden="1">#REF!</definedName>
    <definedName name="BO809078F987EF4B93AEDA12E8563A1B55" hidden="1">#REF!</definedName>
    <definedName name="BO80C02804DA2744ABBBE454BF6D80A4D3" localSheetId="23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localSheetId="0" hidden="1">#REF!</definedName>
    <definedName name="BO812D1D90173740FF9EB59A105954F73E" hidden="1">[9]xml!#REF!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localSheetId="0" hidden="1">#REF!</definedName>
    <definedName name="BO82599D26C22F4ECBAFBDBDDD0AC6B9DC" hidden="1">[8]Ketqua!$X$16:$AJ$16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localSheetId="23" hidden="1">#REF!</definedName>
    <definedName name="BO82BC65E019234EAF896CAC4231F81781" hidden="1">#REF!</definedName>
    <definedName name="BO82BD64F9F4B5472788A8268E41273643" localSheetId="23" hidden="1">#REF!</definedName>
    <definedName name="BO82BD64F9F4B5472788A8268E41273643" hidden="1">#REF!</definedName>
    <definedName name="BO82CDE0C0F8AE420C9AB086E3F934D0FC" hidden="1">#REF!</definedName>
    <definedName name="BO82D0E1CF095B4D65B4D7B212912DA8E2" localSheetId="23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localSheetId="0" hidden="1">#REF!</definedName>
    <definedName name="BO868F562CA4E84985BF12F71371CCBC43" hidden="1">[9]xml!#REF!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localSheetId="0" hidden="1">#REF!</definedName>
    <definedName name="BO870886B6C73540E7BF1183ECA9AFF2B9" hidden="1">[8]Ketqua!#REF!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localSheetId="0" hidden="1">#REF!</definedName>
    <definedName name="BO87B8EF89B2C846A289AE2145FA25030D" hidden="1">[8]Ketqua!$X$16:$AJ$16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localSheetId="0" hidden="1">#REF!</definedName>
    <definedName name="BO8827CF9AC78B41C79197737D53769A81" hidden="1">[8]Ketqua!$I$4:$U$4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localSheetId="23" hidden="1">#REF!</definedName>
    <definedName name="BO891CBAC1FEC041A9B1D2D5CAF876C3F0" hidden="1">#REF!</definedName>
    <definedName name="BO891FBC517DE746748A172799A83F07CB" localSheetId="23" hidden="1">#REF!</definedName>
    <definedName name="BO891FBC517DE746748A172799A83F07CB" hidden="1">#REF!</definedName>
    <definedName name="BO8927EF1CD9AD4425AA2D6F4D606A0185" localSheetId="23" hidden="1">#REF!</definedName>
    <definedName name="BO8927EF1CD9AD4425AA2D6F4D606A0185" hidden="1">#REF!</definedName>
    <definedName name="BO892CFB3B77F84724BE348F89B434721C" localSheetId="0" hidden="1">#REF!</definedName>
    <definedName name="BO892CFB3B77F84724BE348F89B434721C" hidden="1">[9]xml!#REF!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localSheetId="0" hidden="1">#REF!</definedName>
    <definedName name="BO8C0049F46034494F9A9EA954789841B0" hidden="1">[8]Ketqua!$I$4:$U$4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localSheetId="0" hidden="1">#REF!</definedName>
    <definedName name="BO8C756DB6D0084392A94AD363D9B3578A" hidden="1">[8]Ketqua!#REF!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localSheetId="0" hidden="1">#REF!</definedName>
    <definedName name="BO8CD76D68B350487FA0250A4A2EC5C2AD" hidden="1">[10]Giaitrinh!#REF!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localSheetId="0" hidden="1">#REF!</definedName>
    <definedName name="BO8F4458B31E284C0B90A9336E9C28C284" hidden="1">[8]Ketqua!#REF!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localSheetId="23" hidden="1">#REF!</definedName>
    <definedName name="BO8F69E36AA533438FB255DE448D2F78C1" localSheetId="21" hidden="1">#REF!</definedName>
    <definedName name="BO8F69E36AA533438FB255DE448D2F78C1" localSheetId="20" hidden="1">#REF!</definedName>
    <definedName name="BO8F69E36AA533438FB255DE448D2F78C1" localSheetId="0" hidden="1">#REF!</definedName>
    <definedName name="BO8F69E36AA533438FB255DE448D2F78C1" hidden="1">[7]lailo!#REF!</definedName>
    <definedName name="BO8F9ADFA732534966ACC45B4222D08278" hidden="1">#REF!</definedName>
    <definedName name="BO8FA9605250AA4130BA5F75AB0EFC5DEB" localSheetId="23" hidden="1">#REF!</definedName>
    <definedName name="BO8FA9605250AA4130BA5F75AB0EFC5DEB" hidden="1">#REF!</definedName>
    <definedName name="BO8FAB3988FD7A4610BB4D6F6553753FB0" localSheetId="23" hidden="1">#REF!</definedName>
    <definedName name="BO8FAB3988FD7A4610BB4D6F6553753FB0" hidden="1">#REF!</definedName>
    <definedName name="BO8FB6EDE92460437DB46269B760A9FF87" localSheetId="23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localSheetId="0" hidden="1">#REF!</definedName>
    <definedName name="BO901024E83D29496B899A127B34EC4440" hidden="1">[10]Giaitrinh!#REF!</definedName>
    <definedName name="BO9010F2C0CC9E494A99E197637D325788" hidden="1">#REF!</definedName>
    <definedName name="BO9027C5BD01DF42DC93C5D78821D24A6C" hidden="1">#REF!</definedName>
    <definedName name="BO904BCFDAB4C44A96A1BAD24E7B5C4CFB" localSheetId="23" hidden="1">#REF!</definedName>
    <definedName name="BO904BCFDAB4C44A96A1BAD24E7B5C4CFB" localSheetId="21" hidden="1">#REF!</definedName>
    <definedName name="BO904BCFDAB4C44A96A1BAD24E7B5C4CFB" localSheetId="20" hidden="1">#REF!</definedName>
    <definedName name="BO904BCFDAB4C44A96A1BAD24E7B5C4CFB" localSheetId="0" hidden="1">#REF!</definedName>
    <definedName name="BO904BCFDAB4C44A96A1BAD24E7B5C4CFB" hidden="1">[7]lailo!#REF!</definedName>
    <definedName name="BO90721953D91A42828345C72DA2C886EF" localSheetId="0" hidden="1">#REF!</definedName>
    <definedName name="BO90721953D91A42828345C72DA2C886EF" hidden="1">[9]Kehoachchitiet!#REF!</definedName>
    <definedName name="BO90D5B7AE6DF34FC6A182261CEF953B81" localSheetId="0" hidden="1">#REF!</definedName>
    <definedName name="BO90D5B7AE6DF34FC6A182261CEF953B81" hidden="1">[8]Ketqua!#REF!</definedName>
    <definedName name="BO90EEFBEB72EB4656B432B75775270CA5" localSheetId="23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localSheetId="23" hidden="1">#REF!</definedName>
    <definedName name="BO912C815D25B14437B2384596EA95EA90" hidden="1">#REF!</definedName>
    <definedName name="BO91511019934B448E8E0723C0742ED2AE" hidden="1">#REF!</definedName>
    <definedName name="BO9155D541487B4FBC9E854615EB1B4E06" localSheetId="0" hidden="1">#REF!</definedName>
    <definedName name="BO9155D541487B4FBC9E854615EB1B4E06" hidden="1">[8]Ketqua!#REF!</definedName>
    <definedName name="BO9156F8C70A7E432BB0F7C9352F66ADFB" localSheetId="23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localSheetId="23" hidden="1">#REF!</definedName>
    <definedName name="BO91B1C71622B84DC09FCF82790CCC6703" localSheetId="21" hidden="1">#REF!</definedName>
    <definedName name="BO91B1C71622B84DC09FCF82790CCC6703" localSheetId="20" hidden="1">#REF!</definedName>
    <definedName name="BO91B1C71622B84DC09FCF82790CCC6703" localSheetId="0" hidden="1">#REF!</definedName>
    <definedName name="BO91B1C71622B84DC09FCF82790CCC6703" hidden="1">[7]lailo!#REF!</definedName>
    <definedName name="BO91C46125583D4C069EE7155B503E3BDC" hidden="1">#REF!</definedName>
    <definedName name="BO91F28D1F98F0476AB8F319C85A3CBF30" localSheetId="23" hidden="1">#REF!</definedName>
    <definedName name="BO91F28D1F98F0476AB8F319C85A3CBF30" hidden="1">#REF!</definedName>
    <definedName name="BO9209CA01353F43708376005F2BA05633" localSheetId="23" hidden="1">#REF!</definedName>
    <definedName name="BO9209CA01353F43708376005F2BA05633" hidden="1">#REF!</definedName>
    <definedName name="BO920A4D58587E4B348E656E2FB55DBF5A" hidden="1">#REF!</definedName>
    <definedName name="BO9218C06E74B64331BCDF493C8E0A7196" localSheetId="23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localSheetId="23" hidden="1">#REF!</definedName>
    <definedName name="BO9268349F1CCF49DEB0561574CF57C558" localSheetId="21" hidden="1">#REF!</definedName>
    <definedName name="BO9268349F1CCF49DEB0561574CF57C558" localSheetId="20" hidden="1">#REF!</definedName>
    <definedName name="BO9268349F1CCF49DEB0561574CF57C558" localSheetId="0" hidden="1">#REF!</definedName>
    <definedName name="BO9268349F1CCF49DEB0561574CF57C558" hidden="1">[7]lailo!#REF!</definedName>
    <definedName name="BO926B3E618F034DF3AD93D000C65C8AF4" localSheetId="23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localSheetId="0" hidden="1">#REF!</definedName>
    <definedName name="BO928DC16886B2445797C8B9905F1CD971" hidden="1">[8]Ketqua!#REF!</definedName>
    <definedName name="BO92A6C34ADF1E4E8A9235A4C8830AC515" localSheetId="23" hidden="1">#REF!</definedName>
    <definedName name="BO92A6C34ADF1E4E8A9235A4C8830AC515" hidden="1">#REF!</definedName>
    <definedName name="BO92C9ED6F059A4A3FBF49382DA781E052" localSheetId="0" hidden="1">#REF!</definedName>
    <definedName name="BO92C9ED6F059A4A3FBF49382DA781E052" hidden="1">[8]Ketqua!#REF!</definedName>
    <definedName name="BO92D072B2A4ED4A6FB51EB0BC9A66BC2C" localSheetId="23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localSheetId="0" hidden="1">#REF!</definedName>
    <definedName name="BO93EBF6734EA34A90BA493473DE688EBF" hidden="1">[8]Ketqua!#REF!</definedName>
    <definedName name="BO93ECFE632155481DA0FDBB0615E7281C" hidden="1">#REF!</definedName>
    <definedName name="BO93F310F9C2F24700BD756AB5D39C0C70" localSheetId="0" hidden="1">#REF!</definedName>
    <definedName name="BO93F310F9C2F24700BD756AB5D39C0C70" hidden="1">[10]Giaitrinh!#REF!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localSheetId="0" hidden="1">#REF!</definedName>
    <definedName name="BO945D4AE586B049C4B26F43D2964BF053" hidden="1">[9]xml!#REF!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localSheetId="0" hidden="1">#REF!</definedName>
    <definedName name="BO961753E720B34B64928183DBF2D50EF4" hidden="1">[9]Kehoachchitiet!#REF!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localSheetId="0" hidden="1">#REF!</definedName>
    <definedName name="BO98D37362E38B4CDA8C9E54163DEBEB0D" hidden="1">[9]xml!#REF!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localSheetId="0" hidden="1">#REF!</definedName>
    <definedName name="BO98EE941FAF8946578E04E20339EF8603" hidden="1">[9]xml!#REF!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localSheetId="0" hidden="1">#REF!</definedName>
    <definedName name="BO99C4CA4681754EEA872316A386BE91B9" hidden="1">[9]Giaitrinh!#REF!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localSheetId="23" hidden="1">#REF!</definedName>
    <definedName name="BO9A0A3EF557FE4FF79C9C276FF2750A78" hidden="1">#REF!</definedName>
    <definedName name="BO9A1F9BAB994C48F6B91F15AE74E2EFF2" localSheetId="23" hidden="1">#REF!</definedName>
    <definedName name="BO9A1F9BAB994C48F6B91F15AE74E2EFF2" hidden="1">#REF!</definedName>
    <definedName name="BO9A2A567F0CC545CC9043BF9A4C5F101F" localSheetId="23" hidden="1">#REF!</definedName>
    <definedName name="BO9A2A567F0CC545CC9043BF9A4C5F101F" hidden="1">#REF!</definedName>
    <definedName name="BO9A3C310BF6CB47C486BB15C6F7DE7E32" localSheetId="23" hidden="1">#REF!</definedName>
    <definedName name="BO9A3C310BF6CB47C486BB15C6F7DE7E32" hidden="1">#REF!</definedName>
    <definedName name="BO9A4A94F5AF7D4C0395CB3119F73CE421" localSheetId="0" hidden="1">#REF!</definedName>
    <definedName name="BO9A4A94F5AF7D4C0395CB3119F73CE421" hidden="1">[9]xml!#REF!</definedName>
    <definedName name="BO9A4DAFC646744B0ABE9AC8B748F29403" localSheetId="23" hidden="1">#REF!</definedName>
    <definedName name="BO9A4DAFC646744B0ABE9AC8B748F29403" hidden="1">#REF!</definedName>
    <definedName name="BO9A59FC65E18E4F21B33CA5B9F96320B3" hidden="1">#REF!</definedName>
    <definedName name="BO9A62340DC7DF4552A6743C7FF6FF0E8A" localSheetId="23" hidden="1">#REF!</definedName>
    <definedName name="BO9A62340DC7DF4552A6743C7FF6FF0E8A" hidden="1">#REF!</definedName>
    <definedName name="BO9A78932710404751B80863614952311A" hidden="1">#REF!</definedName>
    <definedName name="BO9AB4EE1BE75A4835A849BC3D07FB835E" localSheetId="23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localSheetId="0" hidden="1">#REF!</definedName>
    <definedName name="BO9BB7786E205641A9BCB10515C5FB9C5C" hidden="1">[9]Kehoachchitiet!#REF!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localSheetId="23" hidden="1">#REF!</definedName>
    <definedName name="BO9C7B299EE2BA47F5AD0F7F0898271140" hidden="1">#REF!</definedName>
    <definedName name="BO9C8818FA281B477AB49B83D582EDEADA" localSheetId="23" hidden="1">#REF!</definedName>
    <definedName name="BO9C8818FA281B477AB49B83D582EDEADA" hidden="1">#REF!</definedName>
    <definedName name="BO9C95306ECA8A4DF29A67E71B4C27512C" hidden="1">#REF!</definedName>
    <definedName name="BO9C99F13B52A74EB890D5789B98CB5E29" localSheetId="23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localSheetId="0" hidden="1">#REF!</definedName>
    <definedName name="BO9D382EA010864BB39B897D3D6C08CE6F" hidden="1">[8]Ketqua!#REF!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localSheetId="0" hidden="1">#REF!</definedName>
    <definedName name="BO9F7F85E5F8D34CDDA86FC6528443462F" hidden="1">[9]xml!#REF!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localSheetId="0" hidden="1">#REF!</definedName>
    <definedName name="BOA03D360312ED4F30BACC528D9A68ADA8" hidden="1">[8]Ketqua!#REF!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localSheetId="0" hidden="1">#REF!</definedName>
    <definedName name="BOA09939E62F734F3790CB58BAACFAF893" hidden="1">[8]Ketqua!#REF!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localSheetId="23" hidden="1">#REF!</definedName>
    <definedName name="BOA12F3EEDA20B4FD9B8C4F5748C7E15C6" localSheetId="21" hidden="1">#REF!</definedName>
    <definedName name="BOA12F3EEDA20B4FD9B8C4F5748C7E15C6" localSheetId="20" hidden="1">#REF!</definedName>
    <definedName name="BOA12F3EEDA20B4FD9B8C4F5748C7E15C6" localSheetId="0" hidden="1">#REF!</definedName>
    <definedName name="BOA12F3EEDA20B4FD9B8C4F5748C7E15C6" hidden="1">[7]lailo!#REF!</definedName>
    <definedName name="BOA1352C67E57F45F18A3132F095B04042" localSheetId="23" hidden="1">#REF!</definedName>
    <definedName name="BOA1352C67E57F45F18A3132F095B04042" hidden="1">#REF!</definedName>
    <definedName name="BOA13EC5CDB2214E749DF116E65443FF6F" localSheetId="0" hidden="1">#REF!</definedName>
    <definedName name="BOA13EC5CDB2214E749DF116E65443FF6F" hidden="1">[8]Ketqua!#REF!</definedName>
    <definedName name="BOA141CE166F8440C3A8CD0C0AB35AE9C6" localSheetId="0" hidden="1">#REF!</definedName>
    <definedName name="BOA141CE166F8440C3A8CD0C0AB35AE9C6" hidden="1">[8]Ketqua!#REF!</definedName>
    <definedName name="BOA146747F9920445B838D6464550D1773" localSheetId="23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localSheetId="0" hidden="1">#REF!</definedName>
    <definedName name="BOA161645A570249BAA9140EF1ADACF4CD" hidden="1">[8]Ketqua!$I$4:$U$4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localSheetId="23" hidden="1">#REF!</definedName>
    <definedName name="BOA1E2968796FB4C2684E70A880C2C563B" hidden="1">#REF!</definedName>
    <definedName name="BOA1E2A5EE861F49C38EE305E436EEFE96" localSheetId="0" hidden="1">#REF!</definedName>
    <definedName name="BOA1E2A5EE861F49C38EE305E436EEFE96" hidden="1">[9]Kehoachchitiet!#REF!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localSheetId="0" hidden="1">#REF!</definedName>
    <definedName name="BOA2534E435EDB40A392C16CD7756BF8AC" hidden="1">[9]Giaitrinh!#REF!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localSheetId="0" hidden="1">#REF!</definedName>
    <definedName name="BOA2D1DDA741CE4F6B9D71E5D5771574D6" hidden="1">[9]xml!#REF!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localSheetId="0" hidden="1">#REF!</definedName>
    <definedName name="BOA33A7D819F024B85B56B7D2A2E4484D7" hidden="1">[8]Ketqua!$I$17:$U$17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localSheetId="0" hidden="1">#REF!</definedName>
    <definedName name="BOA4B854E4A98E4EE8B599A4C36A99C92F" hidden="1">[8]Ketqua!$X$10:$AJ$10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localSheetId="0" hidden="1">#REF!</definedName>
    <definedName name="BOA50372BAFCAA49439AF1A75FA936229B" hidden="1">[10]Giaitrinh!#REF!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localSheetId="0" hidden="1">#REF!</definedName>
    <definedName name="BOA59812A6C8F6471D8B7808CD5A2D4E46" hidden="1">[9]Giaitrinh!#REF!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localSheetId="0" hidden="1">#REF!</definedName>
    <definedName name="BOA632E1E19F6146D8B540BA96DD9F15BF" hidden="1">[8]Ketqua!#REF!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localSheetId="0" hidden="1">#REF!</definedName>
    <definedName name="BOA707A60280214C118EE4576BCB8B7DAB" hidden="1">[10]Giaitrinh!#REF!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localSheetId="0" hidden="1">#REF!</definedName>
    <definedName name="BOA80A354E42AB46F8BB5D1820B60A5551" hidden="1">[8]Ketqua!#REF!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localSheetId="0" hidden="1">#REF!</definedName>
    <definedName name="BOA880BD92CB5B4C59AA5C0A8CA4F5372F" hidden="1">[8]Ketqua!$I$11:$U$11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localSheetId="0" hidden="1">#REF!</definedName>
    <definedName name="BOAA1E223595434D068D4C203B89333068" hidden="1">[8]Ketqua!#REF!</definedName>
    <definedName name="BOAA37683A5AAF416AA96E3DADC31E1AC4" hidden="1">#REF!</definedName>
    <definedName name="BOAA3F9143BD93402B92B4D5E889675490" hidden="1">#REF!</definedName>
    <definedName name="BOAA40E2343D72404E9D802F463443C655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localSheetId="23" hidden="1">#REF!</definedName>
    <definedName name="BOAAB11C84339D4299BFC1AA6D04698F2A" localSheetId="21" hidden="1">#REF!</definedName>
    <definedName name="BOAAB11C84339D4299BFC1AA6D04698F2A" localSheetId="20" hidden="1">#REF!</definedName>
    <definedName name="BOAAB11C84339D4299BFC1AA6D04698F2A" localSheetId="0" hidden="1">#REF!</definedName>
    <definedName name="BOAAB11C84339D4299BFC1AA6D04698F2A" hidden="1">[7]lailo!#REF!</definedName>
    <definedName name="BOAAB249B9593B4344AD2BC41488FF9294" localSheetId="23" hidden="1">#REF!</definedName>
    <definedName name="BOAAB249B9593B4344AD2BC41488FF9294" hidden="1">#REF!</definedName>
    <definedName name="BOAAF327AFC0664C7091659BAFCB27C490" hidden="1">#REF!</definedName>
    <definedName name="BOAAF9B49CFC784CCA971E3C64A3E41A64" localSheetId="23" hidden="1">#REF!</definedName>
    <definedName name="BOAAF9B49CFC784CCA971E3C64A3E41A64" hidden="1">#REF!</definedName>
    <definedName name="BOAAFA5A1A37E6419880DFDAD5355E1D06" localSheetId="23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localSheetId="0" hidden="1">#REF!</definedName>
    <definedName name="BOABBB8A5582AF477181C945BF9631CC31" hidden="1">[8]Ketqua!#REF!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localSheetId="0" hidden="1">#REF!</definedName>
    <definedName name="BOAC9D19CAAE6E4BA58BB8B42C2FEB90A0" hidden="1">[9]xml!#REF!</definedName>
    <definedName name="BOACB00B10EC8E4F8C8358B497747DC6D8" hidden="1">#REF!</definedName>
    <definedName name="BOACB4EB5ACCF641E594B4370068A37C9C" hidden="1">#REF!</definedName>
    <definedName name="BOACBE6399B62B4EE0940B3DE41E102E4C" localSheetId="0" hidden="1">#REF!</definedName>
    <definedName name="BOACBE6399B62B4EE0940B3DE41E102E4C" hidden="1">[8]Ketqua!#REF!</definedName>
    <definedName name="BOACC1A393A0E84692B8D52F9A7AA2DA18" hidden="1">#REF!</definedName>
    <definedName name="BOACF5FD6570824E3C96A90193052BBD0B" localSheetId="23" hidden="1">#REF!</definedName>
    <definedName name="BOACF5FD6570824E3C96A90193052BBD0B" hidden="1">#REF!</definedName>
    <definedName name="BOAD0868B57674469FAEBAADBB497C74BA" localSheetId="23" hidden="1">#REF!</definedName>
    <definedName name="BOAD0868B57674469FAEBAADBB497C74BA" hidden="1">#REF!</definedName>
    <definedName name="BOAD0F026DF7974FB398A8875797779089" localSheetId="23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localSheetId="0" hidden="1">#REF!</definedName>
    <definedName name="BOAE03B6416C174C3C959BE294997057DF" hidden="1">[10]Giaitrinh!#REF!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localSheetId="0" hidden="1">#REF!</definedName>
    <definedName name="BOAE43C9E5ED7544BF9AA630E3E7AC4A0F" hidden="1">[8]Ketqua!#REF!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localSheetId="23" hidden="1">#REF!</definedName>
    <definedName name="BOAECC4E2710DA49978423665B98EFB884" hidden="1">#REF!</definedName>
    <definedName name="BOAEDD543BADF14D9EA25B3AA584C0E475" localSheetId="23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localSheetId="0" hidden="1">#REF!</definedName>
    <definedName name="BOAF1B98F1E4DC4A63B1711F6E8BC3F91E" hidden="1">[8]Ketqua!#REF!</definedName>
    <definedName name="BOAF2A59C7AB284CBC9C9842486CA487DB" localSheetId="23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âk3" localSheetId="18" hidden="1">{"'Sheet1'!$L$16"}</definedName>
    <definedName name="boâk3" hidden="1">{"'Sheet1'!$L$16"}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localSheetId="0" hidden="1">#REF!</definedName>
    <definedName name="BOB11E3C10088E4498AEAA83D086237A5F" hidden="1">[8]Ketqua!#REF!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localSheetId="0" hidden="1">#REF!</definedName>
    <definedName name="BOB1F1C272A006471A914ACD7DF91D3F84" hidden="1">[8]Ketqua!#REF!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localSheetId="0" hidden="1">#REF!</definedName>
    <definedName name="BOB2CFF02E995448899DD7AA9BFA754975" hidden="1">[9]xml!#REF!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localSheetId="0" hidden="1">#REF!</definedName>
    <definedName name="BOB2FF2C05B4B24566A4378E9F6A30DAA6" hidden="1">[10]Giaitrinh!#REF!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localSheetId="23" hidden="1">#REF!</definedName>
    <definedName name="BOB525C53518AB4A02BE25D4B41ACF2016" hidden="1">#REF!</definedName>
    <definedName name="BOB53972A3FF444E36B5C5A6F9314FEF44" localSheetId="23" hidden="1">#REF!</definedName>
    <definedName name="BOB53972A3FF444E36B5C5A6F9314FEF44" hidden="1">#REF!</definedName>
    <definedName name="BOB53F19375DA7437B9A71EF65654A8304" localSheetId="23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localSheetId="0" hidden="1">#REF!</definedName>
    <definedName name="BOB5D16031AAE94686A01B98E3F1B32BB1" hidden="1">[8]Ketqua!#REF!</definedName>
    <definedName name="BOB5E7D5E3D37A45A2B0423392CFC0180B" hidden="1">#REF!</definedName>
    <definedName name="BOB61F1D7767114687812A69756748869E" localSheetId="23" hidden="1">#REF!</definedName>
    <definedName name="BOB61F1D7767114687812A69756748869E" localSheetId="21" hidden="1">#REF!</definedName>
    <definedName name="BOB61F1D7767114687812A69756748869E" localSheetId="20" hidden="1">#REF!</definedName>
    <definedName name="BOB61F1D7767114687812A69756748869E" localSheetId="0" hidden="1">#REF!</definedName>
    <definedName name="BOB61F1D7767114687812A69756748869E" hidden="1">[7]lailo!#REF!</definedName>
    <definedName name="BOB63700DC41E8405192EC6B4CED6A1B62" localSheetId="0" hidden="1">#REF!</definedName>
    <definedName name="BOB63700DC41E8405192EC6B4CED6A1B62" hidden="1">[8]Ketqua!$I$8:$AJ$23</definedName>
    <definedName name="BOB664A434F7C242089CB97CD90496E73A" hidden="1">#REF!</definedName>
    <definedName name="BOB666B5A1CA664A37B71F765D2CEA59FD" hidden="1">#REF!</definedName>
    <definedName name="BOB666F4C81F064229824D71C1ACDD7D25" localSheetId="23" hidden="1">#REF!</definedName>
    <definedName name="BOB666F4C81F064229824D71C1ACDD7D25" hidden="1">#REF!</definedName>
    <definedName name="BOB6711245BFC04DC491D154B426C58F12" hidden="1">#REF!</definedName>
    <definedName name="BOB67CDFE7D8564CF2B432FB362DF5E4EC" localSheetId="23" hidden="1">#REF!</definedName>
    <definedName name="BOB67CDFE7D8564CF2B432FB362DF5E4EC" hidden="1">#REF!</definedName>
    <definedName name="BOB6847AB6F9074269B19E5A286DD0E87D" localSheetId="23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localSheetId="0" hidden="1">#REF!</definedName>
    <definedName name="BOB740B50D59FA4EB29F2E8DBE8D7A2963" hidden="1">[9]xml!#REF!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localSheetId="0" hidden="1">#REF!</definedName>
    <definedName name="BOBA24DFB554AF460B8AB282C13492A629" hidden="1">[8]Ketqua!#REF!</definedName>
    <definedName name="BOBA2A09FA3F74474E9CB8537C38559D3A" localSheetId="0" hidden="1">#REF!</definedName>
    <definedName name="BOBA2A09FA3F74474E9CB8537C38559D3A" hidden="1">[9]xml!#REF!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localSheetId="23" hidden="1">#REF!</definedName>
    <definedName name="BOBAE47B872A5345298D6CFC1292FF0229" hidden="1">#REF!</definedName>
    <definedName name="BOBAFB4065FE1843AFA6D5DDB34CFE46C8" localSheetId="23" hidden="1">#REF!</definedName>
    <definedName name="BOBAFB4065FE1843AFA6D5DDB34CFE46C8" hidden="1">#REF!</definedName>
    <definedName name="BOBB2CD22C468846029AA7E79B86A82CEF" localSheetId="23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localSheetId="23" hidden="1">#REF!</definedName>
    <definedName name="BOBB9D4C0897DA494AA513D0A883F9D1D4" hidden="1">#REF!</definedName>
    <definedName name="BOBBAA7F824582476F88CDCFB08F1934D5" hidden="1">#REF!</definedName>
    <definedName name="BOBBC7EB09CEDF4E1098D2496572376A11" localSheetId="23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localSheetId="0" hidden="1">#REF!</definedName>
    <definedName name="BOBD17A2C2D8F347BD99946B7CD678E633" hidden="1">[8]Ketqua!$X$16:$AJ$16</definedName>
    <definedName name="BOBD17ACF591A04BA2A7F3EA73A1F5EFD0" localSheetId="23" hidden="1">#REF!</definedName>
    <definedName name="BOBD17ACF591A04BA2A7F3EA73A1F5EFD0" localSheetId="21" hidden="1">#REF!</definedName>
    <definedName name="BOBD17ACF591A04BA2A7F3EA73A1F5EFD0" localSheetId="20" hidden="1">#REF!</definedName>
    <definedName name="BOBD17ACF591A04BA2A7F3EA73A1F5EFD0" localSheetId="0" hidden="1">#REF!</definedName>
    <definedName name="BOBD17ACF591A04BA2A7F3EA73A1F5EFD0" hidden="1">[7]lailo!#REF!</definedName>
    <definedName name="BOBD3418D3E6034A599B7DAEA5496D5FDE" hidden="1">#REF!</definedName>
    <definedName name="BOBD479A54EDE440F2A6DE6820F419F93B" localSheetId="23" hidden="1">#REF!</definedName>
    <definedName name="BOBD479A54EDE440F2A6DE6820F419F93B" hidden="1">#REF!</definedName>
    <definedName name="BOBD4AB5E2FE574DC99B097054215C9A1B" hidden="1">#REF!</definedName>
    <definedName name="BOBD51A79D7FDA451D81D3D3FA930EF10E" localSheetId="23" hidden="1">#REF!</definedName>
    <definedName name="BOBD51A79D7FDA451D81D3D3FA930EF10E" hidden="1">#REF!</definedName>
    <definedName name="BOBD6ABC8171D74055B247324595D2BAED" localSheetId="23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localSheetId="23" hidden="1">#REF!</definedName>
    <definedName name="BOBE9E067C7210472B81073CBDC8230580" localSheetId="21" hidden="1">#REF!</definedName>
    <definedName name="BOBE9E067C7210472B81073CBDC8230580" localSheetId="20" hidden="1">#REF!</definedName>
    <definedName name="BOBE9E067C7210472B81073CBDC8230580" localSheetId="0" hidden="1">#REF!</definedName>
    <definedName name="BOBE9E067C7210472B81073CBDC8230580" hidden="1">[7]lailo!#REF!</definedName>
    <definedName name="BOBE9E33F6E4374A1FA4BDFB49B0EC0372" localSheetId="23" hidden="1">#REF!</definedName>
    <definedName name="BOBE9E33F6E4374A1FA4BDFB49B0EC0372" hidden="1">#REF!</definedName>
    <definedName name="BOBEA7830841314FCDB7120FD70396E04B" hidden="1">#REF!</definedName>
    <definedName name="BOBEA7B5BBB87048D49DF67B697A931813" localSheetId="23" hidden="1">#REF!</definedName>
    <definedName name="BOBEA7B5BBB87048D49DF67B697A931813" hidden="1">#REF!</definedName>
    <definedName name="BOBEBC91AB89344689A508D7928603507D" localSheetId="0" hidden="1">#REF!</definedName>
    <definedName name="BOBEBC91AB89344689A508D7928603507D" hidden="1">[8]Ketqua!#REF!</definedName>
    <definedName name="BOBECB0D0B7613455DAA1DD6EA3B2F3EB8" localSheetId="23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localSheetId="0" hidden="1">#REF!</definedName>
    <definedName name="BOBFCE70D506DA4B6EB944A29AC6F839D9" hidden="1">[8]Ketqua!#REF!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localSheetId="0" hidden="1">#REF!</definedName>
    <definedName name="BOC1E3AFDEC6DE4B529A2CC02210E9AD12" hidden="1">[10]Giaitrinh!#REF!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localSheetId="0" hidden="1">#REF!</definedName>
    <definedName name="BOC35ADF6F14B948919BD25280A05E3AC1" hidden="1">[8]Ketqua!#REF!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localSheetId="0" hidden="1">#REF!</definedName>
    <definedName name="BOC3A2C5E32A78490FA02F0D6AFD24DFC0" hidden="1">[8]Ketqua!#REF!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localSheetId="23" hidden="1">#REF!</definedName>
    <definedName name="BOC3EDBD5E04274C828D0583C086AECB10" hidden="1">#REF!</definedName>
    <definedName name="BOC405110C7ACE4B42877F3AAB5A0BB863" localSheetId="23" hidden="1">#REF!</definedName>
    <definedName name="BOC405110C7ACE4B42877F3AAB5A0BB863" hidden="1">#REF!</definedName>
    <definedName name="BOC438E5AB00C9410DAB817A8739F9C426" hidden="1">#REF!</definedName>
    <definedName name="BOC439B4B26F0C4D33B0293C6A9EA4AF33" localSheetId="23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localSheetId="0" hidden="1">#REF!</definedName>
    <definedName name="BOC551D7779FF74F4EB6CC609F3CB55CD9" hidden="1">[8]Ketqua!#REF!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localSheetId="0" hidden="1">#REF!</definedName>
    <definedName name="BOC869EDE25CC544CEA5A645A5E7A6B9AD" hidden="1">[8]Ketqua!$I$17:$U$17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localSheetId="0" hidden="1">#REF!</definedName>
    <definedName name="BOC9078726475D48768A4B800B228B8B8C" hidden="1">[8]Ketqua!#REF!</definedName>
    <definedName name="BOC9263CE772734C2E8AD2FE5BF49E1935" hidden="1">#REF!</definedName>
    <definedName name="BOC92BDE64A88C4F4888056339739F0504" localSheetId="0" hidden="1">#REF!</definedName>
    <definedName name="BOC92BDE64A88C4F4888056339739F0504" hidden="1">[8]Ketqua!#REF!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localSheetId="0" hidden="1">#REF!</definedName>
    <definedName name="BOCBF59B6853AE4F78B44ECC74F3D6E9CA" hidden="1">[8]Ketqua!#REF!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localSheetId="23" hidden="1">#REF!</definedName>
    <definedName name="BOCCF334A9BDB64C2697AE9352A937B6E5" localSheetId="21" hidden="1">#REF!</definedName>
    <definedName name="BOCCF334A9BDB64C2697AE9352A937B6E5" localSheetId="20" hidden="1">#REF!</definedName>
    <definedName name="BOCCF334A9BDB64C2697AE9352A937B6E5" localSheetId="0" hidden="1">#REF!</definedName>
    <definedName name="BOCCF334A9BDB64C2697AE9352A937B6E5" hidden="1">[7]lailo!#REF!</definedName>
    <definedName name="BOCD098CDB76E04AFABC1C8D36DC51D884" localSheetId="23" hidden="1">#REF!</definedName>
    <definedName name="BOCD098CDB76E04AFABC1C8D36DC51D884" hidden="1">#REF!</definedName>
    <definedName name="BOCD19B2F2E8774A589EFF3317FDB5225C" localSheetId="23" hidden="1">#REF!</definedName>
    <definedName name="BOCD19B2F2E8774A589EFF3317FDB5225C" hidden="1">#REF!</definedName>
    <definedName name="BOCD20F214D4AA41C281599C484FB99FDC" localSheetId="0" hidden="1">#REF!</definedName>
    <definedName name="BOCD20F214D4AA41C281599C484FB99FDC" hidden="1">[9]xml!#REF!</definedName>
    <definedName name="BOCD23F0C3BE5D4A57B07C7B46AAE9B586" hidden="1">#REF!</definedName>
    <definedName name="BOCD2C6B11CEED44B287F63EABF1C67668" localSheetId="0" hidden="1">#REF!</definedName>
    <definedName name="BOCD2C6B11CEED44B287F63EABF1C67668" hidden="1">[9]Kehoachchitiet!#REF!</definedName>
    <definedName name="BOCD316364C89949588B6EA9EFB7EFED71" hidden="1">#REF!</definedName>
    <definedName name="BOCD3E920BAE7C41B5B4C491D4AB8D55B6" hidden="1">#REF!</definedName>
    <definedName name="BOCD7638E6D88E4E258E54DB04D2220A3A" localSheetId="23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localSheetId="0" hidden="1">#REF!</definedName>
    <definedName name="BOCDA9B7CBD5D9427E84053F8E38F252A0" hidden="1">[9]Kehoachchitiet!#REF!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localSheetId="0" hidden="1">#REF!</definedName>
    <definedName name="BOCE1431147F334E33B41B0302E1BD9519" hidden="1">[8]Ketqua!#REF!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localSheetId="0" hidden="1">#REF!</definedName>
    <definedName name="BOCE3F4651FC6D47F6888CAACD6B895BD6" hidden="1">[8]Ketqua!$I$17:$U$17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localSheetId="0" hidden="1">#REF!</definedName>
    <definedName name="BOCF3D1CC14C5E4EFAA13121DC4E701CF2" hidden="1">[8]Ketqua!#REF!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localSheetId="0" hidden="1">#REF!</definedName>
    <definedName name="BOCF7C5B983CBF42DBBDD6CD92650B00B0" hidden="1">[8]Ketqua!#REF!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localSheetId="23" hidden="1">#REF!</definedName>
    <definedName name="BOD0382903153C4298A06C72FB4C2F82BC" localSheetId="21" hidden="1">#REF!</definedName>
    <definedName name="BOD0382903153C4298A06C72FB4C2F82BC" localSheetId="20" hidden="1">#REF!</definedName>
    <definedName name="BOD0382903153C4298A06C72FB4C2F82BC" localSheetId="0" hidden="1">#REF!</definedName>
    <definedName name="BOD0382903153C4298A06C72FB4C2F82BC" hidden="1">[7]lailo!#REF!</definedName>
    <definedName name="BOD03B24E3812D4D1F9DEACD2021BC2C03" localSheetId="23" hidden="1">#REF!</definedName>
    <definedName name="BOD03B24E3812D4D1F9DEACD2021BC2C03" hidden="1">#REF!</definedName>
    <definedName name="BOD03FD50591A1425293C16D8979726923" localSheetId="23" hidden="1">#REF!</definedName>
    <definedName name="BOD03FD50591A1425293C16D8979726923" hidden="1">#REF!</definedName>
    <definedName name="BOD0447A1F84A848AE8FE0265DA4E43469" hidden="1">#REF!</definedName>
    <definedName name="BOD049906584524697915E494D82ABEA6C" localSheetId="23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5D342950264E4A92180C820B313DCB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localSheetId="23" hidden="1">#REF!</definedName>
    <definedName name="BOD4D26CA1C52F43BDBE4F64A3B560F6ED" localSheetId="21" hidden="1">#REF!</definedName>
    <definedName name="BOD4D26CA1C52F43BDBE4F64A3B560F6ED" localSheetId="20" hidden="1">#REF!</definedName>
    <definedName name="BOD4D26CA1C52F43BDBE4F64A3B560F6ED" localSheetId="0" hidden="1">#REF!</definedName>
    <definedName name="BOD4D26CA1C52F43BDBE4F64A3B560F6ED" hidden="1">[7]lailo!#REF!</definedName>
    <definedName name="BOD4D6DC950453479987BD158BA0C1813A" localSheetId="23" hidden="1">#REF!</definedName>
    <definedName name="BOD4D6DC950453479987BD158BA0C1813A" hidden="1">#REF!</definedName>
    <definedName name="BOD4DCCA0A12ED4D94A14E69FDE2AC9819" localSheetId="23" hidden="1">#REF!</definedName>
    <definedName name="BOD4DCCA0A12ED4D94A14E69FDE2AC9819" hidden="1">#REF!</definedName>
    <definedName name="BOD4F0099CA2E5413C90FDBEAE610F6613" localSheetId="0" hidden="1">#REF!</definedName>
    <definedName name="BOD4F0099CA2E5413C90FDBEAE610F6613" hidden="1">[9]xml!#REF!</definedName>
    <definedName name="BOD4F78C2E32CE40AEB95B29DBD0B9E6A8" localSheetId="0" hidden="1">#REF!</definedName>
    <definedName name="BOD4F78C2E32CE40AEB95B29DBD0B9E6A8" hidden="1">[8]Ketqua!$I$4:$U$4</definedName>
    <definedName name="BOD5055A451CD64068A909C853CCD5C767" localSheetId="23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localSheetId="23" hidden="1">#REF!</definedName>
    <definedName name="BOD789790B96514DC59042719B5805E3D6" localSheetId="21" hidden="1">#REF!</definedName>
    <definedName name="BOD789790B96514DC59042719B5805E3D6" localSheetId="20" hidden="1">#REF!</definedName>
    <definedName name="BOD789790B96514DC59042719B5805E3D6" localSheetId="0" hidden="1">#REF!</definedName>
    <definedName name="BOD789790B96514DC59042719B5805E3D6" hidden="1">[7]lailo!#REF!</definedName>
    <definedName name="BOD78D0FCDEF9745FCBAAA5BFB79E12511" localSheetId="23" hidden="1">#REF!</definedName>
    <definedName name="BOD78D0FCDEF9745FCBAAA5BFB79E12511" hidden="1">#REF!</definedName>
    <definedName name="BOD7933E219BAA477986EEC38701E45AC5" localSheetId="23" hidden="1">#REF!</definedName>
    <definedName name="BOD7933E219BAA477986EEC38701E45AC5" hidden="1">#REF!</definedName>
    <definedName name="BOD79BB154A4C94C8DAA4055CD3C3942B9" localSheetId="23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localSheetId="0" hidden="1">#REF!</definedName>
    <definedName name="BOD829974450B945C5A22B9631131E3E46" hidden="1">[9]xml!#REF!</definedName>
    <definedName name="BOD850650076FB4BE9871891647862E226" hidden="1">#REF!</definedName>
    <definedName name="BOD854837A39AD429A8903E340E077C23B" hidden="1">#REF!</definedName>
    <definedName name="BOD86240FF503D4482871F210F78E6EAF1" localSheetId="0" hidden="1">#REF!</definedName>
    <definedName name="BOD86240FF503D4482871F210F78E6EAF1" hidden="1">[8]Ketqua!#REF!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localSheetId="0" hidden="1">#REF!</definedName>
    <definedName name="BOD932BB85A2EA4DE7821393AA49C1C395" hidden="1">[8]Ketqua!#REF!</definedName>
    <definedName name="BOD943A115A65C44929A9117010923227D" localSheetId="0" hidden="1">#REF!</definedName>
    <definedName name="BOD943A115A65C44929A9117010923227D" hidden="1">[8]Ketqua!#REF!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localSheetId="0" hidden="1">#REF!</definedName>
    <definedName name="BODA96815803994119B481057BFF9E1AFA" hidden="1">[8]Ketqua!#REF!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localSheetId="0" hidden="1">#REF!</definedName>
    <definedName name="BODC342A3652B944F09E1FCD60DF1F133D" hidden="1">[8]Ketqua!#REF!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localSheetId="0" hidden="1">#REF!</definedName>
    <definedName name="BODCF9B3C3B64847C5B7AA49E141E8367F" hidden="1">[9]Giaitrinh!#REF!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localSheetId="0" hidden="1">#REF!</definedName>
    <definedName name="BODD912D5833004681A88D2F9EF257B7C0" hidden="1">[8]Ketqua!#REF!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localSheetId="0" hidden="1">#REF!</definedName>
    <definedName name="BODDE486C3BA604263A250727A6C11879D" hidden="1">[8]Ketqua!#REF!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localSheetId="0" hidden="1">#REF!</definedName>
    <definedName name="BODF073AE731E849BDACD3A7E9DA3E9CE6" hidden="1">[9]Giaitrinh!#REF!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localSheetId="0" hidden="1">#REF!</definedName>
    <definedName name="BOE28EA0D9163A45FDBB2590D2729647C9" hidden="1">[8]Ketqua!#REF!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localSheetId="23" hidden="1">#REF!</definedName>
    <definedName name="BOE42252CC391A472EBB6BEB429AE625B1" hidden="1">#REF!</definedName>
    <definedName name="BOE43AD6076DD34055B0BF7215A02B8CB7" localSheetId="23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localSheetId="23" hidden="1">#REF!</definedName>
    <definedName name="BOE48A2F73BAB549DEA757EA28C9F0C570" hidden="1">#REF!</definedName>
    <definedName name="BOE49A28902F614E22AADB7D311EBA846E" hidden="1">#REF!</definedName>
    <definedName name="BOE4CBEA97B39C41D8BA6F03263BFA8066" localSheetId="0" hidden="1">#REF!</definedName>
    <definedName name="BOE4CBEA97B39C41D8BA6F03263BFA8066" hidden="1">[8]Ketqua!#REF!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localSheetId="0" hidden="1">#REF!</definedName>
    <definedName name="BOE642644C80644606B590C952B2B679BB" hidden="1">[9]Giaitrinh!#REF!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localSheetId="0" hidden="1">#REF!</definedName>
    <definedName name="BOE6EC2B01DAAC4CAA860BFF94370676C8" hidden="1">[8]Ketqua!$I$17:$U$17</definedName>
    <definedName name="BOE719ECF60BC44D039355F9578D584D96" localSheetId="23" hidden="1">#REF!</definedName>
    <definedName name="BOE719ECF60BC44D039355F9578D584D96" hidden="1">#REF!</definedName>
    <definedName name="BOE71EFE4B5B724994B58B2D05B75ABFE9" localSheetId="23" hidden="1">#REF!</definedName>
    <definedName name="BOE71EFE4B5B724994B58B2D05B75ABFE9" hidden="1">#REF!</definedName>
    <definedName name="BOE723E5A34F7C49D89A97CE036F53E20A" localSheetId="0" hidden="1">#REF!</definedName>
    <definedName name="BOE723E5A34F7C49D89A97CE036F53E20A" hidden="1">[9]xml!#REF!</definedName>
    <definedName name="BOE72A0D75227F4086B9721585982D462D" localSheetId="23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localSheetId="0" hidden="1">#REF!</definedName>
    <definedName name="BOE76250712D36454EA8BD340089539AD6" hidden="1">[8]Ketqua!$I$9:$U$9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localSheetId="0" hidden="1">#REF!</definedName>
    <definedName name="BOE7FF59A65485454D9BAF35A631532BE7" hidden="1">[9]xml!#REF!</definedName>
    <definedName name="BOE8052FE958B8496D959F6782B970EA25" localSheetId="0" hidden="1">#REF!</definedName>
    <definedName name="BOE8052FE958B8496D959F6782B970EA25" hidden="1">[9]xml!#REF!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localSheetId="23" hidden="1">#REF!</definedName>
    <definedName name="BOE84FCC406C184191AFE42CCF04997FEE" localSheetId="21" hidden="1">#REF!</definedName>
    <definedName name="BOE84FCC406C184191AFE42CCF04997FEE" localSheetId="20" hidden="1">#REF!</definedName>
    <definedName name="BOE84FCC406C184191AFE42CCF04997FEE" localSheetId="0" hidden="1">#REF!</definedName>
    <definedName name="BOE84FCC406C184191AFE42CCF04997FEE" hidden="1">[7]lailo!#REF!</definedName>
    <definedName name="BOE87120EC35BC4CF0AA0F2833DE8CE423" localSheetId="23" hidden="1">#REF!</definedName>
    <definedName name="BOE87120EC35BC4CF0AA0F2833DE8CE423" hidden="1">#REF!</definedName>
    <definedName name="BOE8777DCF295E415D8A6502B9107C4DC7" localSheetId="23" hidden="1">#REF!</definedName>
    <definedName name="BOE8777DCF295E415D8A6502B9107C4DC7" hidden="1">#REF!</definedName>
    <definedName name="BOE884DB0E080F4026AEDEAD76588B78FC" hidden="1">#REF!</definedName>
    <definedName name="BOE889379A26C646989693795D14E52885" localSheetId="23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localSheetId="23" hidden="1">#REF!</definedName>
    <definedName name="BOE8C9C3ED265B48589109A08A9505A1D1" localSheetId="21" hidden="1">#REF!</definedName>
    <definedName name="BOE8C9C3ED265B48589109A08A9505A1D1" localSheetId="20" hidden="1">#REF!</definedName>
    <definedName name="BOE8C9C3ED265B48589109A08A9505A1D1" localSheetId="0" hidden="1">#REF!</definedName>
    <definedName name="BOE8C9C3ED265B48589109A08A9505A1D1" hidden="1">[7]lailo!#REF!</definedName>
    <definedName name="BOE8CCD114C0324135B66AD58BCC1AE5AD" localSheetId="23" hidden="1">#REF!</definedName>
    <definedName name="BOE8CCD114C0324135B66AD58BCC1AE5AD" hidden="1">#REF!</definedName>
    <definedName name="BOE8DBD581E91E43A295718AF22899C040" hidden="1">#REF!</definedName>
    <definedName name="BOE8E979548B0A4930A3A17959B35976EE" localSheetId="23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localSheetId="0" hidden="1">#REF!</definedName>
    <definedName name="BOE9145CAB99E74AFE9E99E9CC29206FC8" hidden="1">[9]xml!#REF!</definedName>
    <definedName name="BOE919721A160440009B2F08B691E057F6" localSheetId="23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localSheetId="0" hidden="1">#REF!</definedName>
    <definedName name="BOE9E6BF7CEFB94FE1A00EF1AF9DE0670D" hidden="1">[8]Ketqua!$I$4:$T$4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localSheetId="23" hidden="1">#REF!</definedName>
    <definedName name="BOEAFDF322262145CB86BF48DC1DB6B5A2" localSheetId="21" hidden="1">#REF!</definedName>
    <definedName name="BOEAFDF322262145CB86BF48DC1DB6B5A2" localSheetId="20" hidden="1">#REF!</definedName>
    <definedName name="BOEAFDF322262145CB86BF48DC1DB6B5A2" localSheetId="0" hidden="1">#REF!</definedName>
    <definedName name="BOEAFDF322262145CB86BF48DC1DB6B5A2" hidden="1">[7]lailo!#REF!</definedName>
    <definedName name="BOEB0E75BF9AEA444FA574EF153F2DE2A5" hidden="1">#REF!</definedName>
    <definedName name="BOEB1A90E26030462182E41AFAB6A4D4A6" localSheetId="23" hidden="1">#REF!</definedName>
    <definedName name="BOEB1A90E26030462182E41AFAB6A4D4A6" hidden="1">#REF!</definedName>
    <definedName name="BOEB1FBF1FAD7F4ECC8BB20074F709319C" hidden="1">#REF!</definedName>
    <definedName name="BOEB2058ED531F48A98C063949C294546B" localSheetId="23" hidden="1">#REF!</definedName>
    <definedName name="BOEB2058ED531F48A98C063949C294546B" hidden="1">#REF!</definedName>
    <definedName name="BOEB217BD039004C72ABA77A436DA8A424" localSheetId="23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localSheetId="0" hidden="1">#REF!</definedName>
    <definedName name="BOEBB477EA004747AC923498244421587D" hidden="1">[8]Ketqua!#REF!</definedName>
    <definedName name="BOEBBC73E30C5E459DB8E9982D70CCFA83" hidden="1">#REF!</definedName>
    <definedName name="BOEBC5109A663F41D1AD3E9DFAA22080A7" hidden="1">#REF!</definedName>
    <definedName name="BOEC0BCDB4FA624FE89507CCDAFB2DE5F3" localSheetId="0" hidden="1">#REF!</definedName>
    <definedName name="BOEC0BCDB4FA624FE89507CCDAFB2DE5F3" hidden="1">[8]Ketqua!$I$4:$U$4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localSheetId="0" hidden="1">#REF!</definedName>
    <definedName name="BOEC425E786A5F4CE78604F43CC4690D0E" hidden="1">[8]Ketqua!#REF!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localSheetId="0" hidden="1">#REF!</definedName>
    <definedName name="BOED562F54123C431F9027C5E4DD931301" hidden="1">[8]Ketqua!#REF!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localSheetId="0" hidden="1">#REF!</definedName>
    <definedName name="BOEDB3BA53AFC3453DB990331E0B5780A0" hidden="1">[8]Ketqua!#REF!</definedName>
    <definedName name="BOEDBABC0C059545189DC8E8F1C8E61166" hidden="1">#REF!</definedName>
    <definedName name="BOEDD6B47B122B4DEA9F2B21565620B1A1" hidden="1">#REF!</definedName>
    <definedName name="BOEDE32FE5EB604C1F930D99BA4C3B57D5" localSheetId="0" hidden="1">#REF!</definedName>
    <definedName name="BOEDE32FE5EB604C1F930D99BA4C3B57D5" hidden="1">[8]Ketqua!#REF!</definedName>
    <definedName name="BOEDE768E044204D4896FC83EA9E0DED28" hidden="1">#REF!</definedName>
    <definedName name="BOEDF260BEC9454C2AAB8653DAA455274C" hidden="1">#REF!</definedName>
    <definedName name="BOEDFE33E509F943EB8068C63B6FBA2CD7" localSheetId="0" hidden="1">#REF!</definedName>
    <definedName name="BOEDFE33E509F943EB8068C63B6FBA2CD7" hidden="1">[8]Ketqua!#REF!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localSheetId="0" hidden="1">#REF!</definedName>
    <definedName name="BOEEE402F4521E4129B8F3DAFD319B8DE9" hidden="1">[8]Ketqua!#REF!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69CDFDA974ED79CC145B0F8EB9682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localSheetId="0" hidden="1">#REF!</definedName>
    <definedName name="BOF05E6310E06849798562BB8BD53C4F28" hidden="1">[8]Ketqua!#REF!</definedName>
    <definedName name="BOF05FFF3AC94B4E36925B5EDAAC8C1C53" localSheetId="0" hidden="1">#REF!</definedName>
    <definedName name="BOF05FFF3AC94B4E36925B5EDAAC8C1C53" hidden="1">[8]Ketqua!$I$4:$T$4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localSheetId="0" hidden="1">#REF!</definedName>
    <definedName name="BOF20CCB7468C540F09F18FAB754EC370F" hidden="1">[9]xml!#REF!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localSheetId="23" hidden="1">#REF!</definedName>
    <definedName name="BOF2EBB03F32CB43D982795A06A0CE7F14" localSheetId="21" hidden="1">#REF!</definedName>
    <definedName name="BOF2EBB03F32CB43D982795A06A0CE7F14" localSheetId="20" hidden="1">#REF!</definedName>
    <definedName name="BOF2EBB03F32CB43D982795A06A0CE7F14" localSheetId="0" hidden="1">#REF!</definedName>
    <definedName name="BOF2EBB03F32CB43D982795A06A0CE7F14" hidden="1">[7]lailo!#REF!</definedName>
    <definedName name="BOF2ED9B84F0014707AE8E96E655EA83CB" localSheetId="23" hidden="1">#REF!</definedName>
    <definedName name="BOF2ED9B84F0014707AE8E96E655EA83CB" hidden="1">#REF!</definedName>
    <definedName name="BOF2FF48AA091D4BA99B50E6B5AC55A3E5" localSheetId="23" hidden="1">#REF!</definedName>
    <definedName name="BOF2FF48AA091D4BA99B50E6B5AC55A3E5" hidden="1">#REF!</definedName>
    <definedName name="BOF3239FBE6C4C47D0AA40E65F1AF1C1FC" localSheetId="23" hidden="1">#REF!</definedName>
    <definedName name="BOF3239FBE6C4C47D0AA40E65F1AF1C1FC" hidden="1">#REF!</definedName>
    <definedName name="BOF33205490E834D1E954D98ED7145934B" hidden="1">#REF!</definedName>
    <definedName name="BOF33D6B6D93C74BB18FE3D6E0FF794B23" localSheetId="0" hidden="1">#REF!</definedName>
    <definedName name="BOF33D6B6D93C74BB18FE3D6E0FF794B23" hidden="1">[9]xml!#REF!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localSheetId="23" hidden="1">#REF!</definedName>
    <definedName name="BOF3F8EC36F0584B21B040E4FAE9B8810F" localSheetId="21" hidden="1">#REF!</definedName>
    <definedName name="BOF3F8EC36F0584B21B040E4FAE9B8810F" localSheetId="20" hidden="1">#REF!</definedName>
    <definedName name="BOF3F8EC36F0584B21B040E4FAE9B8810F" localSheetId="0" hidden="1">#REF!</definedName>
    <definedName name="BOF3F8EC36F0584B21B040E4FAE9B8810F" hidden="1">[7]lailo!#REF!</definedName>
    <definedName name="BOF40B8D5DE4EF48C8A142F2738685DF4E" hidden="1">#REF!</definedName>
    <definedName name="BOF40D19766CE04F19935929CE2DA3EB55" localSheetId="23" hidden="1">#REF!</definedName>
    <definedName name="BOF40D19766CE04F19935929CE2DA3EB55" hidden="1">#REF!</definedName>
    <definedName name="BOF4114871BFE4412A94F702635BE768DB" localSheetId="23" hidden="1">#REF!</definedName>
    <definedName name="BOF4114871BFE4412A94F702635BE768DB" hidden="1">#REF!</definedName>
    <definedName name="BOF474B784011942EE8F9762B58E2206C2" localSheetId="23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localSheetId="0" hidden="1">#REF!</definedName>
    <definedName name="BOF5CB44B1A6E44FDC89B7F2976A7CE3A8" hidden="1">[9]xml!#REF!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localSheetId="0" hidden="1">#REF!</definedName>
    <definedName name="BOF611A9E8BB0F49E497EFF27831772058" hidden="1">[8]Ketqua!$I$16:$U$16</definedName>
    <definedName name="BOF62D3D4F777949DA8A29FDC4707A82D9" hidden="1">#REF!</definedName>
    <definedName name="BOF63D3B4EB0E544EFA271FEA8860AC25D" localSheetId="0" hidden="1">#REF!</definedName>
    <definedName name="BOF63D3B4EB0E544EFA271FEA8860AC25D" hidden="1">[8]Ketqua!$I$4:$U$4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localSheetId="0" hidden="1">#REF!</definedName>
    <definedName name="BOF6C435831C884A2B958ECF1499C5AE81" hidden="1">[8]Ketqua!$X$10:$AJ$10</definedName>
    <definedName name="BOF6C9B9EED16443ED8CB7FF99A5DBCC26" localSheetId="23" hidden="1">#REF!</definedName>
    <definedName name="BOF6C9B9EED16443ED8CB7FF99A5DBCC26" localSheetId="21" hidden="1">#REF!</definedName>
    <definedName name="BOF6C9B9EED16443ED8CB7FF99A5DBCC26" localSheetId="20" hidden="1">#REF!</definedName>
    <definedName name="BOF6C9B9EED16443ED8CB7FF99A5DBCC26" localSheetId="0" hidden="1">#REF!</definedName>
    <definedName name="BOF6C9B9EED16443ED8CB7FF99A5DBCC26" hidden="1">[7]lailo!#REF!</definedName>
    <definedName name="BOF6CCD54417AC4931901DEF75EEA84F24" localSheetId="23" hidden="1">#REF!</definedName>
    <definedName name="BOF6CCD54417AC4931901DEF75EEA84F24" hidden="1">#REF!</definedName>
    <definedName name="BOF6CDA264C92D4DF2907EB1622B5003D6" hidden="1">#REF!</definedName>
    <definedName name="BOF6D3B02F600746DFB75C12B28AF70310" localSheetId="23" hidden="1">#REF!</definedName>
    <definedName name="BOF6D3B02F600746DFB75C12B28AF70310" hidden="1">#REF!</definedName>
    <definedName name="BOF6E9F1E9C5B04DAA88A54F6FE2A57C42" localSheetId="23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localSheetId="0" hidden="1">#REF!</definedName>
    <definedName name="BOF7976E88AE214F67B9CBB47608F7DDA9" hidden="1">[8]Ketqua!#REF!</definedName>
    <definedName name="BOF7991C6F519D41A3B8AC572703E833AD" hidden="1">#REF!</definedName>
    <definedName name="BOF79C8057618541DB900AC860DEA92122" hidden="1">#REF!</definedName>
    <definedName name="BOF7B5D1FBB8764A4FB0220E77B2881D62" localSheetId="0" hidden="1">#REF!</definedName>
    <definedName name="BOF7B5D1FBB8764A4FB0220E77B2881D62" hidden="1">[9]xml!#REF!</definedName>
    <definedName name="BOF7B5FA1754E0413AAFB010856810A5BA" hidden="1">#REF!</definedName>
    <definedName name="BOF7C0B15686234EACBE0FB09FC35AFFF4" hidden="1">#REF!</definedName>
    <definedName name="BOF7CF94FFA36A46ACB0FCB81905FBD824" localSheetId="0" hidden="1">#REF!</definedName>
    <definedName name="BOF7CF94FFA36A46ACB0FCB81905FBD824" hidden="1">[9]xml!#REF!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localSheetId="0" hidden="1">#REF!</definedName>
    <definedName name="BOF87E495A74FB4EFAB3F46E6715C2B04E" hidden="1">[8]Ketqua!#REF!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localSheetId="0" hidden="1">#REF!</definedName>
    <definedName name="BOF9376400C8CF4FCD85B320E7EAD04A94" hidden="1">[8]Ketqua!$I$16:$U$16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localSheetId="0" hidden="1">#REF!</definedName>
    <definedName name="BOF982D863C97441DE8C3A59719A3F7A1C" hidden="1">[10]Giaitrinh!#REF!</definedName>
    <definedName name="BOF988328A7F834104BBD14188E005B28F" hidden="1">#REF!</definedName>
    <definedName name="BOF991385FBFDD4DD7AD5E7F1640C78BB8" localSheetId="0" hidden="1">#REF!</definedName>
    <definedName name="BOF991385FBFDD4DD7AD5E7F1640C78BB8" hidden="1">[9]xml!#REF!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localSheetId="23" hidden="1">#REF!</definedName>
    <definedName name="BOFB0EFF5180C64CC58011020FA1EED728" hidden="1">#REF!</definedName>
    <definedName name="BOFB1C41C30B6E4FDDB1D2E412168345EA" hidden="1">#REF!</definedName>
    <definedName name="BOFB23DD2B62EB470992A82EC97423E4B4" localSheetId="23" hidden="1">#REF!</definedName>
    <definedName name="BOFB23DD2B62EB470992A82EC97423E4B4" hidden="1">#REF!</definedName>
    <definedName name="BOFB24A1F273BD4AAB9F0EB3D97D98BE90" localSheetId="23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localSheetId="23" hidden="1">#REF!</definedName>
    <definedName name="BOFC3CE9B777E942BF8427BC366D3B0A70" localSheetId="21" hidden="1">#REF!</definedName>
    <definedName name="BOFC3CE9B777E942BF8427BC366D3B0A70" localSheetId="20" hidden="1">#REF!</definedName>
    <definedName name="BOFC3CE9B777E942BF8427BC366D3B0A70" localSheetId="0" hidden="1">#REF!</definedName>
    <definedName name="BOFC3CE9B777E942BF8427BC366D3B0A70" hidden="1">[7]lailo!#REF!</definedName>
    <definedName name="BOFC4D075129CE42B6A11BB16DE21CCC94" localSheetId="23" hidden="1">#REF!</definedName>
    <definedName name="BOFC4D075129CE42B6A11BB16DE21CCC94" hidden="1">#REF!</definedName>
    <definedName name="BOFC57A9C3720F428986EA4B1EC7CA21AB" localSheetId="23" hidden="1">#REF!</definedName>
    <definedName name="BOFC57A9C3720F428986EA4B1EC7CA21AB" hidden="1">#REF!</definedName>
    <definedName name="BOFC5BF5B340284577A6C0DA03F1824FF8" hidden="1">#REF!</definedName>
    <definedName name="BOFC63B121E6E140ADA0046BB9BE7A9060" localSheetId="23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localSheetId="0" hidden="1">#REF!</definedName>
    <definedName name="BOFC779837E3E04A1985835E5DF253266E" hidden="1">[9]xml!#REF!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localSheetId="0" hidden="1">#REF!</definedName>
    <definedName name="BOFD529BCDFD5B4DC1A3A3F2BB939D10F7" hidden="1">[8]Ketqua!#REF!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localSheetId="0" hidden="1">#REF!</definedName>
    <definedName name="BOFEEA8528210641EAAB5BD7AF7B5A478A" hidden="1">[8]Ketqua!#REF!</definedName>
    <definedName name="BOFEEC3A32A9914EA8B78F465349332185" hidden="1">#REF!</definedName>
    <definedName name="BOFF2E1E2C77F74388A8E5E3760D657FFD" localSheetId="0" hidden="1">#REF!</definedName>
    <definedName name="BOFF2E1E2C77F74388A8E5E3760D657FFD" hidden="1">[8]Ketqua!$I$16:$U$16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localSheetId="0" hidden="1">#REF!</definedName>
    <definedName name="BOFF4D952AA1C249788BD8E15A5BF80074" hidden="1">[9]xml!#REF!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onthak" localSheetId="18" hidden="1">{"'ตัวอย่าง'!$A$1:$O$21"}</definedName>
    <definedName name="boonthak" localSheetId="0" hidden="1">{"'ตัวอย่าง'!$A$1:$O$21"}</definedName>
    <definedName name="boonthak" hidden="1">{"'ตัวอย่าง'!$A$1:$O$21"}</definedName>
    <definedName name="bs" localSheetId="18" hidden="1">{#N/A,#N/A,FALSE,"BBPREP"}</definedName>
    <definedName name="bs" localSheetId="0" hidden="1">{#N/A,#N/A,FALSE,"BBPREP"}</definedName>
    <definedName name="bs" hidden="1">{#N/A,#N/A,FALSE,"BBPREP"}</definedName>
    <definedName name="btdc2" hidden="1">#REF!</definedName>
    <definedName name="btl" localSheetId="18" hidden="1">{"'Sheet1'!$L$16"}</definedName>
    <definedName name="btl" hidden="1">{"'Sheet1'!$L$16"}</definedName>
    <definedName name="btoan" localSheetId="18" hidden="1">{"'Sheet1'!$L$16"}</definedName>
    <definedName name="btoan" hidden="1">{"'Sheet1'!$L$16"}</definedName>
    <definedName name="bvieb" localSheetId="18" hidden="1">{"'Sheet1'!$L$16"}</definedName>
    <definedName name="bvieb" hidden="1">{"'Sheet1'!$L$16"}</definedName>
    <definedName name="bvnn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localSheetId="18" hidden="1">{#N/A,#N/A,FALSE,"Earn'gs &amp; Val'n";#N/A,#N/A,FALSE,"Interim"}</definedName>
    <definedName name="BYD" hidden="1">{#N/A,#N/A,FALSE,"Earn'gs &amp; Val'n";#N/A,#N/A,FALSE,"Interim"}</definedName>
    <definedName name="bygrade" localSheetId="18" hidden="1">{"income",#N/A,FALSE,"INCOME"}</definedName>
    <definedName name="bygrade" hidden="1">{"income",#N/A,FALSE,"INCOME"}</definedName>
    <definedName name="BYx78U8iii" localSheetId="18" hidden="1">Stat Key #REF!</definedName>
    <definedName name="BYx78U8iii" hidden="1">Stat Key #REF!</definedName>
    <definedName name="CA_FY07" localSheetId="18" hidden="1">{"'1-TheatreBkgs'!$A$1:$L$102"}</definedName>
    <definedName name="CA_FY07" hidden="1">{"'1-TheatreBkgs'!$A$1:$L$102"}</definedName>
    <definedName name="caccccc" localSheetId="18" hidden="1">{"'Sheet1'!$L$16"}</definedName>
    <definedName name="caccccc" localSheetId="23" hidden="1">{"'Sheet1'!$L$16"}</definedName>
    <definedName name="caccccc" localSheetId="21" hidden="1">{"'Sheet1'!$L$16"}</definedName>
    <definedName name="caccccc" localSheetId="20" hidden="1">{"'Sheet1'!$L$16"}</definedName>
    <definedName name="caccccc" localSheetId="0" hidden="1">{"'Sheet1'!$L$16"}</definedName>
    <definedName name="caccccc" hidden="1">{"'Sheet1'!$L$16"}</definedName>
    <definedName name="cádf" localSheetId="18" hidden="1">{#N/A,#N/A,TRUE,"Cover sheet";#N/A,#N/A,TRUE,"DCF analysis";#N/A,#N/A,TRUE,"WACC calculation"}</definedName>
    <definedName name="cádf" hidden="1">{#N/A,#N/A,TRUE,"Cover sheet";#N/A,#N/A,TRUE,"DCF analysis";#N/A,#N/A,TRUE,"WACC calculation"}</definedName>
    <definedName name="cấdwqdas" localSheetId="18" hidden="1">{"'Sheet1'!$L$16"}</definedName>
    <definedName name="cấdwqdas" hidden="1">{"'Sheet1'!$L$16"}</definedName>
    <definedName name="caigi" localSheetId="18" hidden="1">{"'Sheet1'!$L$16"}</definedName>
    <definedName name="caigi" hidden="1">{"'Sheet1'!$L$16"}</definedName>
    <definedName name="Calculation_Exparts" localSheetId="18" hidden="1">{"'Sheet1'!$L$16"}</definedName>
    <definedName name="Calculation_Exparts" hidden="1">{"'Sheet1'!$L$16"}</definedName>
    <definedName name="Calendar">#REF!</definedName>
    <definedName name="cap" localSheetId="18" hidden="1">{"lev1bt",#N/A,FALSE,"1_LEVB-T"}</definedName>
    <definedName name="cap" hidden="1">{"lev1bt",#N/A,FALSE,"1_LEVB-T"}</definedName>
    <definedName name="CAP1B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localSheetId="18" hidden="1">{"'ตัวอย่าง'!$A$1:$O$21"}</definedName>
    <definedName name="capacity" hidden="1">{"'ตัวอย่าง'!$A$1:$O$21"}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localSheetId="18" hidden="1">{"PRINT_EST",#N/A,FALSE,"ESTMON"}</definedName>
    <definedName name="ccc" localSheetId="0" hidden="1">{"PRINT_EST",#N/A,FALSE,"ESTMON"}</definedName>
    <definedName name="ccc" hidden="1">{"PRINT_EST",#N/A,FALSE,"ESTMON"}</definedName>
    <definedName name="CCCC" localSheetId="18" hidden="1">{"'Bidfailed'!$D$2:$AB$14","'Bidfailed'!$D$4:$AB$4"}</definedName>
    <definedName name="CCCC" hidden="1">{"'Bidfailed'!$D$2:$AB$14","'Bidfailed'!$D$4:$AB$4"}</definedName>
    <definedName name="CCD" hidden="1">#REF!</definedName>
    <definedName name="ccfds" localSheetId="18" hidden="1">{"'Sheet1'!$L$16"}</definedName>
    <definedName name="ccfds" hidden="1">{"'Sheet1'!$L$16"}</definedName>
    <definedName name="ccghdf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localSheetId="18" hidden="1">{"'Sheet1'!$L$16"}</definedName>
    <definedName name="CCÑCangdung10.2" localSheetId="23" hidden="1">{"'Sheet1'!$L$16"}</definedName>
    <definedName name="CCÑCangdung10.2" localSheetId="21" hidden="1">{"'Sheet1'!$L$16"}</definedName>
    <definedName name="CCÑCangdung10.2" localSheetId="20" hidden="1">{"'Sheet1'!$L$16"}</definedName>
    <definedName name="CCÑCangdung10.2" localSheetId="0" hidden="1">{"'Sheet1'!$L$16"}</definedName>
    <definedName name="CCÑCangdung10.2" hidden="1">{"'Sheet1'!$L$16"}</definedName>
    <definedName name="ccr" localSheetId="18" hidden="1">{"'ตัวอย่าง'!$A$1:$O$21"}</definedName>
    <definedName name="ccr" localSheetId="0" hidden="1">{"'ตัวอย่าง'!$A$1:$O$21"}</definedName>
    <definedName name="ccr" hidden="1">{"'ตัวอย่าง'!$A$1:$O$21"}</definedName>
    <definedName name="CD" hidden="1">#REF!</definedName>
    <definedName name="cdf" localSheetId="18" hidden="1">{"'매출계획'!$D$2"}</definedName>
    <definedName name="cdf" hidden="1">{"'매출계획'!$D$2"}</definedName>
    <definedName name="CDSLQ1" localSheetId="18" hidden="1">{"'Sheet1'!$L$16"}</definedName>
    <definedName name="CDSLQ1" hidden="1">{"'Sheet1'!$L$16"}</definedName>
    <definedName name="C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localSheetId="18" hidden="1">{#N/A,#N/A,FALSE,"CCTV"}</definedName>
    <definedName name="cfjdf" hidden="1">{#N/A,#N/A,FALSE,"CCTV"}</definedName>
    <definedName name="cg" localSheetId="18" hidden="1">{"'Sheet1'!$L$16"}</definedName>
    <definedName name="cg" hidden="1">{"'Sheet1'!$L$16"}</definedName>
    <definedName name="chamcongt3" localSheetId="18" hidden="1">{"'Sheet1'!$L$16"}</definedName>
    <definedName name="chamcongt3" hidden="1">{"'Sheet1'!$L$16"}</definedName>
    <definedName name="Chart3" localSheetId="18" hidden="1">{"'Sheet1'!$L$16"}</definedName>
    <definedName name="Chart3" localSheetId="23" hidden="1">{"'Sheet1'!$L$16"}</definedName>
    <definedName name="Chart3" localSheetId="21" hidden="1">{"'Sheet1'!$L$16"}</definedName>
    <definedName name="Chart3" localSheetId="20" hidden="1">{"'Sheet1'!$L$16"}</definedName>
    <definedName name="Chart3" localSheetId="0" hidden="1">{"'Sheet1'!$L$16"}</definedName>
    <definedName name="Chart3" hidden="1">{"'Sheet1'!$L$16"}</definedName>
    <definedName name="check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localSheetId="18" hidden="1">{"'Sheet1'!$L$16"}</definedName>
    <definedName name="chi" hidden="1">{"'Sheet1'!$L$16"}</definedName>
    <definedName name="chilk" localSheetId="18" hidden="1">{"'Sheet1'!$L$16"}</definedName>
    <definedName name="chilk" hidden="1">{"'Sheet1'!$L$16"}</definedName>
    <definedName name="Chiphi" localSheetId="18" hidden="1">{"'Sheet1'!$L$16"}</definedName>
    <definedName name="Chiphi" localSheetId="23" hidden="1">{"'Sheet1'!$L$16"}</definedName>
    <definedName name="Chiphi" localSheetId="21" hidden="1">{"'Sheet1'!$L$16"}</definedName>
    <definedName name="Chiphi" localSheetId="20" hidden="1">{"'Sheet1'!$L$16"}</definedName>
    <definedName name="Chiphi" localSheetId="0" hidden="1">{"'Sheet1'!$L$16"}</definedName>
    <definedName name="Chiphi" hidden="1">{"'Sheet1'!$L$16"}</definedName>
    <definedName name="chitietbgiang2" localSheetId="18" hidden="1">{"'Sheet1'!$L$16"}</definedName>
    <definedName name="chitietbgiang2" hidden="1">{"'Sheet1'!$L$16"}</definedName>
    <definedName name="chuyen" localSheetId="18" hidden="1">{"'Sheet1'!$L$16"}</definedName>
    <definedName name="chuyen" hidden="1">{"'Sheet1'!$L$16"}</definedName>
    <definedName name="ci" localSheetId="18" hidden="1">{"'照明目录'!$A$1:$H$31"}</definedName>
    <definedName name="ci" localSheetId="0" hidden="1">{"'照明目录'!$A$1:$H$31"}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localSheetId="18" hidden="1">{"'Sheet1'!$L$16"}</definedName>
    <definedName name="cjb9e" hidden="1">{"'Sheet1'!$L$16"}</definedName>
    <definedName name="cjhjkkfkl" localSheetId="18" hidden="1">{"'Sheet1'!$L$16"}</definedName>
    <definedName name="cjhjkkfkl" hidden="1">{"'Sheet1'!$L$16"}</definedName>
    <definedName name="cl" localSheetId="18" hidden="1">{"'照明目录'!$A$1:$H$31"}</definedName>
    <definedName name="cl" localSheetId="0" hidden="1">{"'照明目录'!$A$1:$H$31"}</definedName>
    <definedName name="cl" hidden="1">{"'照明目录'!$A$1:$H$31"}</definedName>
    <definedName name="cnclathe" localSheetId="18" hidden="1">{"'Bidfailed'!$D$2:$AB$14","'Bidfailed'!$D$4:$AB$4"}</definedName>
    <definedName name="cnclathe" hidden="1">{"'Bidfailed'!$D$2:$AB$14","'Bidfailed'!$D$4:$AB$4"}</definedName>
    <definedName name="cncmilling6000" localSheetId="18" hidden="1">{"'Bidfailed'!$D$2:$AB$14","'Bidfailed'!$D$4:$AB$4"}</definedName>
    <definedName name="cncmilling6000" hidden="1">{"'Bidfailed'!$D$2:$AB$14","'Bidfailed'!$D$4:$AB$4"}</definedName>
    <definedName name="coating" localSheetId="18" hidden="1">{"hilight3",#N/A,FALSE,"HILIGHT3"}</definedName>
    <definedName name="coating" hidden="1">{"hilight3",#N/A,FALSE,"HILIGHT3"}</definedName>
    <definedName name="Code" hidden="1">#REF!</definedName>
    <definedName name="color" localSheetId="18" hidden="1">{#N/A,#N/A,FALSE,"m66";#N/A,#N/A,FALSE,"m66"}</definedName>
    <definedName name="color" hidden="1">{#N/A,#N/A,FALSE,"m66";#N/A,#N/A,FALSE,"m66"}</definedName>
    <definedName name="Columns" hidden="1">#REF!</definedName>
    <definedName name="com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localSheetId="18" hidden="1">{#N/A,#N/A,FALSE,"BBPREP"}</definedName>
    <definedName name="comm" localSheetId="0" hidden="1">{#N/A,#N/A,FALSE,"BBPREP"}</definedName>
    <definedName name="comm" hidden="1">{#N/A,#N/A,FALSE,"BBPREP"}</definedName>
    <definedName name="Commentary1" localSheetId="18" hidden="1">{#N/A,#N/A,FALSE,"BBPREP"}</definedName>
    <definedName name="Commentary1" localSheetId="0" hidden="1">{#N/A,#N/A,FALSE,"BBPREP"}</definedName>
    <definedName name="Commentary1" hidden="1">{#N/A,#N/A,FALSE,"BBPREP"}</definedName>
    <definedName name="comments" localSheetId="18" hidden="1">{#N/A,#N/A,FALSE,"BBPREP"}</definedName>
    <definedName name="comments" localSheetId="0" hidden="1">{#N/A,#N/A,FALSE,"BBPREP"}</definedName>
    <definedName name="comments" hidden="1">{#N/A,#N/A,FALSE,"BBPREP"}</definedName>
    <definedName name="CompanyCode">[11]CompanyCode!$A$2:$A$5</definedName>
    <definedName name="complete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localSheetId="18" hidden="1">{"'Sheet1'!$L$16"}</definedName>
    <definedName name="congty" hidden="1">{"'Sheet1'!$L$16"}</definedName>
    <definedName name="Contractingdiv">#REF!</definedName>
    <definedName name="control" localSheetId="18" hidden="1">{"'Sheet1'!$L$16"}</definedName>
    <definedName name="control" hidden="1">{"'Sheet1'!$L$16"}</definedName>
    <definedName name="control_1" localSheetId="18" hidden="1">{"'Sheet1'!$L$16"}</definedName>
    <definedName name="control_1" hidden="1">{"'Sheet1'!$L$16"}</definedName>
    <definedName name="control_1_1" localSheetId="18" hidden="1">{"'Sheet1'!$L$16"}</definedName>
    <definedName name="control_1_1" hidden="1">{"'Sheet1'!$L$16"}</definedName>
    <definedName name="control_1_1_1" localSheetId="18" hidden="1">{"'Sheet1'!$L$16"}</definedName>
    <definedName name="control_1_1_1" hidden="1">{"'Sheet1'!$L$16"}</definedName>
    <definedName name="control_1_1_2" localSheetId="18" hidden="1">{"'Sheet1'!$L$16"}</definedName>
    <definedName name="control_1_1_2" hidden="1">{"'Sheet1'!$L$16"}</definedName>
    <definedName name="control_1_2" localSheetId="18" hidden="1">{"'Sheet1'!$L$16"}</definedName>
    <definedName name="control_1_2" hidden="1">{"'Sheet1'!$L$16"}</definedName>
    <definedName name="control_1_3" localSheetId="18" hidden="1">{"'Sheet1'!$L$16"}</definedName>
    <definedName name="control_1_3" hidden="1">{"'Sheet1'!$L$16"}</definedName>
    <definedName name="control_2" localSheetId="18" hidden="1">{"'Sheet1'!$L$16"}</definedName>
    <definedName name="control_2" hidden="1">{"'Sheet1'!$L$16"}</definedName>
    <definedName name="control_2_1" localSheetId="18" hidden="1">{"'Sheet1'!$L$16"}</definedName>
    <definedName name="control_2_1" hidden="1">{"'Sheet1'!$L$16"}</definedName>
    <definedName name="control_2_2" localSheetId="18" hidden="1">{"'Sheet1'!$L$16"}</definedName>
    <definedName name="control_2_2" hidden="1">{"'Sheet1'!$L$16"}</definedName>
    <definedName name="control_3" localSheetId="18" hidden="1">{"'Sheet1'!$L$16"}</definedName>
    <definedName name="control_3" hidden="1">{"'Sheet1'!$L$16"}</definedName>
    <definedName name="control_4" localSheetId="18" hidden="1">{"'Sheet1'!$L$16"}</definedName>
    <definedName name="control_4" hidden="1">{"'Sheet1'!$L$16"}</definedName>
    <definedName name="control1" localSheetId="18" hidden="1">{"'Sheet1'!$L$16"}</definedName>
    <definedName name="control1" hidden="1">{"'Sheet1'!$L$16"}</definedName>
    <definedName name="control1_1" localSheetId="18" hidden="1">{"'Sheet1'!$L$16"}</definedName>
    <definedName name="control1_1" hidden="1">{"'Sheet1'!$L$16"}</definedName>
    <definedName name="control1_1_1" localSheetId="18" hidden="1">{"'Sheet1'!$L$16"}</definedName>
    <definedName name="control1_1_1" hidden="1">{"'Sheet1'!$L$16"}</definedName>
    <definedName name="control1_1_1_1" localSheetId="18" hidden="1">{"'Sheet1'!$L$16"}</definedName>
    <definedName name="control1_1_1_1" hidden="1">{"'Sheet1'!$L$16"}</definedName>
    <definedName name="control1_1_1_2" localSheetId="18" hidden="1">{"'Sheet1'!$L$16"}</definedName>
    <definedName name="control1_1_1_2" hidden="1">{"'Sheet1'!$L$16"}</definedName>
    <definedName name="control1_1_2" localSheetId="18" hidden="1">{"'Sheet1'!$L$16"}</definedName>
    <definedName name="control1_1_2" hidden="1">{"'Sheet1'!$L$16"}</definedName>
    <definedName name="control1_1_3" localSheetId="18" hidden="1">{"'Sheet1'!$L$16"}</definedName>
    <definedName name="control1_1_3" hidden="1">{"'Sheet1'!$L$16"}</definedName>
    <definedName name="control1_2" localSheetId="18" hidden="1">{"'Sheet1'!$L$16"}</definedName>
    <definedName name="control1_2" hidden="1">{"'Sheet1'!$L$16"}</definedName>
    <definedName name="control1_2_1" localSheetId="18" hidden="1">{"'Sheet1'!$L$16"}</definedName>
    <definedName name="control1_2_1" hidden="1">{"'Sheet1'!$L$16"}</definedName>
    <definedName name="control1_2_2" localSheetId="18" hidden="1">{"'Sheet1'!$L$16"}</definedName>
    <definedName name="control1_2_2" hidden="1">{"'Sheet1'!$L$16"}</definedName>
    <definedName name="control1_3" localSheetId="18" hidden="1">{"'Sheet1'!$L$16"}</definedName>
    <definedName name="control1_3" hidden="1">{"'Sheet1'!$L$16"}</definedName>
    <definedName name="control1_4" localSheetId="18" hidden="1">{"'Sheet1'!$L$16"}</definedName>
    <definedName name="control1_4" hidden="1">{"'Sheet1'!$L$16"}</definedName>
    <definedName name="conty" localSheetId="18" hidden="1">{"'Sheet1'!$L$16"}</definedName>
    <definedName name="conty" hidden="1">{"'Sheet1'!$L$16"}</definedName>
    <definedName name="corporate_affairs">#REF!</definedName>
    <definedName name="CP" localSheetId="18" hidden="1">{"'Sheet1'!$L$16"}</definedName>
    <definedName name="CP" localSheetId="0" hidden="1">{"'Sheet1'!$L$16"}</definedName>
    <definedName name="CP" hidden="1">{"'Sheet1'!$L$16"}</definedName>
    <definedName name="csc" localSheetId="18" hidden="1">Sales #REF!</definedName>
    <definedName name="csc" hidden="1">Sales #REF!</definedName>
    <definedName name="CSODJWO" localSheetId="18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18" hidden="1">{#N/A,#N/A,TRUE,"BT M200 da 10x20"}</definedName>
    <definedName name="CT" localSheetId="23" hidden="1">{#N/A,#N/A,TRUE,"BT M200 da 10x20"}</definedName>
    <definedName name="CT" localSheetId="21" hidden="1">{#N/A,#N/A,TRUE,"BT M200 da 10x20"}</definedName>
    <definedName name="CT" localSheetId="20" hidden="1">{#N/A,#N/A,TRUE,"BT M200 da 10x20"}</definedName>
    <definedName name="CT" localSheetId="0" hidden="1">{#N/A,#N/A,TRUE,"BT M200 da 10x20"}</definedName>
    <definedName name="CT" hidden="1">{#N/A,#N/A,TRUE,"BT M200 da 10x20"}</definedName>
    <definedName name="ctbbt" localSheetId="18" hidden="1">{"'Sheet1'!$L$16"}</definedName>
    <definedName name="ctbbt" hidden="1">{"'Sheet1'!$L$16"}</definedName>
    <definedName name="CTCT1" localSheetId="18" hidden="1">{"'Sheet1'!$L$16"}</definedName>
    <definedName name="CTCT1" hidden="1">{"'Sheet1'!$L$16"}</definedName>
    <definedName name="CTCT1_1" localSheetId="18" hidden="1">{"'Sheet1'!$L$16"}</definedName>
    <definedName name="CTCT1_1" hidden="1">{"'Sheet1'!$L$16"}</definedName>
    <definedName name="CTCT1_1_1" localSheetId="18" hidden="1">{"'Sheet1'!$L$16"}</definedName>
    <definedName name="CTCT1_1_1" hidden="1">{"'Sheet1'!$L$16"}</definedName>
    <definedName name="CTCT1_1_1_1" localSheetId="18" hidden="1">{"'Sheet1'!$L$16"}</definedName>
    <definedName name="CTCT1_1_1_1" hidden="1">{"'Sheet1'!$L$16"}</definedName>
    <definedName name="CTCT1_1_1_2" localSheetId="18" hidden="1">{"'Sheet1'!$L$16"}</definedName>
    <definedName name="CTCT1_1_1_2" hidden="1">{"'Sheet1'!$L$16"}</definedName>
    <definedName name="CTCT1_1_2" localSheetId="18" hidden="1">{"'Sheet1'!$L$16"}</definedName>
    <definedName name="CTCT1_1_2" hidden="1">{"'Sheet1'!$L$16"}</definedName>
    <definedName name="CTCT1_1_3" localSheetId="18" hidden="1">{"'Sheet1'!$L$16"}</definedName>
    <definedName name="CTCT1_1_3" hidden="1">{"'Sheet1'!$L$16"}</definedName>
    <definedName name="CTCT1_2" localSheetId="18" hidden="1">{"'Sheet1'!$L$16"}</definedName>
    <definedName name="CTCT1_2" hidden="1">{"'Sheet1'!$L$16"}</definedName>
    <definedName name="CTCT1_2_1" localSheetId="18" hidden="1">{"'Sheet1'!$L$16"}</definedName>
    <definedName name="CTCT1_2_1" hidden="1">{"'Sheet1'!$L$16"}</definedName>
    <definedName name="CTCT1_2_2" localSheetId="18" hidden="1">{"'Sheet1'!$L$16"}</definedName>
    <definedName name="CTCT1_2_2" hidden="1">{"'Sheet1'!$L$16"}</definedName>
    <definedName name="CTCT1_3" localSheetId="18" hidden="1">{"'Sheet1'!$L$16"}</definedName>
    <definedName name="CTCT1_3" hidden="1">{"'Sheet1'!$L$16"}</definedName>
    <definedName name="CTCT1_4" localSheetId="18" hidden="1">{"'Sheet1'!$L$16"}</definedName>
    <definedName name="CTCT1_4" hidden="1">{"'Sheet1'!$L$16"}</definedName>
    <definedName name="CTY">'[12]0.CTY'!$D:$D</definedName>
    <definedName name="cva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localSheetId="18" hidden="1">{#N/A,#N/A,FALSE,"Sheet1"}</definedName>
    <definedName name="CVCV" hidden="1">{#N/A,#N/A,FALSE,"Sheet1"}</definedName>
    <definedName name="CVGLJKF" localSheetId="18" hidden="1">{#N/A,#N/A,FALSE,"CCTV"}</definedName>
    <definedName name="CVGLJKF" hidden="1">{#N/A,#N/A,FALSE,"CCTV"}</definedName>
    <definedName name="cx" localSheetId="18" hidden="1">{"hilight2",#N/A,FALSE,"HILIGHT2"}</definedName>
    <definedName name="cx" hidden="1">{"hilight2",#N/A,FALSE,"HILIGHT2"}</definedName>
    <definedName name="CXFB" localSheetId="18" hidden="1">{"'매출계획'!$D$2"}</definedName>
    <definedName name="CXFB" hidden="1">{"'매출계획'!$D$2"}</definedName>
    <definedName name="cxsxxxxxxxxxxxxxxxxxxxxxxxxxxx" localSheetId="18" hidden="1">{"'Sheet1'!$L$16"}</definedName>
    <definedName name="cxsxxxxxxxxxxxxxxxxxxxxxxxxxxx" hidden="1">{"'Sheet1'!$L$16"}</definedName>
    <definedName name="d" hidden="1">#REF!</definedName>
    <definedName name="da" localSheetId="18" hidden="1">{"'Sheet1'!$L$16"}</definedName>
    <definedName name="da" localSheetId="23" hidden="1">{"'Sheet1'!$L$16"}</definedName>
    <definedName name="da" localSheetId="21" hidden="1">{"'Sheet1'!$L$16"}</definedName>
    <definedName name="da" localSheetId="20" hidden="1">{"'Sheet1'!$L$16"}</definedName>
    <definedName name="da" localSheetId="0" hidden="1">{"'ตัวอย่าง'!$A$1:$O$21"}</definedName>
    <definedName name="da" hidden="1">{"'Sheet1'!$L$16"}</definedName>
    <definedName name="đà" hidden="1">#REF!</definedName>
    <definedName name="dad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hidden="1">#REF!</definedName>
    <definedName name="dadfa" localSheetId="18" hidden="1">{"'Sheet1'!$L$16"}</definedName>
    <definedName name="dadfa" hidden="1">{"'Sheet1'!$L$16"}</definedName>
    <definedName name="dagda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localSheetId="18" hidden="1">{"PRINT_EST",#N/A,FALSE,"ESTMON"}</definedName>
    <definedName name="daggG" hidden="1">{"PRINT_EST",#N/A,FALSE,"ESTMON"}</definedName>
    <definedName name="DAKDFSLJFLAJDFL" localSheetId="18" hidden="1">{"'Sheet1'!$L$16"}</definedName>
    <definedName name="DAKDFSLJFLAJDFL" hidden="1">{"'Sheet1'!$L$16"}</definedName>
    <definedName name="dasdas" localSheetId="18" hidden="1">{#N/A,#N/A,FALSE,"Gesamt";#N/A,#N/A,FALSE,"Ree KG";#N/A,#N/A,FALSE,"Ree Inter";#N/A,#N/A,FALSE,"BTM";#N/A,#N/A,FALSE,"GmbH";#N/A,#N/A,FALSE,"Sonstige"}</definedName>
    <definedName name="dasdas" hidden="1">{#N/A,#N/A,FALSE,"Gesamt";#N/A,#N/A,FALSE,"Ree KG";#N/A,#N/A,FALSE,"Ree Inter";#N/A,#N/A,FALSE,"BTM";#N/A,#N/A,FALSE,"GmbH";#N/A,#N/A,FALSE,"Sonstige"}</definedName>
    <definedName name="dasdasdsd" localSheetId="18" hidden="1">{"'Sheet1'!$L$16"}</definedName>
    <definedName name="dasdasdsd" hidden="1">{"'Sheet1'!$L$16"}</definedName>
    <definedName name="dasf" localSheetId="18" hidden="1">{0,#N/A,FALSE,0}</definedName>
    <definedName name="dasf" hidden="1">{0,#N/A,FALSE,0}</definedName>
    <definedName name="dasrwre234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localSheetId="18" hidden="1">OFFSET([13]!Data.Top.Left,1,0)</definedName>
    <definedName name="Data.Dump" localSheetId="21" hidden="1">OFFSET([13]!Data.Top.Left,1,0)</definedName>
    <definedName name="Data.Dump" localSheetId="0" hidden="1">OFFSET(#REF!,1,0)</definedName>
    <definedName name="Data.Dump" hidden="1">OFFSET([13]!Data.Top.Left,1,0)</definedName>
    <definedName name="DATA_01" localSheetId="0" hidden="1">#REF!</definedName>
    <definedName name="DATA_01" hidden="1">'[14]Sales Seasonality by Month'!$B$4</definedName>
    <definedName name="DATA_02" localSheetId="23" hidden="1">#REF!</definedName>
    <definedName name="DATA_02" localSheetId="21" hidden="1">#REF!</definedName>
    <definedName name="DATA_02" localSheetId="20" hidden="1">#REF!</definedName>
    <definedName name="DATA_02" localSheetId="0" hidden="1">#REF!</definedName>
    <definedName name="DATA_02" hidden="1">'[14]Sales Seasonality by Month'!$B$9</definedName>
    <definedName name="DATA_03" localSheetId="23" hidden="1">#REF!</definedName>
    <definedName name="DATA_03" localSheetId="21" hidden="1">#REF!</definedName>
    <definedName name="DATA_03" localSheetId="20" hidden="1">#REF!</definedName>
    <definedName name="DATA_03" localSheetId="0" hidden="1">#REF!</definedName>
    <definedName name="DATA_03" hidden="1">'[14]Sales Seasonality by Month'!$C$9:$C$20</definedName>
    <definedName name="DATA_04" localSheetId="23" hidden="1">#REF!</definedName>
    <definedName name="DATA_04" localSheetId="21" hidden="1">#REF!</definedName>
    <definedName name="DATA_04" localSheetId="20" hidden="1">#REF!</definedName>
    <definedName name="DATA_04" localSheetId="0" hidden="1">#REF!</definedName>
    <definedName name="DATA_04" hidden="1">'[14]Sales Seasonality by Month'!$F$9:$F$20</definedName>
    <definedName name="DATA_05" localSheetId="23" hidden="1">#REF!</definedName>
    <definedName name="DATA_05" localSheetId="21" hidden="1">#REF!</definedName>
    <definedName name="DATA_05" localSheetId="20" hidden="1">#REF!</definedName>
    <definedName name="DATA_05" localSheetId="0" hidden="1">#REF!</definedName>
    <definedName name="DATA_05" hidden="1">'[15]Breakeven Analysis'!#REF!</definedName>
    <definedName name="DATA_07" localSheetId="23" hidden="1">#REF!</definedName>
    <definedName name="DATA_07" localSheetId="21" hidden="1">#REF!</definedName>
    <definedName name="DATA_07" localSheetId="20" hidden="1">#REF!</definedName>
    <definedName name="DATA_07" localSheetId="0" hidden="1">#REF!</definedName>
    <definedName name="DATA_07" hidden="1">'[15]Breakeven Analysis'!#REF!</definedName>
    <definedName name="Data_Values">'[16]Single Measure Analysis'!$B$29:$M$30</definedName>
    <definedName name="data1" hidden="1">#REF!</definedName>
    <definedName name="DATA13">'[17]2.1Raw material_details'!#REF!</definedName>
    <definedName name="DATA14">'[17]2.1Raw material_details'!#REF!</definedName>
    <definedName name="DATA15">'[17]2.1Raw material_details'!#REF!</definedName>
    <definedName name="DATA16">'[17]2.1Raw material_details'!#REF!</definedName>
    <definedName name="DATA17">'[17]2.1Raw material_details'!#REF!</definedName>
    <definedName name="DATA18">'[17]2.1Raw material_details'!#REF!</definedName>
    <definedName name="DATA19">'[17]2.1Raw material_details'!#REF!</definedName>
    <definedName name="data2" hidden="1">#REF!</definedName>
    <definedName name="DATA20">'[17]2.1Raw material_details'!#REF!</definedName>
    <definedName name="DATA21">'[17]2.1Raw material_details'!#REF!</definedName>
    <definedName name="DATA22">'[17]2.1Raw material_details'!#REF!</definedName>
    <definedName name="DATA23">'[17]2.1Raw material_details'!#REF!</definedName>
    <definedName name="DATA24">'[17]2.1Raw material_details'!#REF!</definedName>
    <definedName name="DATA25">'[17]2.1Raw material_details'!#REF!</definedName>
    <definedName name="DATA26">'[17]2.1Raw material_details'!#REF!</definedName>
    <definedName name="DATA27">'[17]2.1Raw material_details'!#REF!</definedName>
    <definedName name="DATA28">'[17]2.1Raw material_details'!#REF!</definedName>
    <definedName name="DATA29">'[17]2.1Raw material_details'!#REF!</definedName>
    <definedName name="data3" hidden="1">#REF!</definedName>
    <definedName name="DATA30">'[17]2.1Raw material_details'!#REF!</definedName>
    <definedName name="DATA31">'[17]2.1Raw material_details'!#REF!</definedName>
    <definedName name="DATA32">'[17]2.1Raw material_details'!#REF!</definedName>
    <definedName name="DATA33">'[17]2.1Raw material_details'!#REF!</definedName>
    <definedName name="DATA34">'[17]2.1Raw material_details'!#REF!</definedName>
    <definedName name="DATA35">'[17]2.1Raw material_details'!#REF!</definedName>
    <definedName name="DATA36">'[17]2.1Raw material_details'!#REF!</definedName>
    <definedName name="DATA37">'[17]2.1Raw material_details'!#REF!</definedName>
    <definedName name="_xlnm.Database">#REF!</definedName>
    <definedName name="Database.File" hidden="1">#REF!</definedName>
    <definedName name="Date_of_separation">#REF!</definedName>
    <definedName name="dbc" localSheetId="18" hidden="1">{#N/A,#N/A,FALSE,"Chi tiÆt"}</definedName>
    <definedName name="dbc" hidden="1">{#N/A,#N/A,FALSE,"Chi tiÆt"}</definedName>
    <definedName name="dbnd" localSheetId="18" hidden="1">{#N/A,#N/A,FALSE,"CCTV"}</definedName>
    <definedName name="dbnd" hidden="1">{#N/A,#N/A,FALSE,"CCTV"}</definedName>
    <definedName name="dc" localSheetId="18" hidden="1">{"hilight3",#N/A,FALSE,"HILIGHT3"}</definedName>
    <definedName name="dc" hidden="1">{"hilight3",#N/A,FALSE,"HILIGHT3"}</definedName>
    <definedName name="DCDF" localSheetId="18" hidden="1">{"index",#N/A,FALSE,"INDEX"}</definedName>
    <definedName name="DCDF" hidden="1">{"index",#N/A,FALSE,"INDEX"}</definedName>
    <definedName name="DCF" localSheetId="18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vs" localSheetId="18" hidden="1">{"cashflow",#N/A,FALSE,"CASHFLOW "}</definedName>
    <definedName name="dcvs" hidden="1">{"cashflow",#N/A,FALSE,"CASHFLOW "}</definedName>
    <definedName name="dd" localSheetId="18" hidden="1">{"'ตัวอย่าง'!$A$1:$O$21"}</definedName>
    <definedName name="dd" localSheetId="0" hidden="1">{"'UNIT COST'!$C$7:$L$14"}</definedName>
    <definedName name="dd" hidden="1">{"'ตัวอย่าง'!$A$1:$O$21"}</definedName>
    <definedName name="ddads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localSheetId="18" hidden="1">{"index",#N/A,FALSE,"INDEX"}</definedName>
    <definedName name="ddd" localSheetId="23" hidden="1">{"'Sheet1'!$L$16"}</definedName>
    <definedName name="ddd" localSheetId="21" hidden="1">{"'Sheet1'!$L$16"}</definedName>
    <definedName name="ddd" localSheetId="20" hidden="1">{"'Sheet1'!$L$16"}</definedName>
    <definedName name="ddd" localSheetId="0" hidden="1">{"index",#N/A,FALSE,"INDEX"}</definedName>
    <definedName name="ddd" hidden="1">{"index",#N/A,FALSE,"INDEX"}</definedName>
    <definedName name="ddd_1" localSheetId="18" hidden="1">{"'Sheet1'!$L$16"}</definedName>
    <definedName name="ddd_1" hidden="1">{"'Sheet1'!$L$16"}</definedName>
    <definedName name="dddd" localSheetId="18" hidden="1">{"index",#N/A,FALSE,"INDEX"}</definedName>
    <definedName name="dddd" hidden="1">{"index",#N/A,FALSE,"INDEX"}</definedName>
    <definedName name="ddddd" localSheetId="18" hidden="1">{"Tages_D",#N/A,FALSE,"Tagesbericht";"Tages_PL",#N/A,FALSE,"Tagesbericht"}</definedName>
    <definedName name="ddddd" hidden="1">{"Tages_D",#N/A,FALSE,"Tagesbericht";"Tages_PL",#N/A,FALSE,"Tagesbericht"}</definedName>
    <definedName name="dddddd" localSheetId="18" hidden="1">Sales #REF!</definedName>
    <definedName name="dddddd" hidden="1">Sales #REF!</definedName>
    <definedName name="DDF" localSheetId="18" hidden="1">{#N/A,#N/A,FALSE,"CCTV"}</definedName>
    <definedName name="DDF" hidden="1">{#N/A,#N/A,FALSE,"CCTV"}</definedName>
    <definedName name="DDFD" localSheetId="18" hidden="1">{#N/A,#N/A,FALSE,"CCTV"}</definedName>
    <definedName name="DDFD" hidden="1">{#N/A,#N/A,FALSE,"CCTV"}</definedName>
    <definedName name="ddm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hidden="1">#REF!</definedName>
    <definedName name="Dealer" localSheetId="18" hidden="1">{"'Model'!$A$1:$N$53"}</definedName>
    <definedName name="Dealer" hidden="1">{"'Model'!$A$1:$N$53"}</definedName>
    <definedName name="deb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localSheetId="18" hidden="1">{#N/A,#N/A,FALSE,"Gesamt";#N/A,#N/A,FALSE,"Ree KG";#N/A,#N/A,FALSE,"Ree Inter";#N/A,#N/A,FALSE,"BTM";#N/A,#N/A,FALSE,"GmbH";#N/A,#N/A,FALSE,"Sonstige"}</definedName>
    <definedName name="Deferred" hidden="1">{#N/A,#N/A,FALSE,"Gesamt";#N/A,#N/A,FALSE,"Ree KG";#N/A,#N/A,FALSE,"Ree Inter";#N/A,#N/A,FALSE,"BTM";#N/A,#N/A,FALSE,"GmbH";#N/A,#N/A,FALSE,"Sonstige"}</definedName>
    <definedName name="del" localSheetId="18" hidden="1">{"level1",#N/A,FALSE,"1_LEV";"LEVEL1",#N/A,FALSE,"1_LEV"}</definedName>
    <definedName name="del" localSheetId="0" hidden="1">{"level1",#N/A,FALSE,"1_LEV";"LEVEL1",#N/A,FALSE,"1_LEV"}</definedName>
    <definedName name="del" hidden="1">{"level1",#N/A,FALSE,"1_LEV";"LEVEL1",#N/A,FALSE,"1_LEV"}</definedName>
    <definedName name="Delfzi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localSheetId="18" hidden="1">{"'TOTAL'!$A$1:$AG$20"}</definedName>
    <definedName name="den" localSheetId="0" hidden="1">{"'TOTAL'!$A$1:$AG$20"}</definedName>
    <definedName name="den" hidden="1">{"'TOTAL'!$A$1:$AG$20"}</definedName>
    <definedName name="DenDK" localSheetId="18" hidden="1">{"'Sheet1'!$L$16"}</definedName>
    <definedName name="DenDK" localSheetId="23" hidden="1">{"'Sheet1'!$L$16"}</definedName>
    <definedName name="DenDK" localSheetId="21" hidden="1">{"'Sheet1'!$L$16"}</definedName>
    <definedName name="DenDK" localSheetId="20" hidden="1">{"'Sheet1'!$L$16"}</definedName>
    <definedName name="DenDK" localSheetId="0" hidden="1">{"'Sheet1'!$L$16"}</definedName>
    <definedName name="DenDK" hidden="1">{"'Sheet1'!$L$16"}</definedName>
    <definedName name="DeptCode">#REF!</definedName>
    <definedName name="deryhrfm" localSheetId="18" hidden="1">{"'Sheet1'!$L$16"}</definedName>
    <definedName name="deryhrfm" localSheetId="23" hidden="1">{"'Sheet1'!$L$16"}</definedName>
    <definedName name="deryhrfm" localSheetId="21" hidden="1">{"'Sheet1'!$L$16"}</definedName>
    <definedName name="deryhrfm" localSheetId="20" hidden="1">{"'Sheet1'!$L$16"}</definedName>
    <definedName name="deryhrfm" localSheetId="0" hidden="1">{"'Sheet1'!$L$16"}</definedName>
    <definedName name="deryhrfm" hidden="1">{"'Sheet1'!$L$16"}</definedName>
    <definedName name="detail" localSheetId="18" hidden="1">{"index",#N/A,FALSE,"INDEX"}</definedName>
    <definedName name="detail" localSheetId="0" hidden="1">{"index",#N/A,FALSE,"INDEX"}</definedName>
    <definedName name="detail" hidden="1">{"index",#N/A,FALSE,"INDEX"}</definedName>
    <definedName name="devl" localSheetId="18" hidden="1">{"'Bidfailed'!$D$2:$AB$14","'Bidfailed'!$D$4:$AB$4"}</definedName>
    <definedName name="devl" hidden="1">{"'Bidfailed'!$D$2:$AB$14","'Bidfailed'!$D$4:$AB$4"}</definedName>
    <definedName name="DEW" localSheetId="18" hidden="1">{"'매출계획'!$D$2"}</definedName>
    <definedName name="DEW" hidden="1">{"'매출계획'!$D$2"}</definedName>
    <definedName name="DEWSLDW" localSheetId="18" hidden="1">{#N/A,#N/A,TRUE,"SUM";#N/A,#N/A,TRUE,"EE";#N/A,#N/A,TRUE,"AC";#N/A,#N/A,TRUE,"SN"}</definedName>
    <definedName name="DEWSLDW" hidden="1">{#N/A,#N/A,TRUE,"SUM";#N/A,#N/A,TRUE,"EE";#N/A,#N/A,TRUE,"AC";#N/A,#N/A,TRUE,"SN"}</definedName>
    <definedName name="df" hidden="1">#REF!</definedName>
    <definedName name="dfa" localSheetId="18" hidden="1">{"index",#N/A,FALSE,"INDEX"}</definedName>
    <definedName name="dfa" hidden="1">{"index",#N/A,FALSE,"INDEX"}</definedName>
    <definedName name="dfa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localSheetId="18" hidden="1">Main.SAPF4Help()</definedName>
    <definedName name="dfafa" hidden="1">Main.SAPF4Help()</definedName>
    <definedName name="dfasfs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localSheetId="18" hidden="1">{0,#N/A,FALSE,0}</definedName>
    <definedName name="dfd" hidden="1">{0,#N/A,FALSE,0}</definedName>
    <definedName name="dfdfa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localSheetId="18" hidden="1">{"'Sheet1'!$L$16"}</definedName>
    <definedName name="dfdfd" hidden="1">{"'Sheet1'!$L$16"}</definedName>
    <definedName name="DFDFFD" localSheetId="18" hidden="1">{#N/A,#N/A,FALSE,"CCTV"}</definedName>
    <definedName name="DFDFFD" hidden="1">{#N/A,#N/A,FALSE,"CCTV"}</definedName>
    <definedName name="dfdhh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localSheetId="18" hidden="1">{"index",#N/A,FALSE,"INDEX"}</definedName>
    <definedName name="dfdsa" hidden="1">{"index",#N/A,FALSE,"INDEX"}</definedName>
    <definedName name="dfdsfsdfds" localSheetId="18" hidden="1">{"HK PR",#N/A,FALSE,"HK";"SUMMARY",#N/A,FALSE,"PAYROLL";"SUMMARY",#N/A,FALSE,"PAYROLL";"HK PR",#N/A,FALSE,"HK"}</definedName>
    <definedName name="dfdsfsdfds" localSheetId="23" hidden="1">{"HK PR",#N/A,FALSE,"HK";"SUMMARY",#N/A,FALSE,"PAYROLL";"SUMMARY",#N/A,FALSE,"PAYROLL";"HK PR",#N/A,FALSE,"HK"}</definedName>
    <definedName name="dfdsfsdfds" localSheetId="21" hidden="1">{"HK PR",#N/A,FALSE,"HK";"SUMMARY",#N/A,FALSE,"PAYROLL";"SUMMARY",#N/A,FALSE,"PAYROLL";"HK PR",#N/A,FALSE,"HK"}</definedName>
    <definedName name="dfdsfsdfds" localSheetId="20" hidden="1">{"HK PR",#N/A,FALSE,"HK";"SUMMARY",#N/A,FALSE,"PAYROLL";"SUMMARY",#N/A,FALSE,"PAYROLL";"HK PR",#N/A,FALSE,"HK"}</definedName>
    <definedName name="dfdsfsdfds" localSheetId="0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fsdfds" localSheetId="18" hidden="1">{"lev2mon",#N/A,FALSE,"2_levmon"}</definedName>
    <definedName name="dffsdfds" hidden="1">{"lev2mon",#N/A,FALSE,"2_levmon"}</definedName>
    <definedName name="DFG" localSheetId="18" hidden="1">{"'매출계획'!$D$2"}</definedName>
    <definedName name="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" hidden="1">{"'매출계획'!$D$2"}</definedName>
    <definedName name="dfga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localSheetId="18" hidden="1">{"index",#N/A,FALSE,"INDEX"}</definedName>
    <definedName name="dfgd" hidden="1">{"index",#N/A,FALSE,"INDEX"}</definedName>
    <definedName name="DF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localSheetId="18" hidden="1">{#N/A,#N/A,FALSE,"TL";#N/A,#N/A,FALSE,"KK";#N/A,#N/A,FALSE,"TS";#N/A,#N/A,FALSE,"KW";#N/A,#N/A,FALSE,"LP";#N/A,#N/A,FALSE,"DC"}</definedName>
    <definedName name="dfghj" hidden="1">{#N/A,#N/A,FALSE,"TL";#N/A,#N/A,FALSE,"KK";#N/A,#N/A,FALSE,"TS";#N/A,#N/A,FALSE,"KW";#N/A,#N/A,FALSE,"LP";#N/A,#N/A,FALSE,"DC"}</definedName>
    <definedName name="df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localSheetId="18" hidden="1">{"'Sheet1'!$L$16"}</definedName>
    <definedName name="DFHADHA" hidden="1">{"'Sheet1'!$L$16"}</definedName>
    <definedName name="dfhkjdgkh" localSheetId="18" hidden="1">{#N/A,#N/A,FALSE,"CCTV"}</definedName>
    <definedName name="dfhkjdgkh" hidden="1">{#N/A,#N/A,FALSE,"CCTV"}</definedName>
    <definedName name="dfhset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localSheetId="18" hidden="1">{#N/A,#N/A,FALSE,"CCTV"}</definedName>
    <definedName name="dfj" hidden="1">{#N/A,#N/A,FALSE,"CCTV"}</definedName>
    <definedName name="dfjdfj" localSheetId="18" hidden="1">{#N/A,#N/A,FALSE,"CCTV"}</definedName>
    <definedName name="dfjdfj" hidden="1">{#N/A,#N/A,FALSE,"CCTV"}</definedName>
    <definedName name="dfjdj" localSheetId="18" hidden="1">{#N/A,#N/A,FALSE,"CCTV"}</definedName>
    <definedName name="dfjdj" hidden="1">{#N/A,#N/A,FALSE,"CCTV"}</definedName>
    <definedName name="dfjdtj" localSheetId="18" hidden="1">{#N/A,#N/A,FALSE,"CCTV"}</definedName>
    <definedName name="dfjdtj" hidden="1">{#N/A,#N/A,FALSE,"CCTV"}</definedName>
    <definedName name="dfjdy" localSheetId="18" hidden="1">{#N/A,#N/A,FALSE,"CCTV"}</definedName>
    <definedName name="dfjdy" hidden="1">{#N/A,#N/A,FALSE,"CCTV"}</definedName>
    <definedName name="DFL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localSheetId="18" hidden="1">{"HK PR",#N/A,FALSE,"HK";"SUMMARY",#N/A,FALSE,"PAYROLL";"SUMMARY",#N/A,FALSE,"PAYROLL";"HK PR",#N/A,FALSE,"HK"}</definedName>
    <definedName name="dfsd" localSheetId="23" hidden="1">{"HK PR",#N/A,FALSE,"HK";"SUMMARY",#N/A,FALSE,"PAYROLL";"SUMMARY",#N/A,FALSE,"PAYROLL";"HK PR",#N/A,FALSE,"HK"}</definedName>
    <definedName name="dfsd" localSheetId="21" hidden="1">{"HK PR",#N/A,FALSE,"HK";"SUMMARY",#N/A,FALSE,"PAYROLL";"SUMMARY",#N/A,FALSE,"PAYROLL";"HK PR",#N/A,FALSE,"HK"}</definedName>
    <definedName name="dfsd" localSheetId="20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" localSheetId="18" hidden="1">{#N/A,#N/A,FALSE,"CCTV"}</definedName>
    <definedName name="dfsdf" hidden="1">{#N/A,#N/A,FALSE,"CCTV"}</definedName>
    <definedName name="dfsdfsdf" localSheetId="18" hidden="1">{"HK PR",#N/A,FALSE,"HK";"SUMMARY",#N/A,FALSE,"PAYROLL";"SUMMARY",#N/A,FALSE,"PAYROLL";"HK PR",#N/A,FALSE,"HK"}</definedName>
    <definedName name="dfsdfsdf" localSheetId="23" hidden="1">{"HK PR",#N/A,FALSE,"HK";"SUMMARY",#N/A,FALSE,"PAYROLL";"SUMMARY",#N/A,FALSE,"PAYROLL";"HK PR",#N/A,FALSE,"HK"}</definedName>
    <definedName name="dfsdfsdf" localSheetId="21" hidden="1">{"HK PR",#N/A,FALSE,"HK";"SUMMARY",#N/A,FALSE,"PAYROLL";"SUMMARY",#N/A,FALSE,"PAYROLL";"HK PR",#N/A,FALSE,"HK"}</definedName>
    <definedName name="dfsdfsdf" localSheetId="20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8" hidden="1">{"HK PR",#N/A,FALSE,"HK";"SUMMARY",#N/A,FALSE,"PAYROLL";"SUMMARY",#N/A,FALSE,"PAYROLL";"HK PR",#N/A,FALSE,"HK"}</definedName>
    <definedName name="dfsdsd" localSheetId="23" hidden="1">{"HK PR",#N/A,FALSE,"HK";"SUMMARY",#N/A,FALSE,"PAYROLL";"SUMMARY",#N/A,FALSE,"PAYROLL";"HK PR",#N/A,FALSE,"HK"}</definedName>
    <definedName name="dfsdsd" localSheetId="21" hidden="1">{"HK PR",#N/A,FALSE,"HK";"SUMMARY",#N/A,FALSE,"PAYROLL";"SUMMARY",#N/A,FALSE,"PAYROLL";"HK PR",#N/A,FALSE,"HK"}</definedName>
    <definedName name="dfsdsd" localSheetId="20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localSheetId="18" hidden="1">{"cashflow",#N/A,FALSE,"CASHFLOW "}</definedName>
    <definedName name="dfsgds" hidden="1">{"cashflow",#N/A,FALSE,"CASHFLOW "}</definedName>
    <definedName name="dfwseygsegseges4t" hidden="1">#REF!</definedName>
    <definedName name="DGD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localSheetId="18" hidden="1">{"'Sheet1'!$L$16"}</definedName>
    <definedName name="dgesd" hidden="1">{"'Sheet1'!$L$16"}</definedName>
    <definedName name="DGFDGJEROYTMHTRH" localSheetId="18" hidden="1">{#N/A,#N/A,TRUE,"BT M200 da 10x20"}</definedName>
    <definedName name="DGFDGJEROYTMHTRH" localSheetId="23" hidden="1">{#N/A,#N/A,TRUE,"BT M200 da 10x20"}</definedName>
    <definedName name="DGFDGJEROYTMHTRH" localSheetId="21" hidden="1">{#N/A,#N/A,TRUE,"BT M200 da 10x20"}</definedName>
    <definedName name="DGFDGJEROYTMHTRH" localSheetId="20" hidden="1">{#N/A,#N/A,TRUE,"BT M200 da 10x20"}</definedName>
    <definedName name="DGFDGJEROYTMHTRH" localSheetId="0" hidden="1">{#N/A,#N/A,TRUE,"BT M200 da 10x20"}</definedName>
    <definedName name="DGFDGJEROYTMHTRH" hidden="1">{#N/A,#N/A,TRUE,"BT M200 da 10x20"}</definedName>
    <definedName name="dgfgjgj" localSheetId="18" hidden="1">{#N/A,#N/A,FALSE,"CCTV"}</definedName>
    <definedName name="dgfgjgj" hidden="1">{#N/A,#N/A,FALSE,"CCTV"}</definedName>
    <definedName name="DGH" localSheetId="18" hidden="1">{"'매출계획'!$D$2"}</definedName>
    <definedName name="DGH" hidden="1">{"'매출계획'!$D$2"}</definedName>
    <definedName name="dgsd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localSheetId="18" hidden="1">{"revsale",#N/A,FALSE,"REV-ยุพดี"}</definedName>
    <definedName name="dgttry" hidden="1">{"revsale",#N/A,FALSE,"REV-ยุพดี"}</definedName>
    <definedName name="DHADHA" localSheetId="18" hidden="1">{#N/A,#N/A,FALSE,"CCTV"}</definedName>
    <definedName name="DHADHA" hidden="1">{#N/A,#N/A,FALSE,"CCTV"}</definedName>
    <definedName name="dh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localSheetId="18" hidden="1">{"'매출계획'!$D$2"}</definedName>
    <definedName name="DHG" hidden="1">{"'매출계획'!$D$2"}</definedName>
    <definedName name="Diag_DCF" localSheetId="18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18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>#REF!</definedName>
    <definedName name="Discount" hidden="1">#REF!</definedName>
    <definedName name="display_area_2" hidden="1">#REF!</definedName>
    <definedName name="DivisionCode">#REF!</definedName>
    <definedName name="djd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localSheetId="18" hidden="1">{"'Sheet1'!$L$16"}</definedName>
    <definedName name="djt" localSheetId="23" hidden="1">{"'Sheet1'!$L$16"}</definedName>
    <definedName name="djt" localSheetId="21" hidden="1">{"'Sheet1'!$L$16"}</definedName>
    <definedName name="djt" localSheetId="20" hidden="1">{"'Sheet1'!$L$16"}</definedName>
    <definedName name="djt" localSheetId="0" hidden="1">{"'Sheet1'!$L$16"}</definedName>
    <definedName name="djt" hidden="1">{"'Sheet1'!$L$16"}</definedName>
    <definedName name="dkfgklef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localSheetId="18" hidden="1">{"'Sheet1'!$L$16"}</definedName>
    <definedName name="dkfhbdjmnet" hidden="1">{"'Sheet1'!$L$16"}</definedName>
    <definedName name="dkflw" localSheetId="18" hidden="1">{#N/A,#N/A,FALSE,"Gesamt";#N/A,#N/A,FALSE,"Ree KG";#N/A,#N/A,FALSE,"Ree Inter";#N/A,#N/A,FALSE,"BTM";#N/A,#N/A,FALSE,"GmbH";#N/A,#N/A,FALSE,"Sonstige"}</definedName>
    <definedName name="dkflw" hidden="1">{#N/A,#N/A,FALSE,"Gesamt";#N/A,#N/A,FALSE,"Ree KG";#N/A,#N/A,FALSE,"Ree Inter";#N/A,#N/A,FALSE,"BTM";#N/A,#N/A,FALSE,"GmbH";#N/A,#N/A,FALSE,"Sonstige"}</definedName>
    <definedName name="dkjfklg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ect" localSheetId="18" hidden="1">OFFSET(dmObj,0,0,COUNTA(dmObj))</definedName>
    <definedName name="dmObject" hidden="1">OFFSET(dmObj,0,0,COUNTA(dmObj))</definedName>
    <definedName name="dmTKObj" hidden="1">#REF!</definedName>
    <definedName name="DN" hidden="1">#REF!</definedName>
    <definedName name="DO" localSheetId="18" hidden="1">{"'Sheet1'!$L$16"}</definedName>
    <definedName name="DO" hidden="1">{"'Sheet1'!$L$16"}</definedName>
    <definedName name="doamEucaluptus" localSheetId="18" hidden="1">{"'Sheet1'!$L$16"}</definedName>
    <definedName name="doamEucaluptus" hidden="1">{"'Sheet1'!$L$16"}</definedName>
    <definedName name="doamEucalyptus1" localSheetId="18" hidden="1">{#N/A,#N/A,TRUE,"BT M200 da 10x20"}</definedName>
    <definedName name="doamEucalyptus1" hidden="1">{#N/A,#N/A,TRUE,"BT M200 da 10x20"}</definedName>
    <definedName name="Docs" hidden="1">"AS2DocumentBrowse"</definedName>
    <definedName name="dölgfklöej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w">#REF!</definedName>
    <definedName name="DPFLSDPFL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localSheetId="18" hidden="1">{"'Sheet1'!$L$16"}</definedName>
    <definedName name="dqweqwer" hidden="1">{"'Sheet1'!$L$16"}</definedName>
    <definedName name="ds" localSheetId="18" hidden="1">{"cashflow",#N/A,FALSE,"CASHFLOW "}</definedName>
    <definedName name="ds" hidden="1">{"cashflow",#N/A,FALSE,"CASHFLOW "}</definedName>
    <definedName name="ds\" localSheetId="23" hidden="1">#REF!</definedName>
    <definedName name="ds\" hidden="1">#REF!</definedName>
    <definedName name="dsa" localSheetId="18" hidden="1">{"PRINT_EST",#N/A,FALSE,"ESTMON"}</definedName>
    <definedName name="dsa" hidden="1">{"PRINT_EST",#N/A,FALSE,"ESTMON"}</definedName>
    <definedName name="dsad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localSheetId="18" hidden="1">{"hilight3",#N/A,FALSE,"HILIGHT3"}</definedName>
    <definedName name="dsafds" hidden="1">{"hilight3",#N/A,FALSE,"HILIGHT3"}</definedName>
    <definedName name="dsaffds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localSheetId="18" hidden="1">{"lev2monbt",#N/A,FALSE,"2_levmonB-T"}</definedName>
    <definedName name="DSAFSA" hidden="1">{"lev2monbt",#N/A,FALSE,"2_levmonB-T"}</definedName>
    <definedName name="dsd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localSheetId="18" hidden="1">{"'Sheet1'!$L$16"}</definedName>
    <definedName name="DSDL" hidden="1">{"'Sheet1'!$L$16"}</definedName>
    <definedName name="dsds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localSheetId="18" hidden="1">{"revable",#N/A,FALSE,"REVABLE"}</definedName>
    <definedName name="dsf" hidden="1">{"revable",#N/A,FALSE,"REVABLE"}</definedName>
    <definedName name="dsfa" localSheetId="18" hidden="1">{"hilight1",#N/A,FALSE,"HILIGHT1"}</definedName>
    <definedName name="dsfa" hidden="1">{"hilight1",#N/A,FALSE,"HILIGHT1"}</definedName>
    <definedName name="dsfadfda" localSheetId="18" hidden="1">{"PRINT_EST",#N/A,FALSE,"ESTMON"}</definedName>
    <definedName name="dsfadfda" hidden="1">{"PRINT_EST",#N/A,FALSE,"ESTMON"}</definedName>
    <definedName name="dsfaf" localSheetId="18" hidden="1">{"revsale",#N/A,FALSE,"REV-ยุพดี"}</definedName>
    <definedName name="dsfaf" hidden="1">{"revsale",#N/A,FALSE,"REV-ยุพดี"}</definedName>
    <definedName name="DSFAR" localSheetId="18" hidden="1">{#N/A,#N/A,FALSE,"CCTV"}</definedName>
    <definedName name="DSFAR" hidden="1">{#N/A,#N/A,FALSE,"CCTV"}</definedName>
    <definedName name="dsfawe" localSheetId="18" hidden="1">{"hilight3",#N/A,FALSE,"HILIGHT3"}</definedName>
    <definedName name="dsfawe" hidden="1">{"hilight3",#N/A,FALSE,"HILIGHT3"}</definedName>
    <definedName name="dsfd" localSheetId="18" hidden="1">{"revable",#N/A,FALSE,"REVABLE"}</definedName>
    <definedName name="dsfd" hidden="1">{"revable",#N/A,FALSE,"REVABLE"}</definedName>
    <definedName name="dsfdas" localSheetId="18" hidden="1">{0,#N/A,FALSE,0}</definedName>
    <definedName name="dsfdas" hidden="1">{0,#N/A,FALSE,0}</definedName>
    <definedName name="dsff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localSheetId="18" hidden="1">{"'Sheet1'!$L$16"}</definedName>
    <definedName name="dsfghty" hidden="1">{"'Sheet1'!$L$16"}</definedName>
    <definedName name="dsfkljsd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localSheetId="18" hidden="1">{"hilight3",#N/A,FALSE,"HILIGHT3"}</definedName>
    <definedName name="dsfs" hidden="1">{"hilight3",#N/A,FALSE,"HILIGHT3"}</definedName>
    <definedName name="ds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hidden="1">#REF!</definedName>
    <definedName name="dsgsdgsd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localSheetId="18" hidden="1">{#N/A,#N/A,TRUE,"SUM";#N/A,#N/A,TRUE,"EE";#N/A,#N/A,TRUE,"AC";#N/A,#N/A,TRUE,"SN"}</definedName>
    <definedName name="DSJKLDE" hidden="1">{#N/A,#N/A,TRUE,"SUM";#N/A,#N/A,TRUE,"EE";#N/A,#N/A,TRUE,"AC";#N/A,#N/A,TRUE,"SN"}</definedName>
    <definedName name="dsovd" localSheetId="18" hidden="1">{"'Sheet1'!$L$16"}</definedName>
    <definedName name="dsovd" localSheetId="23" hidden="1">{"'Sheet1'!$L$16"}</definedName>
    <definedName name="dsovd" localSheetId="21" hidden="1">{"'Sheet1'!$L$16"}</definedName>
    <definedName name="dsovd" localSheetId="20" hidden="1">{"'Sheet1'!$L$16"}</definedName>
    <definedName name="dsovd" localSheetId="0" hidden="1">{"'Sheet1'!$L$16"}</definedName>
    <definedName name="dsovd" hidden="1">{"'Sheet1'!$L$16"}</definedName>
    <definedName name="dssa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>#REF!</definedName>
    <definedName name="DTA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localSheetId="18" hidden="1">{"'Sheet1'!$L$16"}</definedName>
    <definedName name="dtctnd" hidden="1">{"'Sheet1'!$L$16"}</definedName>
    <definedName name="DTI" localSheetId="18" hidden="1">{#N/A,#N/A,FALSE,"CCTV"}</definedName>
    <definedName name="DTI" hidden="1">{#N/A,#N/A,FALSE,"CCTV"}</definedName>
    <definedName name="dt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localSheetId="18" hidden="1">{#N/A,#N/A,FALSE,"CCTV"}</definedName>
    <definedName name="DTYUDTUI" hidden="1">{#N/A,#N/A,FALSE,"CCTV"}</definedName>
    <definedName name="DVB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localSheetId="23" hidden="1">#REF!</definedName>
    <definedName name="DWPRICE" localSheetId="21" hidden="1">#REF!</definedName>
    <definedName name="DWPRICE" localSheetId="20" hidden="1">#REF!</definedName>
    <definedName name="DWPRICE" localSheetId="0" hidden="1">#REF!</definedName>
    <definedName name="DWPRICE" hidden="1">[18]Quantity!#REF!</definedName>
    <definedName name="DXFTH" localSheetId="18" hidden="1">{"'매출계획'!$D$2"}</definedName>
    <definedName name="DXFTH" hidden="1">{"'매출계획'!$D$2"}</definedName>
    <definedName name="dxsa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localSheetId="18" hidden="1">{#N/A,#N/A,FALSE,"Chung"}</definedName>
    <definedName name="dyrrrr" hidden="1">{#N/A,#N/A,FALSE,"Chung"}</definedName>
    <definedName name="DZHADH" localSheetId="18" hidden="1">{"'Sheet1'!$L$16"}</definedName>
    <definedName name="DZHADH" hidden="1">{"'Sheet1'!$L$16"}</definedName>
    <definedName name="e" localSheetId="18" hidden="1">{"'Sheet1'!$L$16"}</definedName>
    <definedName name="e" hidden="1">{"'Sheet1'!$L$16"}</definedName>
    <definedName name="e?rr" localSheetId="18" hidden="1">{#N/A,#N/A,FALSE,"Chi tiÆt"}</definedName>
    <definedName name="e?rr" hidden="1">{#N/A,#N/A,FALSE,"Chi tiÆt"}</definedName>
    <definedName name="e4t3t34t43" localSheetId="18" hidden="1">{#N/A,#N/A,FALSE,"Gesamt";#N/A,#N/A,FALSE,"Ree KG";#N/A,#N/A,FALSE,"Ree Inter";#N/A,#N/A,FALSE,"BTM";#N/A,#N/A,FALSE,"GmbH";#N/A,#N/A,FALSE,"Sonstige"}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localSheetId="18" hidden="1">{"'매출계획'!$D$2"}</definedName>
    <definedName name="EARF" hidden="1">{"'매출계획'!$D$2"}</definedName>
    <definedName name="EASRYG" localSheetId="18" hidden="1">{"'매출계획'!$D$2"}</definedName>
    <definedName name="EASRYG" hidden="1">{"'매출계획'!$D$2"}</definedName>
    <definedName name="edew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hidden="1">#REF!</definedName>
    <definedName name="ee" localSheetId="18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localSheetId="18" hidden="1">{"revsale",#N/A,FALSE,"REV-ยุพดี"}</definedName>
    <definedName name="eee" localSheetId="0" hidden="1">{"revsale",#N/A,FALSE,"REV-ยุพดี"}</definedName>
    <definedName name="eee" hidden="1">{"revsale",#N/A,FALSE,"REV-ยุพดี"}</definedName>
    <definedName name="eee.exe" localSheetId="18" hidden="1">{#N/A,#N/A,FALSE,"Chi tiÆt"}</definedName>
    <definedName name="eee.exe" hidden="1">{#N/A,#N/A,FALSE,"Chi tiÆt"}</definedName>
    <definedName name="eeeeeeeeeee" localSheetId="18" hidden="1">{"'Feb 99'!$A$1:$G$30"}</definedName>
    <definedName name="eeeeeeeeeee" hidden="1">{"'Feb 99'!$A$1:$G$30"}</definedName>
    <definedName name="EEEEEEEEEEEEEEEEEE" localSheetId="18" hidden="1">{"'Feb 99'!$A$1:$G$30"}</definedName>
    <definedName name="EEEEEEEEEEEEEEEEEE" hidden="1">{"'Feb 99'!$A$1:$G$30"}</definedName>
    <definedName name="eeeeeeeeeeeeeeeeeee" localSheetId="18" hidden="1">{#VALUE!,#N/A,FALSE,0}</definedName>
    <definedName name="eeeeeeeeeeeeeeeeeee" hidden="1">{#VALUE!,#N/A,FALSE,0}</definedName>
    <definedName name="eeeetwrwrqR" hidden="1">#REF!</definedName>
    <definedName name="eer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localSheetId="18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gew4g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localSheetId="18" hidden="1">{"'Sheet1'!$L$16"}</definedName>
    <definedName name="egsf" hidden="1">{"'Sheet1'!$L$16"}</definedName>
    <definedName name="egtewt4qet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localSheetId="18" hidden="1">{#N/A,#N/A,FALSE,"Gesamt";#N/A,#N/A,FALSE,"Ree KG";#N/A,#N/A,FALSE,"Ree Inter";#N/A,#N/A,FALSE,"BTM";#N/A,#N/A,FALSE,"GmbH";#N/A,#N/A,FALSE,"Sonstige"}</definedName>
    <definedName name="egtt" hidden="1">{#N/A,#N/A,FALSE,"Gesamt";#N/A,#N/A,FALSE,"Ree KG";#N/A,#N/A,FALSE,"Ree Inter";#N/A,#N/A,FALSE,"BTM";#N/A,#N/A,FALSE,"GmbH";#N/A,#N/A,FALSE,"Sonstige"}</definedName>
    <definedName name="eoue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localSheetId="18" hidden="1">{"'Sheet1'!$L$16"}</definedName>
    <definedName name="eqeq" hidden="1">{"'Sheet1'!$L$16"}</definedName>
    <definedName name="eqeqe" hidden="1">#REF!</definedName>
    <definedName name="eqt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localSheetId="18" hidden="1">{#N/A,#N/A,FALSE,"CCTV"}</definedName>
    <definedName name="ER" hidden="1">{#N/A,#N/A,FALSE,"CCTV"}</definedName>
    <definedName name="erjgioseru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>#REF!</definedName>
    <definedName name="erre" localSheetId="18" hidden="1">{"weichwaren",#N/A,FALSE,"Liste 1";"hartwaren",#N/A,FALSE,"Liste 1";"food",#N/A,FALSE,"Liste 1";"fleisch",#N/A,FALSE,"Liste 1"}</definedName>
    <definedName name="erre" hidden="1">{"weichwaren",#N/A,FALSE,"Liste 1";"hartwaren",#N/A,FALSE,"Liste 1";"food",#N/A,FALSE,"Liste 1";"fleisch",#N/A,FALSE,"Liste 1"}</definedName>
    <definedName name="errr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localSheetId="18" hidden="1">{"'매출계획'!$D$2"}</definedName>
    <definedName name="ERTG" hidden="1">{"'매출계획'!$D$2"}</definedName>
    <definedName name="ert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localSheetId="18" hidden="1">{"cashflow",#N/A,FALSE,"CASHFLOW "}</definedName>
    <definedName name="erwerw" hidden="1">{"cashflow",#N/A,FALSE,"CASHFLOW "}</definedName>
    <definedName name="eryasery" localSheetId="18" hidden="1">{#N/A,#N/A,FALSE,"CCTV"}</definedName>
    <definedName name="eryasery" hidden="1">{#N/A,#N/A,FALSE,"CCTV"}</definedName>
    <definedName name="erye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localSheetId="18" hidden="1">{"hilight1",#N/A,FALSE,"HILIGHT1"}</definedName>
    <definedName name="es" hidden="1">{"hilight1",#N/A,FALSE,"HILIGHT1"}</definedName>
    <definedName name="et4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localSheetId="18" hidden="1">{#N/A,#N/A,FALSE,"Gesamt";#N/A,#N/A,FALSE,"Ree KG";#N/A,#N/A,FALSE,"Ree Inter";#N/A,#N/A,FALSE,"BTM";#N/A,#N/A,FALSE,"GmbH";#N/A,#N/A,FALSE,"Sonstige"}</definedName>
    <definedName name="etetteet" hidden="1">{#N/A,#N/A,FALSE,"Gesamt";#N/A,#N/A,FALSE,"Ree KG";#N/A,#N/A,FALSE,"Ree Inter";#N/A,#N/A,FALSE,"BTM";#N/A,#N/A,FALSE,"GmbH";#N/A,#N/A,FALSE,"Sonstige"}</definedName>
    <definedName name="etetteet_1" localSheetId="18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localSheetId="18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localSheetId="18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localSheetId="18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localSheetId="18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localSheetId="18" hidden="1">{"'Sheet1'!$L$16"}</definedName>
    <definedName name="etewtwt" hidden="1">{"'Sheet1'!$L$16"}</definedName>
    <definedName name="etw4t4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localSheetId="18" hidden="1">{#N/A,#N/A,FALSE,"Chi tiÆt"}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localSheetId="18" hidden="1">{"revable",#N/A,FALSE,"REVABLE"}</definedName>
    <definedName name="ew" hidden="1">{"revable",#N/A,FALSE,"REVABLE"}</definedName>
    <definedName name="EWADAGDD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localSheetId="18" hidden="1">{"'ตัวอย่าง'!$A$1:$O$21"}</definedName>
    <definedName name="ewe" localSheetId="0" hidden="1">{"'ตัวอย่าง'!$A$1:$O$21"}</definedName>
    <definedName name="ewe" hidden="1">{"'ตัวอย่าง'!$A$1:$O$21"}</definedName>
    <definedName name="eweqw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localSheetId="18" hidden="1">{"'Sheet1'!$L$16"}</definedName>
    <definedName name="ewetwq" hidden="1">{"'Sheet1'!$L$16"}</definedName>
    <definedName name="ewtqw3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>#REF!</definedName>
    <definedName name="Expectations">#REF!</definedName>
    <definedName name="Expense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localSheetId="18" hidden="1">{"'ตัวอย่าง'!$A$1:$O$21"}</definedName>
    <definedName name="EXPORT_รายหน่วยงาน" localSheetId="0" hidden="1">{"'ตัวอย่าง'!$A$1:$O$21"}</definedName>
    <definedName name="EXPORT_รายหน่วยงาน" hidden="1">{"'ตัวอย่าง'!$A$1:$O$21"}</definedName>
    <definedName name="EXR" localSheetId="24">[19]Asm.!$B$2</definedName>
    <definedName name="EXR">#REF!</definedName>
    <definedName name="EY" localSheetId="18" hidden="1">{"'Feb 99'!$A$1:$G$30"}</definedName>
    <definedName name="EY" hidden="1">{"'Feb 99'!$A$1:$G$30"}</definedName>
    <definedName name="eyteyt" localSheetId="18" hidden="1">{#N/A,#N/A,FALSE,"CCTV"}</definedName>
    <definedName name="eyteyt" hidden="1">{#N/A,#N/A,FALSE,"CCTV"}</definedName>
    <definedName name="eytre" localSheetId="18" hidden="1">{#N/A,#N/A,FALSE,"CCTV"}</definedName>
    <definedName name="eytre" hidden="1">{#N/A,#N/A,FALSE,"CCTV"}</definedName>
    <definedName name="F" localSheetId="18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." localSheetId="18" hidden="1">Stat Key #REF!</definedName>
    <definedName name="f." localSheetId="0" hidden="1">{"'ตัวอย่าง'!$A$1:$O$21"}</definedName>
    <definedName name="F." hidden="1">Stat Key #REF!</definedName>
    <definedName name="F6A" localSheetId="18" hidden="1">{"'Sheet1'!$L$16"}</definedName>
    <definedName name="F6A" hidden="1">{"'Sheet1'!$L$16"}</definedName>
    <definedName name="F6B" localSheetId="18" hidden="1">{"'Sheet1'!$L$16"}</definedName>
    <definedName name="F6B" hidden="1">{"'Sheet1'!$L$16"}</definedName>
    <definedName name="fabr" localSheetId="18" hidden="1">{"'Bidfailed'!$D$2:$AB$14","'Bidfailed'!$D$4:$AB$4"}</definedName>
    <definedName name="fabr" hidden="1">{"'Bidfailed'!$D$2:$AB$14","'Bidfailed'!$D$4:$AB$4"}</definedName>
    <definedName name="FACTORY" localSheetId="18" hidden="1">{#N/A,#N/A,TRUE,"SUM";#N/A,#N/A,TRUE,"EE";#N/A,#N/A,TRUE,"AC";#N/A,#N/A,TRUE,"SN"}</definedName>
    <definedName name="FACTORY" hidden="1">{#N/A,#N/A,TRUE,"SUM";#N/A,#N/A,TRUE,"EE";#N/A,#N/A,TRUE,"AC";#N/A,#N/A,TRUE,"SN"}</definedName>
    <definedName name="FADS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localSheetId="18" hidden="1">{"'Sheet1'!$L$16"}</definedName>
    <definedName name="fagsgkgdyhg" hidden="1">{"'Sheet1'!$L$16"}</definedName>
    <definedName name="fa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localSheetId="18" hidden="1">{#N/A,#N/A,FALSE,"CCTV"}</definedName>
    <definedName name="fasfs" hidden="1">{#N/A,#N/A,FALSE,"CCTV"}</definedName>
    <definedName name="fbj" localSheetId="18" hidden="1">{#N/A,#N/A,FALSE,"CCTV"}</definedName>
    <definedName name="fbj" hidden="1">{#N/A,#N/A,FALSE,"CCTV"}</definedName>
    <definedName name="fc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localSheetId="23" hidden="1">#REF!</definedName>
    <definedName name="FCode" hidden="1">#REF!</definedName>
    <definedName name="fd" localSheetId="18" hidden="1">{0,#N/A,FALSE,0}</definedName>
    <definedName name="fd" hidden="1">{0,#N/A,FALSE,0}</definedName>
    <definedName name="fdasfds" localSheetId="18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18" hidden="1">{#N/A,#N/A,FALSE,"CCTV"}</definedName>
    <definedName name="fddfhdfhdgh" hidden="1">{#N/A,#N/A,FALSE,"CCTV"}</definedName>
    <definedName name="fddss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localSheetId="18" hidden="1">{#N/A,#N/A,FALSE,"CCTV"}</definedName>
    <definedName name="fdf" hidden="1">{#N/A,#N/A,FALSE,"CCTV"}</definedName>
    <definedName name="fdfdf" localSheetId="18" hidden="1">{"HK PR",#N/A,FALSE,"HK";"SUMMARY",#N/A,FALSE,"PAYROLL";"SUMMARY",#N/A,FALSE,"PAYROLL";"HK PR",#N/A,FALSE,"HK"}</definedName>
    <definedName name="fdfdf" localSheetId="23" hidden="1">{"HK PR",#N/A,FALSE,"HK";"SUMMARY",#N/A,FALSE,"PAYROLL";"SUMMARY",#N/A,FALSE,"PAYROLL";"HK PR",#N/A,FALSE,"HK"}</definedName>
    <definedName name="fdfdf" localSheetId="21" hidden="1">{"HK PR",#N/A,FALSE,"HK";"SUMMARY",#N/A,FALSE,"PAYROLL";"SUMMARY",#N/A,FALSE,"PAYROLL";"HK PR",#N/A,FALSE,"HK"}</definedName>
    <definedName name="fdfdf" localSheetId="20" hidden="1">{"HK PR",#N/A,FALSE,"HK";"SUMMARY",#N/A,FALSE,"PAYROLL";"SUMMARY",#N/A,FALSE,"PAYROLL";"HK PR",#N/A,FALSE,"HK"}</definedName>
    <definedName name="fdfdf" localSheetId="0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[20]!MeasureList</definedName>
    <definedName name="fdgjf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localSheetId="18" hidden="1">{"cashflow",#N/A,FALSE,"CASHFLOW "}</definedName>
    <definedName name="fds" hidden="1">{"cashflow",#N/A,FALSE,"CASHFLOW "}</definedName>
    <definedName name="fdsaf" localSheetId="18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ASDF" localSheetId="18" hidden="1">{#N/A,#N/A,FALSE,"CCTV"}</definedName>
    <definedName name="FDSFASDF" hidden="1">{#N/A,#N/A,FALSE,"CCTV"}</definedName>
    <definedName name="FDTYIDTIY" localSheetId="18" hidden="1">{#N/A,#N/A,FALSE,"CCTV"}</definedName>
    <definedName name="FDTYIDTIY" hidden="1">{#N/A,#N/A,FALSE,"CCTV"}</definedName>
    <definedName name="fdvjsidf" localSheetId="18" hidden="1">{"'Sheet1'!$L$16"}</definedName>
    <definedName name="fdvjsidf" hidden="1">{"'Sheet1'!$L$16"}</definedName>
    <definedName name="f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localSheetId="18" hidden="1">{"fleisch",#N/A,FALSE,"WG HK";"food",#N/A,FALSE,"WG HK";"hartwaren",#N/A,FALSE,"WG HK";"weichwaren",#N/A,FALSE,"WG HK"}</definedName>
    <definedName name="feineer" hidden="1">{"fleisch",#N/A,FALSE,"WG HK";"food",#N/A,FALSE,"WG HK";"hartwaren",#N/A,FALSE,"WG HK";"weichwaren",#N/A,FALSE,"WG HK"}</definedName>
    <definedName name="feuille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localSheetId="18" hidden="1">{"'ตัวอย่าง'!$A$1:$O$21"}</definedName>
    <definedName name="ff" localSheetId="0" hidden="1">{"'照明目录'!$A$1:$H$31"}</definedName>
    <definedName name="ff" hidden="1">{"'ตัวอย่าง'!$A$1:$O$21"}</definedName>
    <definedName name="ffdgg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18" hidden="1">{"'매출계획'!$D$2"}</definedName>
    <definedName name="fff" hidden="1">{"'매출계획'!$D$2"}</definedName>
    <definedName name="fff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localSheetId="1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localSheetId="18" hidden="1">{#N/A,#N/A,TRUE,"SUM";#N/A,#N/A,TRUE,"EE";#N/A,#N/A,TRUE,"AC";#N/A,#N/A,TRUE,"SN"}</definedName>
    <definedName name="ffffd" hidden="1">{#N/A,#N/A,TRUE,"SUM";#N/A,#N/A,TRUE,"EE";#N/A,#N/A,TRUE,"AC";#N/A,#N/A,TRUE,"SN"}</definedName>
    <definedName name="ffffff" localSheetId="18" hidden="1">{#N/A,#N/A,FALSE,"CCTV"}</definedName>
    <definedName name="ffffff" hidden="1">{#N/A,#N/A,FALSE,"CCTV"}</definedName>
    <definedName name="fffffffffffff" localSheetId="18" hidden="1">Cost #REF!</definedName>
    <definedName name="fffffffffffff" hidden="1">Cost #REF!</definedName>
    <definedName name="fg" localSheetId="18" hidden="1">{"'Sheet1'!$L$16"}</definedName>
    <definedName name="fg" hidden="1">{"'Sheet1'!$L$16"}</definedName>
    <definedName name="fgafg" localSheetId="23" hidden="1">#REF!</definedName>
    <definedName name="fgafg" hidden="1">#REF!</definedName>
    <definedName name="fgdf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localSheetId="18" hidden="1">{#N/A,#N/A,FALSE,"Admin";#N/A,#N/A,FALSE,"Other"}</definedName>
    <definedName name="fgdtrff" hidden="1">{#N/A,#N/A,FALSE,"Admin";#N/A,#N/A,FALSE,"Other"}</definedName>
    <definedName name="FGF" localSheetId="18" hidden="1">{#N/A,#N/A,FALSE,"CCTV"}</definedName>
    <definedName name="FGF" hidden="1">{#N/A,#N/A,FALSE,"CCTV"}</definedName>
    <definedName name="fgfgfgfg" localSheetId="23" hidden="1">#REF!</definedName>
    <definedName name="fgfgfgfg" hidden="1">#REF!</definedName>
    <definedName name="fggdfg" localSheetId="18" hidden="1">{"HK PR",#N/A,FALSE,"HK";"SUMMARY",#N/A,FALSE,"PAYROLL";"SUMMARY",#N/A,FALSE,"PAYROLL";"HK PR",#N/A,FALSE,"HK"}</definedName>
    <definedName name="fggdfg" localSheetId="23" hidden="1">{"HK PR",#N/A,FALSE,"HK";"SUMMARY",#N/A,FALSE,"PAYROLL";"SUMMARY",#N/A,FALSE,"PAYROLL";"HK PR",#N/A,FALSE,"HK"}</definedName>
    <definedName name="fggdfg" localSheetId="21" hidden="1">{"HK PR",#N/A,FALSE,"HK";"SUMMARY",#N/A,FALSE,"PAYROLL";"SUMMARY",#N/A,FALSE,"PAYROLL";"HK PR",#N/A,FALSE,"HK"}</definedName>
    <definedName name="fggdfg" localSheetId="20" hidden="1">{"HK PR",#N/A,FALSE,"HK";"SUMMARY",#N/A,FALSE,"PAYROLL";"SUMMARY",#N/A,FALSE,"PAYROLL";"HK PR",#N/A,FALSE,"HK"}</definedName>
    <definedName name="fggdfg" localSheetId="0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GGHJ" localSheetId="18" hidden="1">{#N/A,#N/A,FALSE,"CCTV"}</definedName>
    <definedName name="FGGHJ" hidden="1">{#N/A,#N/A,FALSE,"CCTV"}</definedName>
    <definedName name="fggjdfg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localSheetId="18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gh" localSheetId="18" hidden="1">{"'매출계획'!$D$2"}</definedName>
    <definedName name="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" hidden="1">{"'매출계획'!$D$2"}</definedName>
    <definedName name="FGHD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localSheetId="18" hidden="1">{#N/A,#N/A,FALSE,"CCTV"}</definedName>
    <definedName name="fghdgh" hidden="1">{#N/A,#N/A,FALSE,"CCTV"}</definedName>
    <definedName name="fgh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localSheetId="18" hidden="1">{"'매출계획'!$D$2"}</definedName>
    <definedName name="FGHFG" hidden="1">{"'매출계획'!$D$2"}</definedName>
    <definedName name="fghgfh" localSheetId="18" hidden="1">{"'Sheet1'!$L$16"}</definedName>
    <definedName name="fghgfh" hidden="1">{"'Sheet1'!$L$16"}</definedName>
    <definedName name="FGHGS" localSheetId="18" hidden="1">{"'매출계획'!$D$2"}</definedName>
    <definedName name="FGHGS" hidden="1">{"'매출계획'!$D$2"}</definedName>
    <definedName name="fghkfghk" localSheetId="18" hidden="1">{#N/A,#N/A,FALSE,"CCTV"}</definedName>
    <definedName name="fghkfghk" hidden="1">{#N/A,#N/A,FALSE,"CCTV"}</definedName>
    <definedName name="fghkk" localSheetId="18" hidden="1">{#N/A,#N/A,FALSE,"CCTV"}</definedName>
    <definedName name="fghkk" hidden="1">{#N/A,#N/A,FALSE,"CCTV"}</definedName>
    <definedName name="FGJFJ" localSheetId="18" hidden="1">{#N/A,#N/A,FALSE,"CCTV"}</definedName>
    <definedName name="FGJFJ" hidden="1">{#N/A,#N/A,FALSE,"CCTV"}</definedName>
    <definedName name="fgjhhj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localSheetId="18" hidden="1">{#N/A,#N/A,FALSE,"CCTV"}</definedName>
    <definedName name="fgkdghk" hidden="1">{#N/A,#N/A,FALSE,"CCTV"}</definedName>
    <definedName name="fgngndnfdifndhdvnhfdiujfidjf" localSheetId="18" hidden="1">{#N/A,#N/A,FALSE,"Aging Summary";#N/A,#N/A,FALSE,"Ratio Analysis";#N/A,#N/A,FALSE,"Test 120 Day Accts";#N/A,#N/A,FALSE,"Tickmarks"}</definedName>
    <definedName name="fgngndnfdifndhdvnhfdiujfidjf" hidden="1">{#N/A,#N/A,FALSE,"Aging Summary";#N/A,#N/A,FALSE,"Ratio Analysis";#N/A,#N/A,FALSE,"Test 120 Day Accts";#N/A,#N/A,FALSE,"Tickmarks"}</definedName>
    <definedName name="fgsfgsdg" localSheetId="18" hidden="1">{#N/A,#N/A,FALSE,"Gesamt";#N/A,#N/A,FALSE,"Ree KG";#N/A,#N/A,FALSE,"Ree Inter";#N/A,#N/A,FALSE,"BTM";#N/A,#N/A,FALSE,"GmbH";#N/A,#N/A,FALSE,"Sonstige"}</definedName>
    <definedName name="fgsfgsdg" hidden="1">{#N/A,#N/A,FALSE,"Gesamt";#N/A,#N/A,FALSE,"Ree KG";#N/A,#N/A,FALSE,"Ree Inter";#N/A,#N/A,FALSE,"BTM";#N/A,#N/A,FALSE,"GmbH";#N/A,#N/A,FALSE,"Sonstige"}</definedName>
    <definedName name="fgtry" localSheetId="18" hidden="1">{"'Shipments'!$A$1:$DA$45"}</definedName>
    <definedName name="fgtry" hidden="1">{"'Shipments'!$A$1:$DA$45"}</definedName>
    <definedName name="fh" localSheetId="18" hidden="1">{"revsale",#N/A,FALSE,"REV-ยุพดี"}</definedName>
    <definedName name="fh" hidden="1">{"revsale",#N/A,FALSE,"REV-ยุพดี"}</definedName>
    <definedName name="fhdf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localSheetId="18" hidden="1">{"revable",#N/A,FALSE,"REVABLE"}</definedName>
    <definedName name="fhgfhgh" hidden="1">{"revable",#N/A,FALSE,"REVABLE"}</definedName>
    <definedName name="fhgjfghfghgf" localSheetId="18" hidden="1">{#N/A,#N/A,FALSE,"CCTV"}</definedName>
    <definedName name="fhgjfghfghgf" hidden="1">{#N/A,#N/A,FALSE,"CCTV"}</definedName>
    <definedName name="fhjl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localSheetId="18" hidden="1">{#N/A,#N/A,FALSE,"CCTV"}</definedName>
    <definedName name="FHKF" hidden="1">{#N/A,#N/A,FALSE,"CCTV"}</definedName>
    <definedName name="FHKFHK" localSheetId="18" hidden="1">{#N/A,#N/A,FALSE,"Chi tiÆt"}</definedName>
    <definedName name="FHKFHK" hidden="1">{#N/A,#N/A,FALSE,"Chi tiÆt"}</definedName>
    <definedName name="fhrh" localSheetId="18" hidden="1">{"level1",#N/A,FALSE,"1_LEV";"LEVEL1",#N/A,FALSE,"1_LEV"}</definedName>
    <definedName name="fhrh" hidden="1">{"level1",#N/A,FALSE,"1_LEV";"LEVEL1",#N/A,FALSE,"1_LEV"}</definedName>
    <definedName name="FHSD" localSheetId="18" hidden="1">{"'매출계획'!$D$2"}</definedName>
    <definedName name="FHSD" hidden="1">{"'매출계획'!$D$2"}</definedName>
    <definedName name="FiCo" localSheetId="23" hidden="1">#REF!</definedName>
    <definedName name="FiCo" hidden="1">#REF!</definedName>
    <definedName name="File.Type" hidden="1">#REF!</definedName>
    <definedName name="Fill" hidden="1">#REF!</definedName>
    <definedName name="Finanacialsys">#REF!</definedName>
    <definedName name="Financialsys">#REF!</definedName>
    <definedName name="FiveYPLN" localSheetId="18" hidden="1">{"'Bidfailed'!$D$2:$AB$14","'Bidfailed'!$D$4:$AB$4"}</definedName>
    <definedName name="FiveYPLN" hidden="1">{"'Bidfailed'!$D$2:$AB$14","'Bidfailed'!$D$4:$AB$4"}</definedName>
    <definedName name="Fixedoverhea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localSheetId="18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gjd" localSheetId="18" hidden="1">{#N/A,#N/A,FALSE,"CCTV"}</definedName>
    <definedName name="fjdgjd" hidden="1">{#N/A,#N/A,FALSE,"CCTV"}</definedName>
    <definedName name="FJHGJ" localSheetId="18" hidden="1">{#N/A,#N/A,FALSE,"CCTV"}</definedName>
    <definedName name="FJHGJ" hidden="1">{#N/A,#N/A,FALSE,"CCTV"}</definedName>
    <definedName name="fjladjfla" hidden="1">5</definedName>
    <definedName name="fjl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localSheetId="18" hidden="1">{"'Sheet1'!$L$16"}</definedName>
    <definedName name="FJY" hidden="1">{"'Sheet1'!$L$16"}</definedName>
    <definedName name="fkfgk" localSheetId="18" hidden="1">{#N/A,#N/A,FALSE,"CCTV"}</definedName>
    <definedName name="fkfgk" hidden="1">{#N/A,#N/A,FALSE,"CCTV"}</definedName>
    <definedName name="fkijgitjgtigjmrkfeofkoekfrjfrijfrfjr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H2006" localSheetId="18" hidden="1">{#N/A,#N/A,FALSE,"TL";#N/A,#N/A,FALSE,"KK";#N/A,#N/A,FALSE,"TS";#N/A,#N/A,FALSE,"KW";#N/A,#N/A,FALSE,"LP";#N/A,#N/A,FALSE,"DC"}</definedName>
    <definedName name="FOH2006" hidden="1">{#N/A,#N/A,FALSE,"TL";#N/A,#N/A,FALSE,"KK";#N/A,#N/A,FALSE,"TS";#N/A,#N/A,FALSE,"KW";#N/A,#N/A,FALSE,"LP";#N/A,#N/A,FALSE,"DC"}</definedName>
    <definedName name="FOR" localSheetId="18" hidden="1">{#N/A,#N/A,FALSE,"CCTV"}</definedName>
    <definedName name="FOR" hidden="1">{#N/A,#N/A,FALSE,"CCTV"}</definedName>
    <definedName name="FOREVER" localSheetId="18" hidden="1">{#N/A,#N/A,FALSE,"Chi tiÆt"}</definedName>
    <definedName name="FOREVER" localSheetId="23" hidden="1">{#N/A,#N/A,FALSE,"Chi tiÆt"}</definedName>
    <definedName name="FOREVER" localSheetId="21" hidden="1">{#N/A,#N/A,FALSE,"Chi tiÆt"}</definedName>
    <definedName name="FOREVER" localSheetId="20" hidden="1">{#N/A,#N/A,FALSE,"Chi tiÆt"}</definedName>
    <definedName name="FOREVER" localSheetId="0" hidden="1">{#N/A,#N/A,FALSE,"Chi tiÆt"}</definedName>
    <definedName name="FOREVER" hidden="1">{#N/A,#N/A,FALSE,"Chi tiÆt"}</definedName>
    <definedName name="FORMAT" localSheetId="18" hidden="1">{#N/A,#N/A,FALSE,"CCTV"}</definedName>
    <definedName name="FORMAT" hidden="1">{#N/A,#N/A,FALSE,"CCTV"}</definedName>
    <definedName name="FPTsubsidaries" localSheetId="18" hidden="1">{#N/A,#N/A,FALSE,"Chi tiÆt"}</definedName>
    <definedName name="FPTsubsidaries" hidden="1">{#N/A,#N/A,FALSE,"Chi tiÆt"}</definedName>
    <definedName name="fr" localSheetId="18" hidden="1">{"'Sheet1'!$A$1:$H$145"}</definedName>
    <definedName name="fr" hidden="1">{"'Sheet1'!$A$1:$H$145"}</definedName>
    <definedName name="fre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localSheetId="18" hidden="1">{"'Sheet1'!$L$16"}</definedName>
    <definedName name="frtyiri" hidden="1">{"'Sheet1'!$L$16"}</definedName>
    <definedName name="fs" localSheetId="18" hidden="1">{#N/A,#N/A,FALSE,"CCTV"}</definedName>
    <definedName name="fs" hidden="1">{#N/A,#N/A,FALSE,"CCTV"}</definedName>
    <definedName name="fsdfdsf" localSheetId="18" hidden="1">{"HK PR",#N/A,FALSE,"HK";"SUMMARY",#N/A,FALSE,"PAYROLL";"SUMMARY",#N/A,FALSE,"PAYROLL";"HK PR",#N/A,FALSE,"HK"}</definedName>
    <definedName name="fsdfdsf" localSheetId="23" hidden="1">{"HK PR",#N/A,FALSE,"HK";"SUMMARY",#N/A,FALSE,"PAYROLL";"SUMMARY",#N/A,FALSE,"PAYROLL";"HK PR",#N/A,FALSE,"HK"}</definedName>
    <definedName name="fsdfdsf" localSheetId="21" hidden="1">{"HK PR",#N/A,FALSE,"HK";"SUMMARY",#N/A,FALSE,"PAYROLL";"SUMMARY",#N/A,FALSE,"PAYROLL";"HK PR",#N/A,FALSE,"HK"}</definedName>
    <definedName name="fsdfdsf" localSheetId="20" hidden="1">{"HK PR",#N/A,FALSE,"HK";"SUMMARY",#N/A,FALSE,"PAYROLL";"SUMMARY",#N/A,FALSE,"PAYROLL";"HK PR",#N/A,FALSE,"HK"}</definedName>
    <definedName name="fsdfdsf" localSheetId="0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sfwsrf" hidden="1">#REF!</definedName>
    <definedName name="ftgh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localSheetId="18" hidden="1">{#N/A,#N/A,FALSE,"CCTV"}</definedName>
    <definedName name="FTIDTI" hidden="1">{#N/A,#N/A,FALSE,"CCTV"}</definedName>
    <definedName name="FTYIDTYI" localSheetId="18" hidden="1">{#N/A,#N/A,FALSE,"CCTV"}</definedName>
    <definedName name="FTYIDTYI" hidden="1">{#N/A,#N/A,FALSE,"CCTV"}</definedName>
    <definedName name="ftyiryiu" localSheetId="18" hidden="1">{"'Sheet1'!$L$16"}</definedName>
    <definedName name="ftyiryiu" hidden="1">{"'Sheet1'!$L$16"}</definedName>
    <definedName name="fyukoyui" localSheetId="18" hidden="1">{#N/A,#N/A,FALSE,"CCTV"}</definedName>
    <definedName name="fyukoyui" hidden="1">{#N/A,#N/A,FALSE,"CCTV"}</definedName>
    <definedName name="g" localSheetId="18" hidden="1">{"'매출계획'!$D$2"}</definedName>
    <definedName name="g" hidden="1">{"'매출계획'!$D$2"}</definedName>
    <definedName name="G.EX" localSheetId="18" hidden="1">{#N/A,#N/A,FALSE,"CCTV"}</definedName>
    <definedName name="G.EX" hidden="1">{#N/A,#N/A,FALSE,"CCTV"}</definedName>
    <definedName name="ga" localSheetId="18" hidden="1">{#N/A,#N/A,FALSE,"SPLIT1";#N/A,#N/A,FALSE,"SPLIT2";#N/A,#N/A,FALSE,"TELEX";#N/A,#N/A,FALSE,"TELEX"}</definedName>
    <definedName name="ga" hidden="1">{#N/A,#N/A,FALSE,"SPLIT1";#N/A,#N/A,FALSE,"SPLIT2";#N/A,#N/A,FALSE,"TELEX";#N/A,#N/A,FALSE,"TELEX"}</definedName>
    <definedName name="GAAP" localSheetId="18" hidden="1">{#N/A,#N/A,FALSE,"Assessment";#N/A,#N/A,FALSE,"Staffing";#N/A,#N/A,FALSE,"Hires";#N/A,#N/A,FALSE,"Assumptions"}</definedName>
    <definedName name="GAAP" localSheetId="0" hidden="1">{#N/A,#N/A,FALSE,"Assessment";#N/A,#N/A,FALSE,"Staffing";#N/A,#N/A,FALSE,"Hires";#N/A,#N/A,FALSE,"Assumptions"}</definedName>
    <definedName name="GAAP" hidden="1">{#N/A,#N/A,FALSE,"Assessment";#N/A,#N/A,FALSE,"Staffing";#N/A,#N/A,FALSE,"Hires";#N/A,#N/A,FALSE,"Assumptions"}</definedName>
    <definedName name="gads" localSheetId="18" hidden="1">{#N/A,#N/A,FALSE,"CCTV"}</definedName>
    <definedName name="gads" hidden="1">{#N/A,#N/A,FALSE,"CCTV"}</definedName>
    <definedName name="GAFG" localSheetId="18" hidden="1">{"'매출계획'!$D$2"}</definedName>
    <definedName name="GAFG" hidden="1">{"'매출계획'!$D$2"}</definedName>
    <definedName name="ga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localSheetId="18" hidden="1">{"'매출계획'!$D$2"}</definedName>
    <definedName name="GB" hidden="1">{"'매출계획'!$D$2"}</definedName>
    <definedName name="GDE" localSheetId="18" hidden="1">{"'매출계획'!$D$2"}</definedName>
    <definedName name="GDE" hidden="1">{"'매출계획'!$D$2"}</definedName>
    <definedName name="GD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localSheetId="18" hidden="1">{"PRINT_EST",#N/A,FALSE,"ESTMON"}</definedName>
    <definedName name="gdgd" hidden="1">{"PRINT_EST",#N/A,FALSE,"ESTMON"}</definedName>
    <definedName name="gdh" localSheetId="18" hidden="1">{#N/A,#N/A,FALSE,"CCTV"}</definedName>
    <definedName name="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dh" hidden="1">{#N/A,#N/A,FALSE,"CCTV"}</definedName>
    <definedName name="GDHJN" localSheetId="18" hidden="1">{"'매출계획'!$D$2"}</definedName>
    <definedName name="GDHJN" hidden="1">{"'매출계획'!$D$2"}</definedName>
    <definedName name="gehe" localSheetId="18" hidden="1">{"Tages_D",#N/A,FALSE,"Tagesbericht";"Tages_PL",#N/A,FALSE,"Tagesbericht"}</definedName>
    <definedName name="gehe" hidden="1">{"Tages_D",#N/A,FALSE,"Tagesbericht";"Tages_PL",#N/A,FALSE,"Tagesbericht"}</definedName>
    <definedName name="GENERAL">#REF!,#REF!,#REF!,#REF!,#REF!,#REF!,#REF!</definedName>
    <definedName name="geresds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localSheetId="18" hidden="1">{"'매출계획'!$D$2"}</definedName>
    <definedName name="GF" hidden="1">{"'매출계획'!$D$2"}</definedName>
    <definedName name="gfdsfgdsg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18" hidden="1">{"'매출계획'!$D$2"}</definedName>
    <definedName name="GFH" hidden="1">{"'매출계획'!$D$2"}</definedName>
    <definedName name="GFHJH" localSheetId="18" hidden="1">{#N/A,#N/A,FALSE,"CCTV"}</definedName>
    <definedName name="GFHJH" hidden="1">{#N/A,#N/A,FALSE,"CCTV"}</definedName>
    <definedName name="gfjgfh" localSheetId="18" hidden="1">{#N/A,#N/A,FALSE,"CCTV"}</definedName>
    <definedName name="gfjgfh" hidden="1">{#N/A,#N/A,FALSE,"CCTV"}</definedName>
    <definedName name="gfjgfhfg" localSheetId="18" hidden="1">{#N/A,#N/A,FALSE,"CCTV"}</definedName>
    <definedName name="gfjgfhfg" hidden="1">{#N/A,#N/A,FALSE,"CCTV"}</definedName>
    <definedName name="GFKGF" localSheetId="18" hidden="1">{#N/A,#N/A,FALSE,"CCTV"}</definedName>
    <definedName name="GFKGF" hidden="1">{#N/A,#N/A,FALSE,"CCTV"}</definedName>
    <definedName name="gfs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localSheetId="18" hidden="1">{"'ตัวอย่าง'!$A$1:$O$21"}</definedName>
    <definedName name="gg" localSheetId="0" hidden="1">{"'ตัวอย่าง'!$A$1:$O$21"}</definedName>
    <definedName name="gg" hidden="1">{"'ตัวอย่าง'!$A$1:$O$21"}</definedName>
    <definedName name="gg_1" localSheetId="18" hidden="1">{"'Sheet1'!$L$16"}</definedName>
    <definedName name="gg_1" hidden="1">{"'Sheet1'!$L$16"}</definedName>
    <definedName name="gg_1_1" localSheetId="18" hidden="1">{"'Sheet1'!$L$16"}</definedName>
    <definedName name="gg_1_1" hidden="1">{"'Sheet1'!$L$16"}</definedName>
    <definedName name="gg_1_1_1" localSheetId="18" hidden="1">{"'Sheet1'!$L$16"}</definedName>
    <definedName name="gg_1_1_1" hidden="1">{"'Sheet1'!$L$16"}</definedName>
    <definedName name="gg_1_1_2" localSheetId="18" hidden="1">{"'Sheet1'!$L$16"}</definedName>
    <definedName name="gg_1_1_2" hidden="1">{"'Sheet1'!$L$16"}</definedName>
    <definedName name="gg_1_2" localSheetId="18" hidden="1">{"'Sheet1'!$L$16"}</definedName>
    <definedName name="gg_1_2" hidden="1">{"'Sheet1'!$L$16"}</definedName>
    <definedName name="gg_1_3" localSheetId="18" hidden="1">{"'Sheet1'!$L$16"}</definedName>
    <definedName name="gg_1_3" hidden="1">{"'Sheet1'!$L$16"}</definedName>
    <definedName name="gg_2" localSheetId="18" hidden="1">{"'Sheet1'!$L$16"}</definedName>
    <definedName name="gg_2" hidden="1">{"'Sheet1'!$L$16"}</definedName>
    <definedName name="gg_2_1" localSheetId="18" hidden="1">{"'Sheet1'!$L$16"}</definedName>
    <definedName name="gg_2_1" hidden="1">{"'Sheet1'!$L$16"}</definedName>
    <definedName name="gg_2_2" localSheetId="18" hidden="1">{"'Sheet1'!$L$16"}</definedName>
    <definedName name="gg_2_2" hidden="1">{"'Sheet1'!$L$16"}</definedName>
    <definedName name="gg_3" localSheetId="18" hidden="1">{"'Sheet1'!$L$16"}</definedName>
    <definedName name="gg_3" hidden="1">{"'Sheet1'!$L$16"}</definedName>
    <definedName name="gg_4" localSheetId="18" hidden="1">{"'Sheet1'!$L$16"}</definedName>
    <definedName name="gg_4" hidden="1">{"'Sheet1'!$L$16"}</definedName>
    <definedName name="GGF" localSheetId="18" hidden="1">{#N/A,#N/A,FALSE,"CCTV"}</definedName>
    <definedName name="GGF" hidden="1">{#N/A,#N/A,FALSE,"CCTV"}</definedName>
    <definedName name="GGG" localSheetId="18" hidden="1">{"'매출계획'!$D$2"}</definedName>
    <definedName name="GGG" hidden="1">{"'매출계획'!$D$2"}</definedName>
    <definedName name="ggg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localSheetId="18" hidden="1">{"'매출계획'!$D$2"}</definedName>
    <definedName name="GGGG" hidden="1">{"'매출계획'!$D$2"}</definedName>
    <definedName name="ggggg" localSheetId="18" hidden="1">{#N/A,#N/A,FALSE,"Gesamt";#N/A,#N/A,FALSE,"Ree KG";#N/A,#N/A,FALSE,"Ree Inter";#N/A,#N/A,FALSE,"BTM";#N/A,#N/A,FALSE,"GmbH";#N/A,#N/A,FALSE,"Sonstige"}</definedName>
    <definedName name="ggggg" hidden="1">{#N/A,#N/A,FALSE,"Gesamt";#N/A,#N/A,FALSE,"Ree KG";#N/A,#N/A,FALSE,"Ree Inter";#N/A,#N/A,FALSE,"BTM";#N/A,#N/A,FALSE,"GmbH";#N/A,#N/A,FALSE,"Sonstige"}</definedName>
    <definedName name="ggggggggg" localSheetId="18" hidden="1">{#N/A,#N/A,FALSE,"Sheet1"}</definedName>
    <definedName name="ggggggggg" hidden="1">{#N/A,#N/A,FALSE,"Sheet1"}</definedName>
    <definedName name="ggggggggggggggggg" localSheetId="18" hidden="1">{#N/A,#N/A,FALSE,"Sheet1"}</definedName>
    <definedName name="ggggggggggggggggg" hidden="1">{#N/A,#N/A,FALSE,"Sheet1"}</definedName>
    <definedName name="gg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localSheetId="18" hidden="1">{"revsale",#N/A,FALSE,"REV-ยุพดี"}</definedName>
    <definedName name="gh" localSheetId="0" hidden="1">{"revsale",#N/A,FALSE,"REV-ยุพดี"}</definedName>
    <definedName name="gh" hidden="1">{"revsale",#N/A,FALSE,"REV-ยุพดี"}</definedName>
    <definedName name="gh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localSheetId="18" hidden="1">{"HK PR",#N/A,FALSE,"HK";"SUMMARY",#N/A,FALSE,"PAYROLL";"SUMMARY",#N/A,FALSE,"PAYROLL";"HK PR",#N/A,FALSE,"HK"}</definedName>
    <definedName name="ghdfgdf" localSheetId="23" hidden="1">{"HK PR",#N/A,FALSE,"HK";"SUMMARY",#N/A,FALSE,"PAYROLL";"SUMMARY",#N/A,FALSE,"PAYROLL";"HK PR",#N/A,FALSE,"HK"}</definedName>
    <definedName name="ghdfgdf" localSheetId="21" hidden="1">{"HK PR",#N/A,FALSE,"HK";"SUMMARY",#N/A,FALSE,"PAYROLL";"SUMMARY",#N/A,FALSE,"PAYROLL";"HK PR",#N/A,FALSE,"HK"}</definedName>
    <definedName name="ghdfgdf" localSheetId="20" hidden="1">{"HK PR",#N/A,FALSE,"HK";"SUMMARY",#N/A,FALSE,"PAYROLL";"SUMMARY",#N/A,FALSE,"PAYROLL";"HK PR",#N/A,FALSE,"HK"}</definedName>
    <definedName name="ghdfgdf" localSheetId="0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DJN" localSheetId="18" hidden="1">{"'매출계획'!$D$2"}</definedName>
    <definedName name="GHDJN" hidden="1">{"'매출계획'!$D$2"}</definedName>
    <definedName name="GHF" localSheetId="18" hidden="1">{#N/A,#N/A,FALSE,"sum";#N/A,#N/A,FALSE,"MARTV";#N/A,#N/A,FALSE,"APRTV"}</definedName>
    <definedName name="GHF" localSheetId="23" hidden="1">{#N/A,#N/A,FALSE,"sum";#N/A,#N/A,FALSE,"MARTV";#N/A,#N/A,FALSE,"APRTV"}</definedName>
    <definedName name="GHF" localSheetId="21" hidden="1">{#N/A,#N/A,FALSE,"sum";#N/A,#N/A,FALSE,"MARTV";#N/A,#N/A,FALSE,"APRTV"}</definedName>
    <definedName name="GHF" localSheetId="20" hidden="1">{#N/A,#N/A,FALSE,"sum";#N/A,#N/A,FALSE,"MARTV";#N/A,#N/A,FALSE,"APRTV"}</definedName>
    <definedName name="GHF" localSheetId="0" hidden="1">{#N/A,#N/A,FALSE,"sum";#N/A,#N/A,FALSE,"MARTV";#N/A,#N/A,FALSE,"APRTV"}</definedName>
    <definedName name="GHF" hidden="1">{#N/A,#N/A,FALSE,"sum";#N/A,#N/A,FALSE,"MARTV";#N/A,#N/A,FALSE,"APRTV"}</definedName>
    <definedName name="ghfg" localSheetId="18" hidden="1">{#N/A,#N/A,FALSE,"CCTV"}</definedName>
    <definedName name="ghfg" hidden="1">{#N/A,#N/A,FALSE,"CCTV"}</definedName>
    <definedName name="GHG" localSheetId="18" hidden="1">{"'매출계획'!$D$2"}</definedName>
    <definedName name="GHG" hidden="1">{"'매출계획'!$D$2"}</definedName>
    <definedName name="ghghjg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localSheetId="18" hidden="1">{"'Sheet1'!$L$16"}</definedName>
    <definedName name="GHHHS" hidden="1">{"'Sheet1'!$L$16"}</definedName>
    <definedName name="ghiug" localSheetId="18" hidden="1">{"'Sheet1'!$L$16"}</definedName>
    <definedName name="ghiug" hidden="1">{"'Sheet1'!$L$16"}</definedName>
    <definedName name="GHJDM" localSheetId="18" hidden="1">{"'매출계획'!$D$2"}</definedName>
    <definedName name="GHJDM" hidden="1">{"'매출계획'!$D$2"}</definedName>
    <definedName name="ghjf" localSheetId="18" hidden="1">{#N/A,#N/A,FALSE,"Chi tiÆt"}</definedName>
    <definedName name="ghjf" hidden="1">{#N/A,#N/A,FALSE,"Chi tiÆt"}</definedName>
    <definedName name="ghjh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localSheetId="18" hidden="1">{#N/A,#N/A,FALSE,"CCTV"}</definedName>
    <definedName name="GHKCD" hidden="1">{#N/A,#N/A,FALSE,"CCTV"}</definedName>
    <definedName name="GHM" localSheetId="18" hidden="1">{"'매출계획'!$D$2"}</definedName>
    <definedName name="GHM" hidden="1">{"'매출계획'!$D$2"}</definedName>
    <definedName name="ghnn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localSheetId="18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jdjhfdj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localSheetId="18" hidden="1">{#N/A,#N/A,FALSE,"CCTV"}</definedName>
    <definedName name="gjh" hidden="1">{#N/A,#N/A,FALSE,"CCTV"}</definedName>
    <definedName name="GJVIF" localSheetId="18" hidden="1">{"Profit",#N/A,FALSE,"4500(12)";"Capital",#N/A,FALSE,"4500(12)";"Profit",#N/A,FALSE,"Cisco4000";"Capital",#N/A,FALSE,"Cisco4000"}</definedName>
    <definedName name="GJVIF" localSheetId="23" hidden="1">{"Profit",#N/A,FALSE,"4500(12)";"Capital",#N/A,FALSE,"4500(12)";"Profit",#N/A,FALSE,"Cisco4000";"Capital",#N/A,FALSE,"Cisco4000"}</definedName>
    <definedName name="GJVIF" localSheetId="21" hidden="1">{"Profit",#N/A,FALSE,"4500(12)";"Capital",#N/A,FALSE,"4500(12)";"Profit",#N/A,FALSE,"Cisco4000";"Capital",#N/A,FALSE,"Cisco4000"}</definedName>
    <definedName name="GJVIF" localSheetId="20" hidden="1">{"Profit",#N/A,FALSE,"4500(12)";"Capital",#N/A,FALSE,"4500(12)";"Profit",#N/A,FALSE,"Cisco4000";"Capital",#N/A,FALSE,"Cisco4000"}</definedName>
    <definedName name="GJVIF" localSheetId="0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k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localSheetId="18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localSheetId="18" hidden="1">{#N/A,#N/A,FALSE,"CCTV"}</definedName>
    <definedName name="GKVHK" hidden="1">{#N/A,#N/A,FALSE,"CCTV"}</definedName>
    <definedName name="gl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localSheetId="18" hidden="1">{"HK PR",#N/A,FALSE,"HK";"SUMMARY",#N/A,FALSE,"PAYROLL";"SUMMARY",#N/A,FALSE,"PAYROLL";"HK PR",#N/A,FALSE,"HK"}</definedName>
    <definedName name="gnfg" localSheetId="23" hidden="1">{"HK PR",#N/A,FALSE,"HK";"SUMMARY",#N/A,FALSE,"PAYROLL";"SUMMARY",#N/A,FALSE,"PAYROLL";"HK PR",#N/A,FALSE,"HK"}</definedName>
    <definedName name="gnfg" localSheetId="21" hidden="1">{"HK PR",#N/A,FALSE,"HK";"SUMMARY",#N/A,FALSE,"PAYROLL";"SUMMARY",#N/A,FALSE,"PAYROLL";"HK PR",#N/A,FALSE,"HK"}</definedName>
    <definedName name="gnfg" localSheetId="20" hidden="1">{"HK PR",#N/A,FALSE,"HK";"SUMMARY",#N/A,FALSE,"PAYROLL";"SUMMARY",#N/A,FALSE,"PAYROLL";"HK PR",#N/A,FALSE,"HK"}</definedName>
    <definedName name="gnfg" localSheetId="0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NJ" localSheetId="18" hidden="1">{"'매출계획'!$D$2"}</definedName>
    <definedName name="GNJ" hidden="1">{"'매출계획'!$D$2"}</definedName>
    <definedName name="Goh" hidden="1">#REF!</definedName>
    <definedName name="GohLi" hidden="1">#REF!</definedName>
    <definedName name="GP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>#REF!</definedName>
    <definedName name="group_matters">#REF!</definedName>
    <definedName name="grtrff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localSheetId="18" hidden="1">{"'Sheet1'!$L$16"}</definedName>
    <definedName name="gsrgwrg" hidden="1">{"'Sheet1'!$L$16"}</definedName>
    <definedName name="GTH" localSheetId="18" hidden="1">{"'매출계획'!$D$2"}</definedName>
    <definedName name="GTH" hidden="1">{"'매출계획'!$D$2"}</definedName>
    <definedName name="gthhj" localSheetId="18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localSheetId="18" hidden="1">{"'Sheet1'!$L$16"}</definedName>
    <definedName name="GTM" localSheetId="23" hidden="1">{"'Sheet1'!$L$16"}</definedName>
    <definedName name="GTM" localSheetId="21" hidden="1">{"'Sheet1'!$L$16"}</definedName>
    <definedName name="GTM" localSheetId="20" hidden="1">{"'Sheet1'!$L$16"}</definedName>
    <definedName name="GTM" localSheetId="0" hidden="1">{"'Sheet1'!$L$16"}</definedName>
    <definedName name="GTM" hidden="1">{"'Sheet1'!$L$16"}</definedName>
    <definedName name="gtrg" localSheetId="18" hidden="1">{#N/A,#N/A,FALSE,"Gesamt";#N/A,#N/A,FALSE,"Ree KG";#N/A,#N/A,FALSE,"Ree Inter";#N/A,#N/A,FALSE,"BTM";#N/A,#N/A,FALSE,"GmbH";#N/A,#N/A,FALSE,"Sonstige"}</definedName>
    <definedName name="gtrg" hidden="1">{#N/A,#N/A,FALSE,"Gesamt";#N/A,#N/A,FALSE,"Ree KG";#N/A,#N/A,FALSE,"Ree Inter";#N/A,#N/A,FALSE,"BTM";#N/A,#N/A,FALSE,"GmbH";#N/A,#N/A,FALSE,"Sonstige"}</definedName>
    <definedName name="gt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localSheetId="18" hidden="1">{"'Bidfailed'!$D$2:$AB$14","'Bidfailed'!$D$4:$AB$4"}</definedName>
    <definedName name="guide" hidden="1">{"'Bidfailed'!$D$2:$AB$14","'Bidfailed'!$D$4:$AB$4"}</definedName>
    <definedName name="GV" localSheetId="18" hidden="1">{#N/A,#N/A,FALSE,"CCTV"}</definedName>
    <definedName name="GV" hidden="1">{#N/A,#N/A,FALSE,"CCTV"}</definedName>
    <definedName name="gwegte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localSheetId="18" hidden="1">{"'Sheet1'!$L$16"}</definedName>
    <definedName name="h" localSheetId="0" hidden="1">{"'Sheet1'!$L$16"}</definedName>
    <definedName name="h" hidden="1">{"'Sheet1'!$L$16"}</definedName>
    <definedName name="h_1" localSheetId="18" hidden="1">{"'Sheet1'!$L$16"}</definedName>
    <definedName name="h_1" hidden="1">{"'Sheet1'!$L$16"}</definedName>
    <definedName name="h_1_1" localSheetId="18" hidden="1">{"'Sheet1'!$L$16"}</definedName>
    <definedName name="h_1_1" hidden="1">{"'Sheet1'!$L$16"}</definedName>
    <definedName name="h_1_1_1" localSheetId="18" hidden="1">{"'Sheet1'!$L$16"}</definedName>
    <definedName name="h_1_1_1" hidden="1">{"'Sheet1'!$L$16"}</definedName>
    <definedName name="h_1_1_2" localSheetId="18" hidden="1">{"'Sheet1'!$L$16"}</definedName>
    <definedName name="h_1_1_2" hidden="1">{"'Sheet1'!$L$16"}</definedName>
    <definedName name="h_2_1" localSheetId="18" hidden="1">{"'Sheet1'!$L$16"}</definedName>
    <definedName name="h_2_1" hidden="1">{"'Sheet1'!$L$16"}</definedName>
    <definedName name="h_2_1_1" localSheetId="18" hidden="1">{"'Sheet1'!$L$16"}</definedName>
    <definedName name="h_2_1_1" hidden="1">{"'Sheet1'!$L$16"}</definedName>
    <definedName name="h_2_1_2" localSheetId="18" hidden="1">{"'Sheet1'!$L$16"}</definedName>
    <definedName name="h_2_1_2" hidden="1">{"'Sheet1'!$L$16"}</definedName>
    <definedName name="h_4" localSheetId="18" hidden="1">{"'Sheet1'!$L$16"}</definedName>
    <definedName name="h_4" hidden="1">{"'Sheet1'!$L$16"}</definedName>
    <definedName name="h_4_1" localSheetId="18" hidden="1">{"'Sheet1'!$L$16"}</definedName>
    <definedName name="h_4_1" hidden="1">{"'Sheet1'!$L$16"}</definedName>
    <definedName name="h_4_2" localSheetId="18" hidden="1">{"'Sheet1'!$L$16"}</definedName>
    <definedName name="h_4_2" hidden="1">{"'Sheet1'!$L$16"}</definedName>
    <definedName name="h_5" localSheetId="18" hidden="1">{"'Sheet1'!$L$16"}</definedName>
    <definedName name="h_5" hidden="1">{"'Sheet1'!$L$16"}</definedName>
    <definedName name="H1_05" localSheetId="18" hidden="1">{"PAGE 1",#N/A,FALSE,"หน้า 1,2,3";"PAGE 2",#N/A,FALSE,"หน้า 1,2,3";"PAGE 3",#N/A,FALSE,"หน้า 1,2,3"}</definedName>
    <definedName name="H1_05" localSheetId="0" hidden="1">{"PAGE 1",#N/A,FALSE,"หน้า 1,2,3";"PAGE 2",#N/A,FALSE,"หน้า 1,2,3";"PAGE 3",#N/A,FALSE,"หน้า 1,2,3"}</definedName>
    <definedName name="H1_05" hidden="1">{"PAGE 1",#N/A,FALSE,"หน้า 1,2,3";"PAGE 2",#N/A,FALSE,"หน้า 1,2,3";"PAGE 3",#N/A,FALSE,"หน้า 1,2,3"}</definedName>
    <definedName name="h9eruh" localSheetId="18" hidden="1">{"'Sheet1'!$L$16"}</definedName>
    <definedName name="h9eruh" hidden="1">{"'Sheet1'!$L$16"}</definedName>
    <definedName name="ha" localSheetId="18" hidden="1">{"Reader",#N/A,FALSE,"Summary";"Reader",#N/A,FALSE,"Buildup";"Reader",#N/A,FALSE,"Financials";"Reader",#N/A,FALSE,"Debt &amp; Other"}</definedName>
    <definedName name="ha" localSheetId="0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ha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localSheetId="18" hidden="1">{"'Sheet1'!$L$16"}</definedName>
    <definedName name="hanh" localSheetId="23" hidden="1">{"'Sheet1'!$L$16"}</definedName>
    <definedName name="hanh" localSheetId="21" hidden="1">{"'Sheet1'!$L$16"}</definedName>
    <definedName name="hanh" localSheetId="20" hidden="1">{"'Sheet1'!$L$16"}</definedName>
    <definedName name="hanh" localSheetId="0" hidden="1">{"'Sheet1'!$L$16"}</definedName>
    <definedName name="hanh" hidden="1">{"'Sheet1'!$L$16"}</definedName>
    <definedName name="Hạnh" localSheetId="18" hidden="1">{"'Sheet1'!$L$16"}</definedName>
    <definedName name="Hạnh" hidden="1">{"'Sheet1'!$L$16"}</definedName>
    <definedName name="HANHNHA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localSheetId="18" hidden="1">{"'Sheet1'!$L$16"}</definedName>
    <definedName name="Hậu" hidden="1">{"'Sheet1'!$L$16"}</definedName>
    <definedName name="hbbbbbb" localSheetId="18" hidden="1">{"'Sheet1'!$L$16"}</definedName>
    <definedName name="hbbbbbb" localSheetId="23" hidden="1">{"'Sheet1'!$L$16"}</definedName>
    <definedName name="hbbbbbb" localSheetId="21" hidden="1">{"'Sheet1'!$L$16"}</definedName>
    <definedName name="hbbbbbb" localSheetId="20" hidden="1">{"'Sheet1'!$L$16"}</definedName>
    <definedName name="hbbbbbb" localSheetId="0" hidden="1">{"'Sheet1'!$L$16"}</definedName>
    <definedName name="hbbbbbb" hidden="1">{"'Sheet1'!$L$16"}</definedName>
    <definedName name="HDB" hidden="1">#REF!</definedName>
    <definedName name="hedhfsd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localSheetId="18" hidden="1">{#N/A,#N/A,FALSE,"CCTV"}</definedName>
    <definedName name="hfdgfdg" hidden="1">{#N/A,#N/A,FALSE,"CCTV"}</definedName>
    <definedName name="hfgdas" localSheetId="23" hidden="1">#REF!</definedName>
    <definedName name="hfgdas" hidden="1">#REF!</definedName>
    <definedName name="HFGHFG" localSheetId="18" hidden="1">{#N/A,#N/A,FALSE,"CCTV"}</definedName>
    <definedName name="HFGHFG" hidden="1">{#N/A,#N/A,FALSE,"CCTV"}</definedName>
    <definedName name="hfhf" localSheetId="18" hidden="1">{"level1",#N/A,FALSE,"1_LEV";"LEVEL1",#N/A,FALSE,"1_LEV"}</definedName>
    <definedName name="hfhf" hidden="1">{"level1",#N/A,FALSE,"1_LEV";"LEVEL1",#N/A,FALSE,"1_LEV"}</definedName>
    <definedName name="hfhfj" localSheetId="18" hidden="1">{"income",#N/A,FALSE,"INCOME"}</definedName>
    <definedName name="hfhfj" hidden="1">{"income",#N/A,FALSE,"INCOME"}</definedName>
    <definedName name="hfjh" localSheetId="18" hidden="1">{#N/A,#N/A,FALSE,"CCTV"}</definedName>
    <definedName name="hfjh" hidden="1">{#N/A,#N/A,FALSE,"CCTV"}</definedName>
    <definedName name="hfjhhjj" localSheetId="18" hidden="1">{#N/A,#N/A,FALSE,"CCTV"}</definedName>
    <definedName name="hfjhhjj" hidden="1">{#N/A,#N/A,FALSE,"CCTV"}</definedName>
    <definedName name="hfjjgjgjg" localSheetId="18" hidden="1">{"'Sheet1'!$L$16"}</definedName>
    <definedName name="hfjjgjgjg" hidden="1">{"'Sheet1'!$L$16"}</definedName>
    <definedName name="hfs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localSheetId="18" hidden="1">{#N/A,#N/A,FALSE,"CCTV"}</definedName>
    <definedName name="HGF" hidden="1">{#N/A,#N/A,FALSE,"CCTV"}</definedName>
    <definedName name="HGFD" localSheetId="18" hidden="1">{"'매출계획'!$D$2"}</definedName>
    <definedName name="HGFD" hidden="1">{"'매출계획'!$D$2"}</definedName>
    <definedName name="hgh" localSheetId="18" hidden="1">{"'TOTAL'!$A$1:$AG$20"}</definedName>
    <definedName name="hgh" localSheetId="0" hidden="1">{"'TOTAL'!$A$1:$AG$20"}</definedName>
    <definedName name="hgh" hidden="1">{"'TOTAL'!$A$1:$AG$20"}</definedName>
    <definedName name="hghghg" localSheetId="18" hidden="1">{"HK PR",#N/A,FALSE,"HK";"SUMMARY",#N/A,FALSE,"PAYROLL";"SUMMARY",#N/A,FALSE,"PAYROLL";"HK PR",#N/A,FALSE,"HK"}</definedName>
    <definedName name="hghghg" localSheetId="23" hidden="1">{"HK PR",#N/A,FALSE,"HK";"SUMMARY",#N/A,FALSE,"PAYROLL";"SUMMARY",#N/A,FALSE,"PAYROLL";"HK PR",#N/A,FALSE,"HK"}</definedName>
    <definedName name="hghghg" localSheetId="21" hidden="1">{"HK PR",#N/A,FALSE,"HK";"SUMMARY",#N/A,FALSE,"PAYROLL";"SUMMARY",#N/A,FALSE,"PAYROLL";"HK PR",#N/A,FALSE,"HK"}</definedName>
    <definedName name="hghghg" localSheetId="20" hidden="1">{"HK PR",#N/A,FALSE,"HK";"SUMMARY",#N/A,FALSE,"PAYROLL";"SUMMARY",#N/A,FALSE,"PAYROLL";"HK PR",#N/A,FALSE,"HK"}</definedName>
    <definedName name="hghghg" localSheetId="0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8" hidden="1">{"'Sheet1'!$L$16"}</definedName>
    <definedName name="hghghghg" localSheetId="23" hidden="1">{"'Sheet1'!$L$16"}</definedName>
    <definedName name="hghghghg" localSheetId="21" hidden="1">{"'Sheet1'!$L$16"}</definedName>
    <definedName name="hghghghg" localSheetId="20" hidden="1">{"'Sheet1'!$L$16"}</definedName>
    <definedName name="hghghghg" localSheetId="0" hidden="1">{"'Sheet1'!$L$16"}</definedName>
    <definedName name="hghghghg" hidden="1">{"'Sheet1'!$L$16"}</definedName>
    <definedName name="hghjg" localSheetId="18" hidden="1">{"'Sheet1'!$L$16"}</definedName>
    <definedName name="hghjg" hidden="1">{"'Sheet1'!$L$16"}</definedName>
    <definedName name="h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localSheetId="18" hidden="1">{#N/A,#N/A,FALSE,"CCTV"}</definedName>
    <definedName name="hgjfgh" hidden="1">{#N/A,#N/A,FALSE,"CCTV"}</definedName>
    <definedName name="hgjgfhgh" localSheetId="18" hidden="1">{#N/A,#N/A,FALSE,"CCTV"}</definedName>
    <definedName name="hgjgfhgh" hidden="1">{#N/A,#N/A,FALSE,"CCTV"}</definedName>
    <definedName name="hglkl" localSheetId="18" hidden="1">{#N/A,#N/A,FALSE,"CCTV"}</definedName>
    <definedName name="hglkl" hidden="1">{#N/A,#N/A,FALSE,"CCTV"}</definedName>
    <definedName name="hh" localSheetId="18" hidden="1">{"'Sheet1'!$L$16"}</definedName>
    <definedName name="hh" localSheetId="0" hidden="1">{"'Sheet1'!$L$16"}</definedName>
    <definedName name="hh" hidden="1">{"'Sheet1'!$L$16"}</definedName>
    <definedName name="hh_1" localSheetId="18" hidden="1">{"'Sheet1'!$L$16"}</definedName>
    <definedName name="hh_1" hidden="1">{"'Sheet1'!$L$16"}</definedName>
    <definedName name="hh_1_1" localSheetId="18" hidden="1">{"'Sheet1'!$L$16"}</definedName>
    <definedName name="hh_1_1" hidden="1">{"'Sheet1'!$L$16"}</definedName>
    <definedName name="hh_1_1_1" localSheetId="18" hidden="1">{"'Sheet1'!$L$16"}</definedName>
    <definedName name="hh_1_1_1" hidden="1">{"'Sheet1'!$L$16"}</definedName>
    <definedName name="hh_1_1_2" localSheetId="18" hidden="1">{"'Sheet1'!$L$16"}</definedName>
    <definedName name="hh_1_1_2" hidden="1">{"'Sheet1'!$L$16"}</definedName>
    <definedName name="hh_1_2" localSheetId="18" hidden="1">{"'Sheet1'!$L$16"}</definedName>
    <definedName name="hh_1_2" hidden="1">{"'Sheet1'!$L$16"}</definedName>
    <definedName name="hh_1_3" localSheetId="18" hidden="1">{"'Sheet1'!$L$16"}</definedName>
    <definedName name="hh_1_3" hidden="1">{"'Sheet1'!$L$16"}</definedName>
    <definedName name="hh_2" localSheetId="18" hidden="1">{"'Sheet1'!$L$16"}</definedName>
    <definedName name="hh_2" hidden="1">{"'Sheet1'!$L$16"}</definedName>
    <definedName name="hh_2_1" localSheetId="18" hidden="1">{"'Sheet1'!$L$16"}</definedName>
    <definedName name="hh_2_1" hidden="1">{"'Sheet1'!$L$16"}</definedName>
    <definedName name="hh_2_2" localSheetId="18" hidden="1">{"'Sheet1'!$L$16"}</definedName>
    <definedName name="hh_2_2" hidden="1">{"'Sheet1'!$L$16"}</definedName>
    <definedName name="hh_3" localSheetId="18" hidden="1">{"'Sheet1'!$L$16"}</definedName>
    <definedName name="hh_3" hidden="1">{"'Sheet1'!$L$16"}</definedName>
    <definedName name="hh_4" localSheetId="18" hidden="1">{"'Sheet1'!$L$16"}</definedName>
    <definedName name="hh_4" hidden="1">{"'Sheet1'!$L$16"}</definedName>
    <definedName name="hhh" localSheetId="18" hidden="1">{"'Sheet1'!$L$16"}</definedName>
    <definedName name="hhh" localSheetId="0" hidden="1">{"'Sheet1'!$L$16"}</definedName>
    <definedName name="hhh" hidden="1">{"'Sheet1'!$L$16"}</definedName>
    <definedName name="hhh_1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localSheetId="18" hidden="1">{"'Sheet1'!$L$16"}</definedName>
    <definedName name="hhhh" localSheetId="23" hidden="1">{"'Sheet1'!$L$16"}</definedName>
    <definedName name="hhhh" localSheetId="21" hidden="1">{"'Sheet1'!$L$16"}</definedName>
    <definedName name="hhhh" localSheetId="20" hidden="1">{"'Sheet1'!$L$16"}</definedName>
    <definedName name="hhhh" localSheetId="0" hidden="1">{"'Sheet1'!$L$16"}</definedName>
    <definedName name="hhhh" hidden="1">{"'Sheet1'!$L$16"}</definedName>
    <definedName name="hhhhh" localSheetId="18" hidden="1">{"'Sheet1'!$L$16"}</definedName>
    <definedName name="hhhhh" localSheetId="23" hidden="1">{"'Sheet1'!$L$16"}</definedName>
    <definedName name="hhhhh" localSheetId="21" hidden="1">{"'Sheet1'!$L$16"}</definedName>
    <definedName name="hhhhh" localSheetId="20" hidden="1">{"'Sheet1'!$L$16"}</definedName>
    <definedName name="hhhhh" localSheetId="0" hidden="1">{"'Sheet1'!$L$16"}</definedName>
    <definedName name="hhhhh" hidden="1">{"'Sheet1'!$L$16"}</definedName>
    <definedName name="hhhhhh" localSheetId="18" hidden="1">{"'Sheet1'!$L$16"}</definedName>
    <definedName name="hhhhhh" localSheetId="23" hidden="1">{"'Sheet1'!$L$16"}</definedName>
    <definedName name="hhhhhh" localSheetId="21" hidden="1">{"'Sheet1'!$L$16"}</definedName>
    <definedName name="hhhhhh" localSheetId="20" hidden="1">{"'Sheet1'!$L$16"}</definedName>
    <definedName name="hhhhhh" localSheetId="0" hidden="1">{"'Sheet1'!$L$16"}</definedName>
    <definedName name="hhhhhh" hidden="1">{"'Sheet1'!$L$16"}</definedName>
    <definedName name="HHJH" localSheetId="18" hidden="1">{#N/A,#N/A,FALSE,"CCTV"}</definedName>
    <definedName name="HHJH" hidden="1">{#N/A,#N/A,FALSE,"CCTV"}</definedName>
    <definedName name="hht" hidden="1">#REF!</definedName>
    <definedName name="Hi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hidden="1">#REF!</definedName>
    <definedName name="hiep" localSheetId="18" hidden="1">{"'Sheet1'!$L$16"}</definedName>
    <definedName name="hiep" hidden="1">{"'Sheet1'!$L$16"}</definedName>
    <definedName name="HIEU" localSheetId="18" hidden="1">{"'Sheet1'!$L$16"}</definedName>
    <definedName name="HIEU" localSheetId="23" hidden="1">{"'Sheet1'!$L$16"}</definedName>
    <definedName name="HIEU" localSheetId="21" hidden="1">{"'Sheet1'!$L$16"}</definedName>
    <definedName name="HIEU" localSheetId="20" hidden="1">{"'Sheet1'!$L$16"}</definedName>
    <definedName name="HIEU" localSheetId="0" hidden="1">{"'Sheet1'!$L$16"}</definedName>
    <definedName name="HIEU" hidden="1">{"'Sheet1'!$L$16"}</definedName>
    <definedName name="hire" localSheetId="18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U" localSheetId="18" hidden="1">{"F3 detail",#N/A,FALSE,"F1";"F3 Presentation",#N/A,FALSE,"F3 "}</definedName>
    <definedName name="HIU" hidden="1">{"F3 detail",#N/A,FALSE,"F1";"F3 Presentation",#N/A,FALSE,"F3 "}</definedName>
    <definedName name="hj" localSheetId="18" hidden="1">{"hilight3",#N/A,FALSE,"HILIGHT3"}</definedName>
    <definedName name="hj" hidden="1">{"hilight3",#N/A,FALSE,"HILIGHT3"}</definedName>
    <definedName name="hjd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localSheetId="18" hidden="1">{"'Sheet1'!$L$16"}</definedName>
    <definedName name="hjjkl" localSheetId="23" hidden="1">{"'Sheet1'!$L$16"}</definedName>
    <definedName name="hjjkl" localSheetId="21" hidden="1">{"'Sheet1'!$L$16"}</definedName>
    <definedName name="hjjkl" localSheetId="20" hidden="1">{"'Sheet1'!$L$16"}</definedName>
    <definedName name="hjjkl" localSheetId="0" hidden="1">{"'Sheet1'!$L$16"}</definedName>
    <definedName name="hjjkl" hidden="1">{"'Sheet1'!$L$16"}</definedName>
    <definedName name="hjk" localSheetId="18" hidden="1">{"'Sheet1'!$L$16"}</definedName>
    <definedName name="hjk" hidden="1">{"'Sheet1'!$L$16"}</definedName>
    <definedName name="hjkgjh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localSheetId="18" hidden="1">{"Reader",#N/A,FALSE,"Summary";"Reader",#N/A,FALSE,"Buildup";"Reader",#N/A,FALSE,"Financials";"Reader",#N/A,FALSE,"Debt &amp; Other"}</definedName>
    <definedName name="HK" localSheetId="23" hidden="1">{"Reader",#N/A,FALSE,"Summary";"Reader",#N/A,FALSE,"Buildup";"Reader",#N/A,FALSE,"Financials";"Reader",#N/A,FALSE,"Debt &amp; Other"}</definedName>
    <definedName name="HK" localSheetId="21" hidden="1">{"Reader",#N/A,FALSE,"Summary";"Reader",#N/A,FALSE,"Buildup";"Reader",#N/A,FALSE,"Financials";"Reader",#N/A,FALSE,"Debt &amp; Other"}</definedName>
    <definedName name="HK" localSheetId="20" hidden="1">{"Reader",#N/A,FALSE,"Summary";"Reader",#N/A,FALSE,"Buildup";"Reader",#N/A,FALSE,"Financials";"Reader",#N/A,FALSE,"Debt &amp; Other"}</definedName>
    <definedName name="HK" localSheetId="0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8" hidden="1">{"Reader",#N/A,FALSE,"Summary";"Reader",#N/A,FALSE,"Buildup";"Reader",#N/A,FALSE,"Financials";"Reader",#N/A,FALSE,"Debt &amp; Other"}</definedName>
    <definedName name="hka" localSheetId="23" hidden="1">{"Reader",#N/A,FALSE,"Summary";"Reader",#N/A,FALSE,"Buildup";"Reader",#N/A,FALSE,"Financials";"Reader",#N/A,FALSE,"Debt &amp; Other"}</definedName>
    <definedName name="hka" localSheetId="21" hidden="1">{"Reader",#N/A,FALSE,"Summary";"Reader",#N/A,FALSE,"Buildup";"Reader",#N/A,FALSE,"Financials";"Reader",#N/A,FALSE,"Debt &amp; Other"}</definedName>
    <definedName name="hka" localSheetId="20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localSheetId="18" hidden="1">{"revable",#N/A,FALSE,"REVABLE"}</definedName>
    <definedName name="hklk" hidden="1">{"revable",#N/A,FALSE,"REVABLE"}</definedName>
    <definedName name="hkö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localSheetId="18" hidden="1">{"income",#N/A,FALSE,"INCOME"}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localSheetId="18" hidden="1">{"'Sheet1'!$L$16"}</definedName>
    <definedName name="hoa" hidden="1">{"'Sheet1'!$L$16"}</definedName>
    <definedName name="hoangthiviet" localSheetId="18" hidden="1">{"'Sheet1'!$L$16"}</definedName>
    <definedName name="hoangthiviet" hidden="1">{"'Sheet1'!$L$16"}</definedName>
    <definedName name="hong" localSheetId="18" hidden="1">{"'Sheet1'!$L$16"}</definedName>
    <definedName name="hong" hidden="1">{"'Sheet1'!$L$16"}</definedName>
    <definedName name="hong_1" localSheetId="18" hidden="1">{"'Sheet1'!$L$16"}</definedName>
    <definedName name="hong_1" hidden="1">{"'Sheet1'!$L$16"}</definedName>
    <definedName name="HOUY" localSheetId="18" hidden="1">{#N/A,#N/A,FALSE,"CCTV"}</definedName>
    <definedName name="HOUY" hidden="1">{#N/A,#N/A,FALSE,"CCTV"}</definedName>
    <definedName name="hp" localSheetId="18" hidden="1">{"Reader",#N/A,FALSE,"Summary";"Reader",#N/A,FALSE,"Buildup";"Reader",#N/A,FALSE,"Financials";"Reader",#N/A,FALSE,"Debt &amp; Other"}</definedName>
    <definedName name="hp" localSheetId="23" hidden="1">{"Reader",#N/A,FALSE,"Summary";"Reader",#N/A,FALSE,"Buildup";"Reader",#N/A,FALSE,"Financials";"Reader",#N/A,FALSE,"Debt &amp; Other"}</definedName>
    <definedName name="hp" localSheetId="21" hidden="1">{"Reader",#N/A,FALSE,"Summary";"Reader",#N/A,FALSE,"Buildup";"Reader",#N/A,FALSE,"Financials";"Reader",#N/A,FALSE,"Debt &amp; Other"}</definedName>
    <definedName name="hp" localSheetId="20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q" localSheetId="18" hidden="1">{"'Sheet1'!$L$16"}</definedName>
    <definedName name="hq" hidden="1">{"'Sheet1'!$L$16"}</definedName>
    <definedName name="HRF" localSheetId="18" hidden="1">{"'매출계획'!$D$2"}</definedName>
    <definedName name="HRF" hidden="1">{"'매출계획'!$D$2"}</definedName>
    <definedName name="hrgjh" localSheetId="18" hidden="1">{"'Sheet1'!$L$16"}</definedName>
    <definedName name="hrgjh" hidden="1">{"'Sheet1'!$L$16"}</definedName>
    <definedName name="h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localSheetId="18" hidden="1">{"'Sheet1'!$L$16"}</definedName>
    <definedName name="hsvgr7tvgb" hidden="1">{"'Sheet1'!$L$16"}</definedName>
    <definedName name="htg" localSheetId="18" hidden="1">{#N/A,#N/A,TRUE,"BT M200 da 10x20"}</definedName>
    <definedName name="htg" localSheetId="23" hidden="1">{#N/A,#N/A,TRUE,"BT M200 da 10x20"}</definedName>
    <definedName name="htg" localSheetId="21" hidden="1">{#N/A,#N/A,TRUE,"BT M200 da 10x20"}</definedName>
    <definedName name="htg" localSheetId="20" hidden="1">{#N/A,#N/A,TRUE,"BT M200 da 10x20"}</definedName>
    <definedName name="htg" localSheetId="0" hidden="1">{#N/A,#N/A,TRUE,"BT M200 da 10x20"}</definedName>
    <definedName name="htg" hidden="1">{#N/A,#N/A,TRUE,"BT M200 da 10x20"}</definedName>
    <definedName name="html" localSheetId="18" hidden="1">{"'Sheet1'!$L$16"}</definedName>
    <definedName name="html" localSheetId="23" hidden="1">{"'Sheet1'!$L$16"}</definedName>
    <definedName name="html" localSheetId="21" hidden="1">{"'Sheet1'!$L$16"}</definedName>
    <definedName name="html" localSheetId="20" hidden="1">{"'Sheet1'!$L$16"}</definedName>
    <definedName name="HTML" localSheetId="0" hidden="1">{"'照明目录'!$A$1:$H$31"}</definedName>
    <definedName name="html" hidden="1">{"'Sheet1'!$L$16"}</definedName>
    <definedName name="HTML_CodePage" localSheetId="23" hidden="1">950</definedName>
    <definedName name="HTML_CodePage" localSheetId="21" hidden="1">950</definedName>
    <definedName name="HTML_CodePage" localSheetId="20" hidden="1">950</definedName>
    <definedName name="HTML_CodePage" localSheetId="0" hidden="1">874</definedName>
    <definedName name="HTML_CodePage" hidden="1">874</definedName>
    <definedName name="HTML_Control" localSheetId="18" hidden="1">{"'Model'!$A$1:$N$53"}</definedName>
    <definedName name="HTML_Control" localSheetId="23" hidden="1">{"'Sheet1'!$L$16"}</definedName>
    <definedName name="HTML_Control" localSheetId="21" hidden="1">{"'Sheet1'!$L$16"}</definedName>
    <definedName name="HTML_Control" localSheetId="20" hidden="1">{"'Sheet1'!$L$16"}</definedName>
    <definedName name="HTML_Control" localSheetId="0" hidden="1">{"'Model'!$A$1:$N$53"}</definedName>
    <definedName name="HTML_Control" hidden="1">{"'Model'!$A$1:$N$53"}</definedName>
    <definedName name="HTML_Control_1" localSheetId="18" hidden="1">{"'Sheet1'!$L$16"}</definedName>
    <definedName name="HTML_Control_1" hidden="1">{"'Sheet1'!$L$16"}</definedName>
    <definedName name="HTML_Control_1_1" localSheetId="18" hidden="1">{"'Sheet1'!$L$16"}</definedName>
    <definedName name="HTML_Control_1_1" hidden="1">{"'Sheet1'!$L$16"}</definedName>
    <definedName name="HTML_Control_1_1_1" localSheetId="18" hidden="1">{"'Sheet1'!$L$16"}</definedName>
    <definedName name="HTML_Control_1_1_1" hidden="1">{"'Sheet1'!$L$16"}</definedName>
    <definedName name="HTML_Control_1_1_1_1" localSheetId="18" hidden="1">{"'Sheet1'!$L$16"}</definedName>
    <definedName name="HTML_Control_1_1_1_1" hidden="1">{"'Sheet1'!$L$16"}</definedName>
    <definedName name="HTML_Control_1_1_1_1_1" localSheetId="18" hidden="1">{"'Sheet1'!$L$16"}</definedName>
    <definedName name="HTML_Control_1_1_1_1_1" hidden="1">{"'Sheet1'!$L$16"}</definedName>
    <definedName name="HTML_Control_1_1_1_1_2" localSheetId="18" hidden="1">{"'Sheet1'!$L$16"}</definedName>
    <definedName name="HTML_Control_1_1_1_1_2" hidden="1">{"'Sheet1'!$L$16"}</definedName>
    <definedName name="HTML_Control_1_1_1_2" localSheetId="18" hidden="1">{"'Sheet1'!$L$16"}</definedName>
    <definedName name="HTML_Control_1_1_1_2" hidden="1">{"'Sheet1'!$L$16"}</definedName>
    <definedName name="HTML_Control_1_1_1_3" localSheetId="18" hidden="1">{"'Sheet1'!$L$16"}</definedName>
    <definedName name="HTML_Control_1_1_1_3" hidden="1">{"'Sheet1'!$L$16"}</definedName>
    <definedName name="HTML_Control_1_1_2" localSheetId="18" hidden="1">{"'Sheet1'!$L$16"}</definedName>
    <definedName name="HTML_Control_1_1_2" hidden="1">{"'Sheet1'!$L$16"}</definedName>
    <definedName name="HTML_Control_1_1_2_1" localSheetId="18" hidden="1">{"'Sheet1'!$L$16"}</definedName>
    <definedName name="HTML_Control_1_1_2_1" hidden="1">{"'Sheet1'!$L$16"}</definedName>
    <definedName name="HTML_Control_1_1_2_2" localSheetId="18" hidden="1">{"'Sheet1'!$L$16"}</definedName>
    <definedName name="HTML_Control_1_1_2_2" hidden="1">{"'Sheet1'!$L$16"}</definedName>
    <definedName name="HTML_Control_1_1_3" localSheetId="18" hidden="1">{"'Sheet1'!$L$16"}</definedName>
    <definedName name="HTML_Control_1_1_3" hidden="1">{"'Sheet1'!$L$16"}</definedName>
    <definedName name="HTML_Control_1_1_3_1" localSheetId="18" hidden="1">{"'Sheet1'!$L$16"}</definedName>
    <definedName name="HTML_Control_1_1_3_1" hidden="1">{"'Sheet1'!$L$16"}</definedName>
    <definedName name="HTML_Control_1_1_3_2" localSheetId="18" hidden="1">{"'Sheet1'!$L$16"}</definedName>
    <definedName name="HTML_Control_1_1_3_2" hidden="1">{"'Sheet1'!$L$16"}</definedName>
    <definedName name="HTML_Control_1_1_4" localSheetId="18" hidden="1">{"'Sheet1'!$L$16"}</definedName>
    <definedName name="HTML_Control_1_1_4" hidden="1">{"'Sheet1'!$L$16"}</definedName>
    <definedName name="HTML_Control_1_1_5" localSheetId="18" hidden="1">{"'Sheet1'!$L$16"}</definedName>
    <definedName name="HTML_Control_1_1_5" hidden="1">{"'Sheet1'!$L$16"}</definedName>
    <definedName name="HTML_Control_1_2" localSheetId="18" hidden="1">{"'Sheet1'!$L$16"}</definedName>
    <definedName name="HTML_Control_1_2" hidden="1">{"'Sheet1'!$L$16"}</definedName>
    <definedName name="HTML_Control_1_2_1" localSheetId="18" hidden="1">{"'Sheet1'!$L$16"}</definedName>
    <definedName name="HTML_Control_1_2_1" hidden="1">{"'Sheet1'!$L$16"}</definedName>
    <definedName name="HTML_Control_1_2_2" localSheetId="18" hidden="1">{"'Sheet1'!$L$16"}</definedName>
    <definedName name="HTML_Control_1_2_2" hidden="1">{"'Sheet1'!$L$16"}</definedName>
    <definedName name="HTML_Control_1_3" localSheetId="18" hidden="1">{"'Sheet1'!$L$16"}</definedName>
    <definedName name="HTML_Control_1_3" hidden="1">{"'Sheet1'!$L$16"}</definedName>
    <definedName name="HTML_Control_1_3_1" localSheetId="18" hidden="1">{"'Sheet1'!$L$16"}</definedName>
    <definedName name="HTML_Control_1_3_1" hidden="1">{"'Sheet1'!$L$16"}</definedName>
    <definedName name="HTML_Control_1_3_2" localSheetId="18" hidden="1">{"'Sheet1'!$L$16"}</definedName>
    <definedName name="HTML_Control_1_3_2" hidden="1">{"'Sheet1'!$L$16"}</definedName>
    <definedName name="HTML_Control_1_4" localSheetId="18" hidden="1">{"'Sheet1'!$L$16"}</definedName>
    <definedName name="HTML_Control_1_4" hidden="1">{"'Sheet1'!$L$16"}</definedName>
    <definedName name="HTML_Control_1_5" localSheetId="18" hidden="1">{"'Sheet1'!$L$16"}</definedName>
    <definedName name="HTML_Control_1_5" hidden="1">{"'Sheet1'!$L$16"}</definedName>
    <definedName name="HTML_Control_2" localSheetId="18" hidden="1">{"'Sheet1'!$L$16"}</definedName>
    <definedName name="HTML_Control_2" hidden="1">{"'Sheet1'!$L$16"}</definedName>
    <definedName name="HTML_Control_2_1" localSheetId="18" hidden="1">{"'Sheet1'!$L$16"}</definedName>
    <definedName name="HTML_Control_2_1" hidden="1">{"'Sheet1'!$L$16"}</definedName>
    <definedName name="HTML_Control_2_2" localSheetId="18" hidden="1">{"'Sheet1'!$L$16"}</definedName>
    <definedName name="HTML_Control_2_2" hidden="1">{"'Sheet1'!$L$16"}</definedName>
    <definedName name="HTML_Control_3" localSheetId="18" hidden="1">{"'Sheet1'!$L$16"}</definedName>
    <definedName name="HTML_Control_3" hidden="1">{"'Sheet1'!$L$16"}</definedName>
    <definedName name="HTML_Control_3_1" localSheetId="18" hidden="1">{"'Sheet1'!$L$16"}</definedName>
    <definedName name="HTML_Control_3_1" hidden="1">{"'Sheet1'!$L$16"}</definedName>
    <definedName name="HTML_Control_3_2" localSheetId="18" hidden="1">{"'Sheet1'!$L$16"}</definedName>
    <definedName name="HTML_Control_3_2" hidden="1">{"'Sheet1'!$L$16"}</definedName>
    <definedName name="HTML_Control_4" localSheetId="18" hidden="1">{"'Sheet1'!$L$16"}</definedName>
    <definedName name="HTML_Control_4" hidden="1">{"'Sheet1'!$L$16"}</definedName>
    <definedName name="HTML_Control_4_1" localSheetId="18" hidden="1">{"'Sheet1'!$L$16"}</definedName>
    <definedName name="HTML_Control_4_1" hidden="1">{"'Sheet1'!$L$16"}</definedName>
    <definedName name="HTML_Control_4_2" localSheetId="18" hidden="1">{"'Sheet1'!$L$16"}</definedName>
    <definedName name="HTML_Control_4_2" hidden="1">{"'Sheet1'!$L$16"}</definedName>
    <definedName name="HTML_Control_5" localSheetId="18" hidden="1">{"'Sheet1'!$L$16"}</definedName>
    <definedName name="HTML_Control_5" hidden="1">{"'Sheet1'!$L$16"}</definedName>
    <definedName name="HTML_Control_5_1" localSheetId="18" hidden="1">{"'Sheet1'!$L$16"}</definedName>
    <definedName name="HTML_Control_5_1" hidden="1">{"'Sheet1'!$L$16"}</definedName>
    <definedName name="HTML_Control_5_2" localSheetId="18" hidden="1">{"'Sheet1'!$L$16"}</definedName>
    <definedName name="HTML_Control_5_2" hidden="1">{"'Sheet1'!$L$16"}</definedName>
    <definedName name="HTML_Control1" localSheetId="18" hidden="1">{"'Model'!$A$1:$N$53"}</definedName>
    <definedName name="HTML_Control1" localSheetId="0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localSheetId="23" hidden="1">"Sheet1"</definedName>
    <definedName name="HTML_Header" localSheetId="21" hidden="1">"Sheet1"</definedName>
    <definedName name="HTML_Header" localSheetId="20" hidden="1">"Sheet1"</definedName>
    <definedName name="HTML_Header" localSheetId="0" hidden="1">"Model"</definedName>
    <definedName name="HTML_Header" hidden="1">"Model"</definedName>
    <definedName name="HTML_LastUpdate" localSheetId="23" hidden="1">"2000/9/14"</definedName>
    <definedName name="HTML_LastUpdate" localSheetId="21" hidden="1">"2000/9/14"</definedName>
    <definedName name="HTML_LastUpdate" localSheetId="20" hidden="1">"2000/9/14"</definedName>
    <definedName name="HTML_LastUpdate" localSheetId="0" hidden="1">"31/7/01"</definedName>
    <definedName name="HTML_LastUpdate" hidden="1">"31/7/01"</definedName>
    <definedName name="HTML_LineAfter" hidden="1">FALSE</definedName>
    <definedName name="HTML_LineBefore" hidden="1">FALSE</definedName>
    <definedName name="HTML_Name" localSheetId="23" hidden="1">"J.C.WONG"</definedName>
    <definedName name="HTML_Name" localSheetId="21" hidden="1">"J.C.WONG"</definedName>
    <definedName name="HTML_Name" localSheetId="20" hidden="1">"J.C.WONG"</definedName>
    <definedName name="HTML_Name" localSheetId="0" hidden="1">"Bundit Sanguanprasert"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3" hidden="1">"C:\2689\Q\國內\00q3961台化龍德PTA3建造\MyHTML.htm"</definedName>
    <definedName name="HTML_PathFile" localSheetId="21" hidden="1">"C:\2689\Q\國內\00q3961台化龍德PTA3建造\MyHTML.htm"</definedName>
    <definedName name="HTML_PathFile" localSheetId="20" hidden="1">"C:\2689\Q\國內\00q3961台化龍德PTA3建造\MyHTML.htm"</definedName>
    <definedName name="HTML_PathFile" localSheetId="0" hidden="1">"C:\My Documents\TPS project\Carried Loss\SCC2.htm"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localSheetId="23" hidden="1">"00Q3961-SUM"</definedName>
    <definedName name="HTML_Title" localSheetId="21" hidden="1">"00Q3961-SUM"</definedName>
    <definedName name="HTML_Title" localSheetId="20" hidden="1">"00Q3961-SUM"</definedName>
    <definedName name="HTML_Title" localSheetId="0" hidden="1">"Model SCC"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localSheetId="18" hidden="1">{"'Sheet1'!$L$16"}</definedName>
    <definedName name="htmll" localSheetId="23" hidden="1">{"'Sheet1'!$L$16"}</definedName>
    <definedName name="htmll" localSheetId="21" hidden="1">{"'Sheet1'!$L$16"}</definedName>
    <definedName name="htmll" localSheetId="20" hidden="1">{"'Sheet1'!$L$16"}</definedName>
    <definedName name="htmll" localSheetId="0" hidden="1">{"'Sheet1'!$L$16"}</definedName>
    <definedName name="htmll" hidden="1">{"'Sheet1'!$L$16"}</definedName>
    <definedName name="hu" localSheetId="18" hidden="1">{"'Sheet1'!$L$16"}</definedName>
    <definedName name="hu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hu" hidden="1">{"'Sheet1'!$L$16"}</definedName>
    <definedName name="hu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localSheetId="18" hidden="1">{"HK PR",#N/A,FALSE,"HK";"SUMMARY",#N/A,FALSE,"PAYROLL";"SUMMARY",#N/A,FALSE,"PAYROLL";"HK PR",#N/A,FALSE,"HK"}</definedName>
    <definedName name="huong" localSheetId="23" hidden="1">{"HK PR",#N/A,FALSE,"HK";"SUMMARY",#N/A,FALSE,"PAYROLL";"SUMMARY",#N/A,FALSE,"PAYROLL";"HK PR",#N/A,FALSE,"HK"}</definedName>
    <definedName name="huong" localSheetId="21" hidden="1">{"HK PR",#N/A,FALSE,"HK";"SUMMARY",#N/A,FALSE,"PAYROLL";"SUMMARY",#N/A,FALSE,"PAYROLL";"HK PR",#N/A,FALSE,"HK"}</definedName>
    <definedName name="huong" localSheetId="20" hidden="1">{"HK PR",#N/A,FALSE,"HK";"SUMMARY",#N/A,FALSE,"PAYROLL";"SUMMARY",#N/A,FALSE,"PAYROLL";"HK PR",#N/A,FALSE,"HK"}</definedName>
    <definedName name="huong" localSheetId="0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8" hidden="1">{"HK PR",#N/A,FALSE,"HK";"SUMMARY",#N/A,FALSE,"PAYROLL";"SUMMARY",#N/A,FALSE,"PAYROLL";"HK PR",#N/A,FALSE,"HK"}</definedName>
    <definedName name="huongu" localSheetId="23" hidden="1">{"HK PR",#N/A,FALSE,"HK";"SUMMARY",#N/A,FALSE,"PAYROLL";"SUMMARY",#N/A,FALSE,"PAYROLL";"HK PR",#N/A,FALSE,"HK"}</definedName>
    <definedName name="huongu" localSheetId="21" hidden="1">{"HK PR",#N/A,FALSE,"HK";"SUMMARY",#N/A,FALSE,"PAYROLL";"SUMMARY",#N/A,FALSE,"PAYROLL";"HK PR",#N/A,FALSE,"HK"}</definedName>
    <definedName name="huongu" localSheetId="20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localSheetId="18" hidden="1">{"level1",#N/A,FALSE,"1_LEV";"LEVEL1",#N/A,FALSE,"1_LEV"}</definedName>
    <definedName name="huuui7" hidden="1">{"level1",#N/A,FALSE,"1_LEV";"LEVEL1",#N/A,FALSE,"1_LEV"}</definedName>
    <definedName name="huy" localSheetId="18" hidden="1">{"'Sheet1'!$L$16"}</definedName>
    <definedName name="huy" localSheetId="23" hidden="1">{"'Sheet1'!$L$16"}</definedName>
    <definedName name="huy" localSheetId="21" hidden="1">{"'Sheet1'!$L$16"}</definedName>
    <definedName name="huy" localSheetId="20" hidden="1">{"'Sheet1'!$L$16"}</definedName>
    <definedName name="huy" localSheetId="0" hidden="1">{"'Sheet1'!$L$16"}</definedName>
    <definedName name="huy" hidden="1">{"'Sheet1'!$L$16"}</definedName>
    <definedName name="huy_1" localSheetId="18" hidden="1">{"'Sheet1'!$L$16"}</definedName>
    <definedName name="huy_1" hidden="1">{"'Sheet1'!$L$16"}</definedName>
    <definedName name="huy_1_1" localSheetId="18" hidden="1">{"'Sheet1'!$L$16"}</definedName>
    <definedName name="huy_1_1" hidden="1">{"'Sheet1'!$L$16"}</definedName>
    <definedName name="huy_1_1_1" localSheetId="18" hidden="1">{"'Sheet1'!$L$16"}</definedName>
    <definedName name="huy_1_1_1" hidden="1">{"'Sheet1'!$L$16"}</definedName>
    <definedName name="huy_1_1_1_1" localSheetId="18" hidden="1">{"'Sheet1'!$L$16"}</definedName>
    <definedName name="huy_1_1_1_1" hidden="1">{"'Sheet1'!$L$16"}</definedName>
    <definedName name="huy_1_1_1_1_1" localSheetId="18" hidden="1">{"'Sheet1'!$L$16"}</definedName>
    <definedName name="huy_1_1_1_1_1" hidden="1">{"'Sheet1'!$L$16"}</definedName>
    <definedName name="huy_1_1_1_1_2" localSheetId="18" hidden="1">{"'Sheet1'!$L$16"}</definedName>
    <definedName name="huy_1_1_1_1_2" hidden="1">{"'Sheet1'!$L$16"}</definedName>
    <definedName name="huy_1_1_1_2" localSheetId="18" hidden="1">{"'Sheet1'!$L$16"}</definedName>
    <definedName name="huy_1_1_1_2" hidden="1">{"'Sheet1'!$L$16"}</definedName>
    <definedName name="huy_1_1_1_3" localSheetId="18" hidden="1">{"'Sheet1'!$L$16"}</definedName>
    <definedName name="huy_1_1_1_3" hidden="1">{"'Sheet1'!$L$16"}</definedName>
    <definedName name="huy_1_1_2" localSheetId="18" hidden="1">{"'Sheet1'!$L$16"}</definedName>
    <definedName name="huy_1_1_2" hidden="1">{"'Sheet1'!$L$16"}</definedName>
    <definedName name="huy_1_1_2_1" localSheetId="18" hidden="1">{"'Sheet1'!$L$16"}</definedName>
    <definedName name="huy_1_1_2_1" hidden="1">{"'Sheet1'!$L$16"}</definedName>
    <definedName name="huy_1_1_2_2" localSheetId="18" hidden="1">{"'Sheet1'!$L$16"}</definedName>
    <definedName name="huy_1_1_2_2" hidden="1">{"'Sheet1'!$L$16"}</definedName>
    <definedName name="huy_1_1_3" localSheetId="18" hidden="1">{"'Sheet1'!$L$16"}</definedName>
    <definedName name="huy_1_1_3" hidden="1">{"'Sheet1'!$L$16"}</definedName>
    <definedName name="huy_1_1_3_1" localSheetId="18" hidden="1">{"'Sheet1'!$L$16"}</definedName>
    <definedName name="huy_1_1_3_1" hidden="1">{"'Sheet1'!$L$16"}</definedName>
    <definedName name="huy_1_1_3_2" localSheetId="18" hidden="1">{"'Sheet1'!$L$16"}</definedName>
    <definedName name="huy_1_1_3_2" hidden="1">{"'Sheet1'!$L$16"}</definedName>
    <definedName name="huy_1_1_4" localSheetId="18" hidden="1">{"'Sheet1'!$L$16"}</definedName>
    <definedName name="huy_1_1_4" hidden="1">{"'Sheet1'!$L$16"}</definedName>
    <definedName name="huy_1_1_5" localSheetId="18" hidden="1">{"'Sheet1'!$L$16"}</definedName>
    <definedName name="huy_1_1_5" hidden="1">{"'Sheet1'!$L$16"}</definedName>
    <definedName name="huy_1_2" localSheetId="18" hidden="1">{"'Sheet1'!$L$16"}</definedName>
    <definedName name="huy_1_2" hidden="1">{"'Sheet1'!$L$16"}</definedName>
    <definedName name="huy_1_2_1" localSheetId="18" hidden="1">{"'Sheet1'!$L$16"}</definedName>
    <definedName name="huy_1_2_1" hidden="1">{"'Sheet1'!$L$16"}</definedName>
    <definedName name="huy_1_2_2" localSheetId="18" hidden="1">{"'Sheet1'!$L$16"}</definedName>
    <definedName name="huy_1_2_2" hidden="1">{"'Sheet1'!$L$16"}</definedName>
    <definedName name="huy_1_3" localSheetId="18" hidden="1">{"'Sheet1'!$L$16"}</definedName>
    <definedName name="huy_1_3" hidden="1">{"'Sheet1'!$L$16"}</definedName>
    <definedName name="huy_1_3_1" localSheetId="18" hidden="1">{"'Sheet1'!$L$16"}</definedName>
    <definedName name="huy_1_3_1" hidden="1">{"'Sheet1'!$L$16"}</definedName>
    <definedName name="huy_1_3_2" localSheetId="18" hidden="1">{"'Sheet1'!$L$16"}</definedName>
    <definedName name="huy_1_3_2" hidden="1">{"'Sheet1'!$L$16"}</definedName>
    <definedName name="huy_1_4" localSheetId="18" hidden="1">{"'Sheet1'!$L$16"}</definedName>
    <definedName name="huy_1_4" hidden="1">{"'Sheet1'!$L$16"}</definedName>
    <definedName name="huy_1_5" localSheetId="18" hidden="1">{"'Sheet1'!$L$16"}</definedName>
    <definedName name="huy_1_5" hidden="1">{"'Sheet1'!$L$16"}</definedName>
    <definedName name="huy_2" localSheetId="18" hidden="1">{"'Sheet1'!$L$16"}</definedName>
    <definedName name="huy_2" hidden="1">{"'Sheet1'!$L$16"}</definedName>
    <definedName name="huy_2_1" localSheetId="18" hidden="1">{"'Sheet1'!$L$16"}</definedName>
    <definedName name="huy_2_1" hidden="1">{"'Sheet1'!$L$16"}</definedName>
    <definedName name="huy_2_2" localSheetId="18" hidden="1">{"'Sheet1'!$L$16"}</definedName>
    <definedName name="huy_2_2" hidden="1">{"'Sheet1'!$L$16"}</definedName>
    <definedName name="huy_3" localSheetId="18" hidden="1">{"'Sheet1'!$L$16"}</definedName>
    <definedName name="huy_3" hidden="1">{"'Sheet1'!$L$16"}</definedName>
    <definedName name="huy_3_1" localSheetId="18" hidden="1">{"'Sheet1'!$L$16"}</definedName>
    <definedName name="huy_3_1" hidden="1">{"'Sheet1'!$L$16"}</definedName>
    <definedName name="huy_3_2" localSheetId="18" hidden="1">{"'Sheet1'!$L$16"}</definedName>
    <definedName name="huy_3_2" hidden="1">{"'Sheet1'!$L$16"}</definedName>
    <definedName name="huy_4" localSheetId="18" hidden="1">{"'Sheet1'!$L$16"}</definedName>
    <definedName name="huy_4" hidden="1">{"'Sheet1'!$L$16"}</definedName>
    <definedName name="huy_4_1" localSheetId="18" hidden="1">{"'Sheet1'!$L$16"}</definedName>
    <definedName name="huy_4_1" hidden="1">{"'Sheet1'!$L$16"}</definedName>
    <definedName name="huy_4_2" localSheetId="18" hidden="1">{"'Sheet1'!$L$16"}</definedName>
    <definedName name="huy_4_2" hidden="1">{"'Sheet1'!$L$16"}</definedName>
    <definedName name="huy_5" localSheetId="18" hidden="1">{"'Sheet1'!$L$16"}</definedName>
    <definedName name="huy_5" hidden="1">{"'Sheet1'!$L$16"}</definedName>
    <definedName name="huy_5_1" localSheetId="18" hidden="1">{"'Sheet1'!$L$16"}</definedName>
    <definedName name="huy_5_1" hidden="1">{"'Sheet1'!$L$16"}</definedName>
    <definedName name="huy_5_2" localSheetId="18" hidden="1">{"'Sheet1'!$L$16"}</definedName>
    <definedName name="huy_5_2" hidden="1">{"'Sheet1'!$L$16"}</definedName>
    <definedName name="huye" localSheetId="18" hidden="1">{"'Sheet1'!$L$16"}</definedName>
    <definedName name="huye" hidden="1">{"'Sheet1'!$L$16"}</definedName>
    <definedName name="huyy" localSheetId="18" hidden="1">{"'Sheet1'!$L$16"}</definedName>
    <definedName name="huyy" localSheetId="23" hidden="1">{"'Sheet1'!$L$16"}</definedName>
    <definedName name="huyy" localSheetId="21" hidden="1">{"'Sheet1'!$L$16"}</definedName>
    <definedName name="huyy" localSheetId="20" hidden="1">{"'Sheet1'!$L$16"}</definedName>
    <definedName name="huyy" localSheetId="0" hidden="1">{"'Sheet1'!$L$16"}</definedName>
    <definedName name="huyy" hidden="1">{"'Sheet1'!$L$16"}</definedName>
    <definedName name="huyyy" localSheetId="18" hidden="1">{"'Sheet1'!$L$16"}</definedName>
    <definedName name="huyyy" localSheetId="23" hidden="1">{"'Sheet1'!$L$16"}</definedName>
    <definedName name="huyyy" localSheetId="21" hidden="1">{"'Sheet1'!$L$16"}</definedName>
    <definedName name="huyyy" localSheetId="20" hidden="1">{"'Sheet1'!$L$16"}</definedName>
    <definedName name="huyyy" localSheetId="0" hidden="1">{"'Sheet1'!$L$16"}</definedName>
    <definedName name="huyyy" hidden="1">{"'Sheet1'!$L$16"}</definedName>
    <definedName name="hvac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localSheetId="18" hidden="1">{"'Sheet1'!$L$16"}</definedName>
    <definedName name="hyu" hidden="1">{"'Sheet1'!$L$16"}</definedName>
    <definedName name="Hyundai" localSheetId="18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18" hidden="1">{"'매출계획'!$D$2"}</definedName>
    <definedName name="I" hidden="1">{"'매출계획'!$D$2"}</definedName>
    <definedName name="iä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localSheetId="18" hidden="1">{"weichwaren",#N/A,FALSE,"Liste 1";"hartwaren",#N/A,FALSE,"Liste 1";"food",#N/A,FALSE,"Liste 1";"fleisch",#N/A,FALSE,"Liste 1"}</definedName>
    <definedName name="ierj" hidden="1">{"weichwaren",#N/A,FALSE,"Liste 1";"hartwaren",#N/A,FALSE,"Liste 1";"food",#N/A,FALSE,"Liste 1";"fleisch",#N/A,FALSE,"Liste 1"}</definedName>
    <definedName name="ii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0" hidden="1">{"'ตัวอย่าง'!$A$1:$O$21"}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18" hidden="1">{"'매출계획'!$D$2"}</definedName>
    <definedName name="III" hidden="1">{"'매출계획'!$D$2"}</definedName>
    <definedName name="IIII" localSheetId="18" hidden="1">{"'매출계획'!$D$2"}</definedName>
    <definedName name="IIII" hidden="1">{"'매출계획'!$D$2"}</definedName>
    <definedName name="iiiii" localSheetId="18" hidden="1">{"Tages_D",#N/A,FALSE,"Tagesbericht";"Tages_PL",#N/A,FALSE,"Tagesbericht"}</definedName>
    <definedName name="iiiii" hidden="1">{"Tages_D",#N/A,FALSE,"Tagesbericht";"Tages_PL",#N/A,FALSE,"Tagesbericht"}</definedName>
    <definedName name="iiiiiiiiiii" localSheetId="18" hidden="1">{"'Feb 99'!$A$1:$G$30"}</definedName>
    <definedName name="iiiiiiiiiii" hidden="1">{"'Feb 99'!$A$1:$G$30"}</definedName>
    <definedName name="iiiiiiiiiiiiiiiiiiiiiiiiiiiiiiii" localSheetId="18" hidden="1">{"'Feb 99'!$A$1:$G$30"}</definedName>
    <definedName name="iiiiiiiiiiiiiiiiiiiiiiiiiiiiiiii" hidden="1">{"'Feb 99'!$A$1:$G$30"}</definedName>
    <definedName name="iiiiiiiiiiiiiiiiiiiiiiiiiiiiiiiiiiiiiiiiiiiii" localSheetId="18" hidden="1">{"'Feb 99'!$A$1:$G$30"}</definedName>
    <definedName name="iiiiiiiiiiiiiiiiiiiiiiiiiiiiiiiiiiiiiiiiiiiii" hidden="1">{"'Feb 99'!$A$1:$G$30"}</definedName>
    <definedName name="iiiiiiiiiiiiiiiiiiiiiiiiiiiiiiiiiiiiiiiiiiiiii" localSheetId="18" hidden="1">{#N/A,#N/A,FALSE,"Sheet1"}</definedName>
    <definedName name="iiiiiiiiiiiiiiiiiiiiiiiiiiiiiiiiiiiiiiiiiiiiii" hidden="1">{#N/A,#N/A,FALSE,"Sheet1"}</definedName>
    <definedName name="iiin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localSheetId="18" hidden="1">{#N/A,#N/A,FALSE,"CCTV"}</definedName>
    <definedName name="iiouolkll" hidden="1">{#N/A,#N/A,FALSE,"CCTV"}</definedName>
    <definedName name="ii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localSheetId="18" hidden="1">{"'Model'!$A$1:$N$53"}</definedName>
    <definedName name="ijjoip" hidden="1">{"'Model'!$A$1:$N$53"}</definedName>
    <definedName name="IK" localSheetId="18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k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>#REF!</definedName>
    <definedName name="in" localSheetId="23" hidden="1">#REF!</definedName>
    <definedName name="in" hidden="1">#REF!</definedName>
    <definedName name="INCOME_TAX">#REF!</definedName>
    <definedName name="info2" localSheetId="18" hidden="1">{"level1",#N/A,FALSE,"1_LEV";"LEVEL1",#N/A,FALSE,"1_LEV"}</definedName>
    <definedName name="info2" localSheetId="0" hidden="1">{"level1",#N/A,FALSE,"1_LEV";"LEVEL1",#N/A,FALSE,"1_LEV"}</definedName>
    <definedName name="info2" hidden="1">{"level1",#N/A,FALSE,"1_LEV";"LEVEL1",#N/A,FALSE,"1_LEV"}</definedName>
    <definedName name="inpu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localSheetId="18" hidden="1">{"Jan-June",#N/A,FALSE,"Sheet4";"Jul-Dec",#N/A,FALSE,"Sheet4"}</definedName>
    <definedName name="inputvatcopy" hidden="1">{"Jan-June",#N/A,FALSE,"Sheet4";"Jul-Dec",#N/A,FALSE,"Sheet4"}</definedName>
    <definedName name="inputvatthat" localSheetId="18" hidden="1">{"Jan-June",#N/A,FALSE,"Sheet4";"Jul-Dec",#N/A,FALSE,"Sheet4"}</definedName>
    <definedName name="inputvatthat" hidden="1">{"Jan-June",#N/A,FALSE,"Sheet4";"Jul-Dec",#N/A,FALSE,"Sheet4"}</definedName>
    <definedName name="ins" localSheetId="18" hidden="1">{#N/A,#N/A,FALSE,"Assessment";#N/A,#N/A,FALSE,"Staffing";#N/A,#N/A,FALSE,"Hires";#N/A,#N/A,FALSE,"Assumptions"}</definedName>
    <definedName name="ins" localSheetId="0" hidden="1">{#N/A,#N/A,FALSE,"Assessment";#N/A,#N/A,FALSE,"Staffing";#N/A,#N/A,FALSE,"Hires";#N/A,#N/A,FALSE,"Assumptions"}</definedName>
    <definedName name="ins" hidden="1">{#N/A,#N/A,FALSE,"Assessment";#N/A,#N/A,FALSE,"Staffing";#N/A,#N/A,FALSE,"Hires";#N/A,#N/A,FALSE,"Assumptions"}</definedName>
    <definedName name="in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>#REF!</definedName>
    <definedName name="IntroPrintArea" hidden="1">#REF!</definedName>
    <definedName name="INVENT" localSheetId="18" hidden="1">{#N/A,#N/A,FALSE,"Aging Summary";#N/A,#N/A,FALSE,"Ratio Analysis";#N/A,#N/A,FALSE,"Test 120 Day Accts";#N/A,#N/A,FALSE,"Tickmarks"}</definedName>
    <definedName name="INVENT" hidden="1">{#N/A,#N/A,FALSE,"Aging Summary";#N/A,#N/A,FALSE,"Ratio Analysis";#N/A,#N/A,FALSE,"Test 120 Day Accts";#N/A,#N/A,FALSE,"Tickmarks"}</definedName>
    <definedName name="Inventory" localSheetId="18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localSheetId="18" hidden="1">{"'Bidfailed'!$D$2:$AB$14","'Bidfailed'!$D$4:$AB$4"}</definedName>
    <definedName name="Investment" hidden="1">{"'Bidfailed'!$D$2:$AB$14","'Bidfailed'!$D$4:$AB$4"}</definedName>
    <definedName name="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CURRENT_BOOKMARK" hidden="1">0</definedName>
    <definedName name="IQRScreeningD62" hidden="1">#REF!</definedName>
    <definedName name="iQShowHideColumns" hidden="1">"iQShowQuarterlyAnnual"</definedName>
    <definedName name="IS" localSheetId="18" hidden="1">{"HK PR",#N/A,FALSE,"HK";"SUMMARY",#N/A,FALSE,"PAYROLL";"SUMMARY",#N/A,FALSE,"PAYROLL";"HK PR",#N/A,FALSE,"HK"}</definedName>
    <definedName name="IS" localSheetId="23" hidden="1">{"HK PR",#N/A,FALSE,"HK";"SUMMARY",#N/A,FALSE,"PAYROLL";"SUMMARY",#N/A,FALSE,"PAYROLL";"HK PR",#N/A,FALSE,"HK"}</definedName>
    <definedName name="IS" localSheetId="21" hidden="1">{"HK PR",#N/A,FALSE,"HK";"SUMMARY",#N/A,FALSE,"PAYROLL";"SUMMARY",#N/A,FALSE,"PAYROLL";"HK PR",#N/A,FALSE,"HK"}</definedName>
    <definedName name="IS" localSheetId="20" hidden="1">{"HK PR",#N/A,FALSE,"HK";"SUMMARY",#N/A,FALSE,"PAYROLL";"SUMMARY",#N/A,FALSE,"PAYROLL";"HK PR",#N/A,FALSE,"HK"}</definedName>
    <definedName name="IS" localSheetId="0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localSheetId="18" hidden="1">{"level1",#N/A,FALSE,"1_LEV";"LEVEL1",#N/A,FALSE,"1_LEV"}</definedName>
    <definedName name="iutit6i" hidden="1">{"level1",#N/A,FALSE,"1_LEV";"LEVEL1",#N/A,FALSE,"1_LEV"}</definedName>
    <definedName name="j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hidden="1">#REF!</definedName>
    <definedName name="jaljfidfjiofjioa" localSheetId="18" hidden="1">{"'Sheet1'!$L$16"}</definedName>
    <definedName name="jaljfidfjiofjioa" hidden="1">{"'Sheet1'!$L$16"}</definedName>
    <definedName name="Jas" localSheetId="18" hidden="1">{"'Feb 99'!$A$1:$G$30"}</definedName>
    <definedName name="Jas" hidden="1">{"'Feb 99'!$A$1:$G$30"}</definedName>
    <definedName name="JE" localSheetId="18" hidden="1">{#N/A,#N/A,FALSE,"Aging Summary";#N/A,#N/A,FALSE,"Ratio Analysis";#N/A,#N/A,FALSE,"Test 120 Day Accts";#N/A,#N/A,FALSE,"Tickmarks"}</definedName>
    <definedName name="JE" hidden="1">{#N/A,#N/A,FALSE,"Aging Summary";#N/A,#N/A,FALSE,"Ratio Analysis";#N/A,#N/A,FALSE,"Test 120 Day Accts";#N/A,#N/A,FALSE,"Tickmarks"}</definedName>
    <definedName name="jefferie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localSheetId="18" hidden="1">{"Tages_D",#N/A,FALSE,"Tagesbericht";"Tages_PL",#N/A,FALSE,"Tagesbericht"}</definedName>
    <definedName name="jeine" hidden="1">{"Tages_D",#N/A,FALSE,"Tagesbericht";"Tages_PL",#N/A,FALSE,"Tagesbericht"}</definedName>
    <definedName name="jeroen" hidden="1">#REF!</definedName>
    <definedName name="jff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localSheetId="18" hidden="1">{"'매출계획'!$D$2"}</definedName>
    <definedName name="JGH" hidden="1">{"'매출계획'!$D$2"}</definedName>
    <definedName name="JH" localSheetId="18" hidden="1">{"'매출계획'!$D$2"}</definedName>
    <definedName name="JH" hidden="1">{"'매출계획'!$D$2"}</definedName>
    <definedName name="jhgfdfg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localSheetId="18" hidden="1">{0}</definedName>
    <definedName name="jhgjf" hidden="1">{0}</definedName>
    <definedName name="jhhhh" localSheetId="18" hidden="1">{#N/A,#N/A,FALSE,"CCTV"}</definedName>
    <definedName name="jhhhh" hidden="1">{#N/A,#N/A,FALSE,"CCTV"}</definedName>
    <definedName name="jhjh" localSheetId="18" hidden="1">{"Offgrid",#N/A,FALSE,"OFFGRID";"Region",#N/A,FALSE,"REGION";"Offgrid -2",#N/A,FALSE,"OFFGRID";"WTP",#N/A,FALSE,"WTP";"WTP -2",#N/A,FALSE,"WTP";"Project",#N/A,FALSE,"PROJECT";"Summary -2",#N/A,FALSE,"SUMMARY"}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hidden="1">#REF!</definedName>
    <definedName name="JIJIIIJ" localSheetId="18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j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localSheetId="18" hidden="1">{"'Sheet1'!$L$16"}</definedName>
    <definedName name="jjhg" hidden="1">{"'Sheet1'!$L$16"}</definedName>
    <definedName name="jjj" localSheetId="18" hidden="1">{"'Sheet1'!$L$16"}</definedName>
    <definedName name="jjj" localSheetId="23" hidden="1">{"'Sheet1'!$L$16"}</definedName>
    <definedName name="jjj" localSheetId="21" hidden="1">{"'Sheet1'!$L$16"}</definedName>
    <definedName name="jjj" localSheetId="20" hidden="1">{"'Sheet1'!$L$16"}</definedName>
    <definedName name="jjj" localSheetId="0" hidden="1">{"'Sheet1'!$L$16"}</definedName>
    <definedName name="jjj" hidden="1">{"'Sheet1'!$L$16"}</definedName>
    <definedName name="jjj_1" localSheetId="18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localSheetId="18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localSheetId="18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localSheetId="18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localSheetId="18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localSheetId="18" hidden="1">{"cashflow",#N/A,FALSE,"CASHFLOW "}</definedName>
    <definedName name="jjjjjjj" hidden="1">{"cashflow",#N/A,FALSE,"CASHFLOW "}</definedName>
    <definedName name="jjjklll" localSheetId="18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localSheetId="18" hidden="1">{"'Sheet1'!$L$16"}</definedName>
    <definedName name="jjkljl" hidden="1">{"'Sheet1'!$L$16"}</definedName>
    <definedName name="JKDFSJCSDKJ" localSheetId="18" hidden="1">{#N/A,#N/A,TRUE,"SUM";#N/A,#N/A,TRUE,"EE";#N/A,#N/A,TRUE,"AC";#N/A,#N/A,TRUE,"SN"}</definedName>
    <definedName name="JKDFSJCSDKJ" hidden="1">{#N/A,#N/A,TRUE,"SUM";#N/A,#N/A,TRUE,"EE";#N/A,#N/A,TRUE,"AC";#N/A,#N/A,TRUE,"SN"}</definedName>
    <definedName name="jkjhk" localSheetId="18" hidden="1">{"'Sheet1'!$L$16"}</definedName>
    <definedName name="jkjhk" hidden="1">{"'Sheet1'!$L$16"}</definedName>
    <definedName name="jkjk" localSheetId="18" hidden="1">{"'Sheet1'!$L$16"}</definedName>
    <definedName name="jk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jk" hidden="1">{"'Sheet1'!$L$16"}</definedName>
    <definedName name="JKKIO" localSheetId="18" hidden="1">{#N/A,#N/A,FALSE,"CCTV"}</definedName>
    <definedName name="JKKIO" hidden="1">{#N/A,#N/A,FALSE,"CCTV"}</definedName>
    <definedName name="jkläol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localSheetId="18" hidden="1">{"'Sheet1'!$L$16"}</definedName>
    <definedName name="jkldsjkl" hidden="1">{"'Sheet1'!$L$16"}</definedName>
    <definedName name="jklhgj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>#REF!</definedName>
    <definedName name="joh" hidden="1">#REF!</definedName>
    <definedName name="jrfu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localSheetId="18" hidden="1">{"revsale",#N/A,FALSE,"REV-ยุพดี"}</definedName>
    <definedName name="jti" hidden="1">{"revsale",#N/A,FALSE,"REV-ยุพดี"}</definedName>
    <definedName name="ju" localSheetId="18" hidden="1">{"'Sheet1'!$L$16"}</definedName>
    <definedName name="ju" localSheetId="23" hidden="1">{"'Sheet1'!$L$16"}</definedName>
    <definedName name="ju" localSheetId="21" hidden="1">{"'Sheet1'!$L$16"}</definedName>
    <definedName name="ju" localSheetId="20" hidden="1">{"'Sheet1'!$L$16"}</definedName>
    <definedName name="ju" localSheetId="0" hidden="1">{"sales",#N/A,FALSE,"SALES"}</definedName>
    <definedName name="ju" hidden="1">{"'Sheet1'!$L$16"}</definedName>
    <definedName name="july" localSheetId="18" hidden="1">{"'ตัวอย่าง'!$A$1:$O$21"}</definedName>
    <definedName name="july" hidden="1">{"'ตัวอย่าง'!$A$1:$O$21"}</definedName>
    <definedName name="jxcnvin" localSheetId="18" hidden="1">{"'Sheet1'!$L$16"}</definedName>
    <definedName name="jxcnvin" hidden="1">{"'Sheet1'!$L$16"}</definedName>
    <definedName name="jz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localSheetId="18" hidden="1">{"'Sheet1'!$L$16"}</definedName>
    <definedName name="K" localSheetId="0" hidden="1">{"'Sheet1'!$L$16"}</definedName>
    <definedName name="K" hidden="1">{"'Sheet1'!$L$16"}</definedName>
    <definedName name="k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localSheetId="18" hidden="1">{#N/A,#N/A,FALSE,"Sheet1"}</definedName>
    <definedName name="K2a" hidden="1">{#N/A,#N/A,FALSE,"Sheet1"}</definedName>
    <definedName name="K301A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localSheetId="18" hidden="1">{#N/A,#N/A,FALSE,"Sheet1"}</definedName>
    <definedName name="KAA" hidden="1">{#N/A,#N/A,FALSE,"Sheet1"}</definedName>
    <definedName name="kaitoon" localSheetId="18" hidden="1">{"PRINT_EST",#N/A,FALSE,"ESTMON"}</definedName>
    <definedName name="kaitoon" hidden="1">{"PRINT_EST",#N/A,FALSE,"ESTMON"}</definedName>
    <definedName name="kathleen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localSheetId="18" hidden="1">{#N/A,#N/A,FALSE,"Sheet1"}</definedName>
    <definedName name="KB" hidden="1">{#N/A,#N/A,FALSE,"Sheet1"}</definedName>
    <definedName name="kdjklge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localSheetId="18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localSheetId="18" hidden="1">{#N/A,#N/A,FALSE,"CCTV"}</definedName>
    <definedName name="kghlgh" hidden="1">{#N/A,#N/A,FALSE,"CCTV"}</definedName>
    <definedName name="KH">#REF!</definedName>
    <definedName name="KHJF" localSheetId="18" hidden="1">{#N/A,#N/A,FALSE,"CCTV"}</definedName>
    <definedName name="KHJF" hidden="1">{#N/A,#N/A,FALSE,"CCTV"}</definedName>
    <definedName name="khjkhj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localSheetId="18" hidden="1">{"Offgrid",#N/A,FALSE,"OFFGRID";"Region",#N/A,FALSE,"REGION";"Offgrid -2",#N/A,FALSE,"OFFGRID";"WTP",#N/A,FALSE,"WTP";"WTP -2",#N/A,FALSE,"WTP";"Project",#N/A,FALSE,"PROJECT";"Summary -2",#N/A,FALSE,"SUMMARY"}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localSheetId="18" hidden="1">{"'Sheet1'!$L$16"}</definedName>
    <definedName name="KHO152.2.12" hidden="1">{"'Sheet1'!$L$16"}</definedName>
    <definedName name="kho1531.12" localSheetId="18" hidden="1">{"'Sheet1'!$L$16"}</definedName>
    <definedName name="kho1531.12" hidden="1">{"'Sheet1'!$L$16"}</definedName>
    <definedName name="khoi" localSheetId="18" hidden="1">{"'Sheet1'!$L$16"}</definedName>
    <definedName name="khoi" hidden="1">{"'Sheet1'!$L$16"}</definedName>
    <definedName name="khongtruotgia" localSheetId="18" hidden="1">{"'Sheet1'!$L$16"}</definedName>
    <definedName name="khongtruotgia" hidden="1">{"'Sheet1'!$L$16"}</definedName>
    <definedName name="KHSX" localSheetId="18" hidden="1">{"'Sheet1'!$L$16"}</definedName>
    <definedName name="KHSX" hidden="1">{"'Sheet1'!$L$16"}</definedName>
    <definedName name="Khu" localSheetId="18" hidden="1">{#N/A,#N/A,FALSE,"Chi tiÆt"}</definedName>
    <definedName name="Khu" hidden="1">{#N/A,#N/A,FALSE,"Chi tiÆt"}</definedName>
    <definedName name="khung" localSheetId="18" hidden="1">{"Tages_D",#N/A,FALSE,"Tagesbericht";"Tages_PL",#N/A,FALSE,"Tagesbericht"}</definedName>
    <definedName name="khung" hidden="1">{"Tages_D",#N/A,FALSE,"Tagesbericht";"Tages_PL",#N/A,FALSE,"Tagesbericht"}</definedName>
    <definedName name="khuy" localSheetId="18" hidden="1">{"'Sheet1'!$L$16"}</definedName>
    <definedName name="khuy" hidden="1">{"'Sheet1'!$L$16"}</definedName>
    <definedName name="khuyenkh" localSheetId="18" hidden="1">{"'Sheet1'!$L$16"}</definedName>
    <definedName name="khuyenkh" hidden="1">{"'Sheet1'!$L$16"}</definedName>
    <definedName name="ki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localSheetId="18" hidden="1">{#N/A,#N/A,FALSE,"m66";#N/A,#N/A,FALSE,"m66"}</definedName>
    <definedName name="kien" hidden="1">{#N/A,#N/A,FALSE,"m66";#N/A,#N/A,FALSE,"m66"}</definedName>
    <definedName name="kiulil" localSheetId="18" hidden="1">{#N/A,#N/A,FALSE,"CCTV"}</definedName>
    <definedName name="kiulil" hidden="1">{#N/A,#N/A,FALSE,"CCTV"}</definedName>
    <definedName name="kjasdf" localSheetId="18" hidden="1">{"hilight1",#N/A,FALSE,"HILIGHT1"}</definedName>
    <definedName name="kjasdf" hidden="1">{"hilight1",#N/A,FALSE,"HILIGHT1"}</definedName>
    <definedName name="kjh" localSheetId="18" hidden="1">{"'Sheet1'!$L$16"}</definedName>
    <definedName name="kjh" hidden="1">{"'Sheet1'!$L$16"}</definedName>
    <definedName name="kjhkj" localSheetId="18" hidden="1">{"'TOTAL'!$A$1:$AG$20"}</definedName>
    <definedName name="kjhkj" localSheetId="0" hidden="1">{"'TOTAL'!$A$1:$AG$20"}</definedName>
    <definedName name="kjhkj" hidden="1">{"'TOTAL'!$A$1:$AG$20"}</definedName>
    <definedName name="kjhlh" localSheetId="18" hidden="1">{#N/A,#N/A,FALSE,"CCTV"}</definedName>
    <definedName name="kjhlh" hidden="1">{#N/A,#N/A,FALSE,"CCTV"}</definedName>
    <definedName name="kjhljhk" localSheetId="18" hidden="1">{#N/A,#N/A,FALSE,"CCTV"}</definedName>
    <definedName name="kjhljhk" hidden="1">{#N/A,#N/A,FALSE,"CCTV"}</definedName>
    <definedName name="kjjj" localSheetId="18" hidden="1">{#N/A,#N/A,FALSE,"Chi tiÆt"}</definedName>
    <definedName name="kjjj" hidden="1">{#N/A,#N/A,FALSE,"Chi tiÆt"}</definedName>
    <definedName name="kjk" localSheetId="18" hidden="1">{"'Sheet1'!$L$16"}</definedName>
    <definedName name="kjk" hidden="1">{"'Sheet1'!$L$16"}</definedName>
    <definedName name="kjljk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localSheetId="23" hidden="1">#REF!</definedName>
    <definedName name="k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hidden="1">#REF!</definedName>
    <definedName name="kkjkk" localSheetId="18" hidden="1">{#N/A,#N/A,FALSE,"Sheet2"}</definedName>
    <definedName name="kkjkk" hidden="1">{#N/A,#N/A,FALSE,"Sheet2"}</definedName>
    <definedName name="KKK" localSheetId="18" hidden="1">{"'매출계획'!$D$2"}</definedName>
    <definedName name="KKK" hidden="1">{"'매출계획'!$D$2"}</definedName>
    <definedName name="KKKK" localSheetId="18" hidden="1">{"'매출계획'!$D$2"}</definedName>
    <definedName name="KKKK" hidden="1">{"'매출계획'!$D$2"}</definedName>
    <definedName name="kklk" localSheetId="18" hidden="1">{"F3 detail",#N/A,FALSE,"F1";"F3 Presentation",#N/A,FALSE,"F3 "}</definedName>
    <definedName name="kklk" hidden="1">{"F3 detail",#N/A,FALSE,"F1";"F3 Presentation",#N/A,FALSE,"F3 "}</definedName>
    <definedName name="kklleinene" localSheetId="18" hidden="1">{"Tages_D",#N/A,FALSE,"Tagesbericht";"Tages_PL",#N/A,FALSE,"Tagesbericht"}</definedName>
    <definedName name="kklleinene" hidden="1">{"Tages_D",#N/A,FALSE,"Tagesbericht";"Tages_PL",#N/A,FALSE,"Tagesbericht"}</definedName>
    <definedName name="kkzc" localSheetId="18" hidden="1">{#N/A,#N/A,FALSE,"Sheet1"}</definedName>
    <definedName name="kkzc" hidden="1">{#N/A,#N/A,FALSE,"Sheet1"}</definedName>
    <definedName name="kl" localSheetId="18" hidden="1">{"revsale",#N/A,FALSE,"REV-ยุพดี"}</definedName>
    <definedName name="kl" hidden="1">{"revsale",#N/A,FALSE,"REV-ยุพดี"}</definedName>
    <definedName name="klcmhioesnmh" localSheetId="18" hidden="1">{"'Sheet1'!$L$16"}</definedName>
    <definedName name="klcmhioesnmh" hidden="1">{"'Sheet1'!$L$16"}</definedName>
    <definedName name="klein1" localSheetId="18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localSheetId="18" hidden="1">{"TAG1AGMS",#N/A,FALSE,"TAG 1A"}</definedName>
    <definedName name="kleine" hidden="1">{"TAG1AGMS",#N/A,FALSE,"TAG 1A"}</definedName>
    <definedName name="kl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localSheetId="18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hidden="1">#REF!</definedName>
    <definedName name="KM" localSheetId="18" hidden="1">{"'매출계획'!$D$2"}</definedName>
    <definedName name="KM" hidden="1">{"'매출계획'!$D$2"}</definedName>
    <definedName name="knong" localSheetId="18" hidden="1">{"'Sheet1'!$L$16"}</definedName>
    <definedName name="knong" hidden="1">{"'Sheet1'!$L$16"}</definedName>
    <definedName name="KPI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localSheetId="18" hidden="1">{"'Sheet1'!$L$16"}</definedName>
    <definedName name="ksbn" hidden="1">{"'Sheet1'!$L$16"}</definedName>
    <definedName name="kshn" localSheetId="18" hidden="1">{"'Sheet1'!$L$16"}</definedName>
    <definedName name="kshn" hidden="1">{"'Sheet1'!$L$16"}</definedName>
    <definedName name="KSJBDJHAS" localSheetId="18" hidden="1">{"'Sheet1'!$L$16"}</definedName>
    <definedName name="KSJBDJHAS" hidden="1">{"'Sheet1'!$L$16"}</definedName>
    <definedName name="ksls" localSheetId="18" hidden="1">{"'Sheet1'!$L$16"}</definedName>
    <definedName name="ksls" hidden="1">{"'Sheet1'!$L$16"}</definedName>
    <definedName name="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t" hidden="1">#REF!</definedName>
    <definedName name="KU" localSheetId="18" hidden="1">{"'Sheet1'!$L$16"}</definedName>
    <definedName name="KU" localSheetId="23" hidden="1">{"'Sheet1'!$L$16"}</definedName>
    <definedName name="KU" localSheetId="21" hidden="1">{"'Sheet1'!$L$16"}</definedName>
    <definedName name="KU" localSheetId="20" hidden="1">{"'Sheet1'!$L$16"}</definedName>
    <definedName name="KU" localSheetId="0" hidden="1">{"'Sheet1'!$L$16"}</definedName>
    <definedName name="KU" hidden="1">{"'Sheet1'!$L$16"}</definedName>
    <definedName name="kung" localSheetId="18" hidden="1">{"Tages_D",#N/A,FALSE,"Tagesbericht";"Tages_PL",#N/A,FALSE,"Tagesbericht"}</definedName>
    <definedName name="kung" hidden="1">{"Tages_D",#N/A,FALSE,"Tagesbericht";"Tages_PL",#N/A,FALSE,"Tagesbericht"}</definedName>
    <definedName name="kuz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localSheetId="23" hidden="1">#REF!</definedName>
    <definedName name="kyd.ChngCell.01." localSheetId="21" hidden="1">#REF!</definedName>
    <definedName name="kyd.ChngCell.01." localSheetId="20" hidden="1">#REF!</definedName>
    <definedName name="kyd.ChngCell.01." localSheetId="0" hidden="1">#REF!</definedName>
    <definedName name="kyd.ChngCell.01." hidden="1">'[21]TM1 FC2'!$B$5</definedName>
    <definedName name="kyd.CounterLimitCell.01." hidden="1">"x"</definedName>
    <definedName name="kyd.Dim.01." hidden="1">"UNISONUS:M-2003"</definedName>
    <definedName name="kyd.ElementList.01." localSheetId="23" hidden="1">#REF!</definedName>
    <definedName name="kyd.ElementList.01." localSheetId="21" hidden="1">#REF!</definedName>
    <definedName name="kyd.ElementList.01." localSheetId="20" hidden="1">#REF!</definedName>
    <definedName name="kyd.ElementList.01." localSheetId="0" hidden="1">#REF!</definedName>
    <definedName name="kyd.ElementList.01." hidden="1">[22]Insight!#REF!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hidden="1">#REF!</definedName>
    <definedName name="kyd.SelectString.01." hidden="1">"*"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localSheetId="18" hidden="1">{"'매출계획'!$D$2"}</definedName>
    <definedName name="L" hidden="1">{"'매출계획'!$D$2"}</definedName>
    <definedName name="LABOR_TAX" localSheetId="0" hidden="1">#REF!</definedName>
    <definedName name="LABOR_TAX" hidden="1">'[23]Service Invoice'!$G$15</definedName>
    <definedName name="Lai" localSheetId="18" hidden="1">{"'Sheet1'!$L$16"}</definedName>
    <definedName name="Lai" localSheetId="23" hidden="1">{"'Sheet1'!$L$16"}</definedName>
    <definedName name="Lai" localSheetId="21" hidden="1">{"'Sheet1'!$L$16"}</definedName>
    <definedName name="Lai" localSheetId="20" hidden="1">{"'Sheet1'!$L$16"}</definedName>
    <definedName name="Lai" localSheetId="0" hidden="1">{"'Sheet1'!$L$16"}</definedName>
    <definedName name="Lai" hidden="1">{"'Sheet1'!$L$16"}</definedName>
    <definedName name="LAM" localSheetId="18" hidden="1">{#N/A,#N/A,TRUE,"BT M200 da 10x20"}</definedName>
    <definedName name="LAM" localSheetId="23" hidden="1">{#N/A,#N/A,TRUE,"BT M200 da 10x20"}</definedName>
    <definedName name="LAM" localSheetId="21" hidden="1">{#N/A,#N/A,TRUE,"BT M200 da 10x20"}</definedName>
    <definedName name="LAM" localSheetId="20" hidden="1">{#N/A,#N/A,TRUE,"BT M200 da 10x20"}</definedName>
    <definedName name="LAM" localSheetId="0" hidden="1">{#N/A,#N/A,TRUE,"BT M200 da 10x20"}</definedName>
    <definedName name="LAM" hidden="1">{#N/A,#N/A,TRUE,"BT M200 da 10x20"}</definedName>
    <definedName name="lan" localSheetId="18" hidden="1">{#N/A,#N/A,TRUE,"BT M200 da 10x20"}</definedName>
    <definedName name="lan" localSheetId="23" hidden="1">{#N/A,#N/A,TRUE,"BT M200 da 10x20"}</definedName>
    <definedName name="lan" localSheetId="21" hidden="1">{#N/A,#N/A,TRUE,"BT M200 da 10x20"}</definedName>
    <definedName name="lan" localSheetId="20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gson" localSheetId="18" hidden="1">{"'Sheet1'!$L$16"}</definedName>
    <definedName name="langson" hidden="1">{"'Sheet1'!$L$16"}</definedName>
    <definedName name="LC" localSheetId="18" hidden="1">{"'Sheet1'!$L$16"}</definedName>
    <definedName name="LC" hidden="1">{"'Sheet1'!$L$16"}</definedName>
    <definedName name="ld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>#REF!</definedName>
    <definedName name="leien" localSheetId="18" hidden="1">{"fleisch",#N/A,FALSE,"WG HK";"food",#N/A,FALSE,"WG HK";"hartwaren",#N/A,FALSE,"WG HK";"weichwaren",#N/A,FALSE,"WG HK"}</definedName>
    <definedName name="leien" hidden="1">{"fleisch",#N/A,FALSE,"WG HK";"food",#N/A,FALSE,"WG HK";"hartwaren",#N/A,FALSE,"WG HK";"weichwaren",#N/A,FALSE,"WG HK"}</definedName>
    <definedName name="LFKFJFO" localSheetId="18" hidden="1">{#N/A,#N/A,FALSE,"CCTV"}</definedName>
    <definedName name="LFKFJFO" hidden="1">{#N/A,#N/A,FALSE,"CCTV"}</definedName>
    <definedName name="lig" localSheetId="18" hidden="1">{"'1-TheatreBkgs'!$A$1:$L$102"}</definedName>
    <definedName name="lig" hidden="1">{"'1-TheatreBkgs'!$A$1:$L$102"}</definedName>
    <definedName name="limcount" hidden="1">1</definedName>
    <definedName name="Lina" localSheetId="18" hidden="1">{#N/A,#N/A,TRUE,"BT M200 da 10x20"}</definedName>
    <definedName name="Lina" hidden="1">{#N/A,#N/A,TRUE,"BT M200 da 10x20"}</definedName>
    <definedName name="liza" localSheetId="18" hidden="1">{"level1",#N/A,FALSE,"1_LEV";"LEVEL1",#N/A,FALSE,"1_LEV"}</definedName>
    <definedName name="liza" localSheetId="0" hidden="1">{"level1",#N/A,FALSE,"1_LEV";"LEVEL1",#N/A,FALSE,"1_LEV"}</definedName>
    <definedName name="liza" hidden="1">{"level1",#N/A,FALSE,"1_LEV";"LEVEL1",#N/A,FALSE,"1_LEV"}</definedName>
    <definedName name="lk" localSheetId="18" hidden="1">{#N/A,#N/A,FALSE,"CCTV"}</definedName>
    <definedName name="lk" hidden="1">{#N/A,#N/A,FALSE,"CCTV"}</definedName>
    <definedName name="LKJHKU" localSheetId="18" hidden="1">{#N/A,#N/A,FALSE,"CCTV"}</definedName>
    <definedName name="LKJHKU" hidden="1">{#N/A,#N/A,FALSE,"CCTV"}</definedName>
    <definedName name="lklhlkjl" localSheetId="18" hidden="1">{#N/A,#N/A,FALSE,"CCTV"}</definedName>
    <definedName name="lklhlkjl" hidden="1">{#N/A,#N/A,FALSE,"CCTV"}</definedName>
    <definedName name="LKLJH" localSheetId="18" hidden="1">{#N/A,#N/A,FALSE,"CCTV"}</definedName>
    <definedName name="LKLJH" hidden="1">{#N/A,#N/A,FALSE,"CCTV"}</definedName>
    <definedName name="ll" localSheetId="18" hidden="1">{"cashflow",#N/A,FALSE,"CASHFLOW "}</definedName>
    <definedName name="ll" localSheetId="0" hidden="1">{"'ตัวอย่าง'!$A$1:$O$21"}</definedName>
    <definedName name="ll" hidden="1">{"cashflow",#N/A,FALSE,"CASHFLOW "}</definedName>
    <definedName name="lll" localSheetId="18" hidden="1">{"sales",#N/A,FALSE,"SALES"}</definedName>
    <definedName name="lll" localSheetId="0" hidden="1">{"sales",#N/A,FALSE,"SALES"}</definedName>
    <definedName name="lll" hidden="1">{"sales",#N/A,FALSE,"SALES"}</definedName>
    <definedName name="LLLL" localSheetId="18" hidden="1">{#N/A,#N/A,FALSE,"Chi tiÆt"}</definedName>
    <definedName name="LLLL" localSheetId="23" hidden="1">{#N/A,#N/A,FALSE,"Chi tiÆt"}</definedName>
    <definedName name="LLLL" localSheetId="21" hidden="1">{#N/A,#N/A,FALSE,"Chi tiÆt"}</definedName>
    <definedName name="LLLL" localSheetId="20" hidden="1">{#N/A,#N/A,FALSE,"Chi tiÆt"}</definedName>
    <definedName name="llll" localSheetId="0" hidden="1">{"'ตัวอย่าง'!$A$1:$O$21"}</definedName>
    <definedName name="LLLL" hidden="1">{#N/A,#N/A,FALSE,"Chi tiÆt"}</definedName>
    <definedName name="LLLLL" localSheetId="18" hidden="1">{#N/A,#N/A,FALSE,"Chi tiÆt"}</definedName>
    <definedName name="LLLLL" localSheetId="23" hidden="1">{#N/A,#N/A,FALSE,"Chi tiÆt"}</definedName>
    <definedName name="LLLLL" localSheetId="21" hidden="1">{#N/A,#N/A,FALSE,"Chi tiÆt"}</definedName>
    <definedName name="LLLLL" localSheetId="20" hidden="1">{#N/A,#N/A,FALSE,"Chi tiÆt"}</definedName>
    <definedName name="LLLLL" localSheetId="0" hidden="1">{#N/A,#N/A,FALSE,"Chi tiÆt"}</definedName>
    <definedName name="LLLLL" hidden="1">{#N/A,#N/A,FALSE,"Chi tiÆt"}</definedName>
    <definedName name="lllzil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localSheetId="18" hidden="1">{"revsale",#N/A,FALSE,"REV-ยุพดี"}</definedName>
    <definedName name="llolo" hidden="1">{"revsale",#N/A,FALSE,"REV-ยุพดี"}</definedName>
    <definedName name="l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localSheetId="18" hidden="1">{"'매출계획'!$D$2"}</definedName>
    <definedName name="LOAD" hidden="1">{"'매출계획'!$D$2"}</definedName>
    <definedName name="LOAD1" localSheetId="18" hidden="1">{"'매출계획'!$D$2"}</definedName>
    <definedName name="LOAD1" hidden="1">{"'매출계획'!$D$2"}</definedName>
    <definedName name="LOAD2" localSheetId="18" hidden="1">{"'매출계획'!$D$2"}</definedName>
    <definedName name="LOAD2" hidden="1">{"'매출계획'!$D$2"}</definedName>
    <definedName name="LOAD3" localSheetId="18" hidden="1">{"'매출계획'!$D$2"}</definedName>
    <definedName name="LOAD3" hidden="1">{"'매출계획'!$D$2"}</definedName>
    <definedName name="LOADDD" localSheetId="18" hidden="1">{"'매출계획'!$D$2"}</definedName>
    <definedName name="LOADDD" hidden="1">{"'매출계획'!$D$2"}</definedName>
    <definedName name="Loan" localSheetId="23" hidden="1">#REF!</definedName>
    <definedName name="Loan" hidden="1">#REF!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>#REF!</definedName>
    <definedName name="Localpit">#REF!</definedName>
    <definedName name="LocalProposePit">#REF!</definedName>
    <definedName name="LocCtu" hidden="1">OFFSET(#REF!,0,0,COUNTA(#REF!))</definedName>
    <definedName name="lokk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localSheetId="18" hidden="1">{"'Sheet1'!$L$16"}</definedName>
    <definedName name="lsdfkas" hidden="1">{"'Sheet1'!$L$16"}</definedName>
    <definedName name="luan" localSheetId="18" hidden="1">{"'Sheet1'!$L$16"}</definedName>
    <definedName name="luan" hidden="1">{"'Sheet1'!$L$16"}</definedName>
    <definedName name="lu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localSheetId="18" hidden="1">{"'Sheet1'!$L$16"}</definedName>
    <definedName name="luuu" hidden="1">{"'Sheet1'!$L$16"}</definedName>
    <definedName name="M_PlaceofPath" hidden="1">"F:\danders\COMPANY\HET\HET_VDF.XLS"</definedName>
    <definedName name="M10." localSheetId="18" hidden="1">{"'Sheet1'!$L$16"}</definedName>
    <definedName name="M10." hidden="1">{"'Sheet1'!$L$16"}</definedName>
    <definedName name="M12aE" localSheetId="18" hidden="1">{"'照明目录'!$A$1:$H$31"}</definedName>
    <definedName name="M12aE" localSheetId="0" hidden="1">{"'照明目录'!$A$1:$H$31"}</definedName>
    <definedName name="M12aE" hidden="1">{"'照明目录'!$A$1:$H$31"}</definedName>
    <definedName name="MÂM" localSheetId="18" hidden="1">{"'Sheet1'!$L$16"}</definedName>
    <definedName name="MÂM" hidden="1">{"'Sheet1'!$L$16"}</definedName>
    <definedName name="Mar" localSheetId="18" hidden="1">{"hilight3",#N/A,FALSE,"HILIGHT3"}</definedName>
    <definedName name="Mar" hidden="1">{"hilight3",#N/A,FALSE,"HILIGHT3"}</definedName>
    <definedName name="marc">#REF!</definedName>
    <definedName name="marce">#REF!</definedName>
    <definedName name="ma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localSheetId="18" hidden="1">{"'Sheet1'!$L$16"}</definedName>
    <definedName name="mco" localSheetId="23" hidden="1">{"'Sheet1'!$L$16"}</definedName>
    <definedName name="mco" localSheetId="21" hidden="1">{"'Sheet1'!$L$16"}</definedName>
    <definedName name="mco" localSheetId="20" hidden="1">{"'Sheet1'!$L$16"}</definedName>
    <definedName name="mco" localSheetId="0" hidden="1">{"'Sheet1'!$L$16"}</definedName>
    <definedName name="mco" hidden="1">{"'Sheet1'!$L$16"}</definedName>
    <definedName name="mdfhjr" localSheetId="18" hidden="1">{"'Sheet1'!$L$16"}</definedName>
    <definedName name="mdfhjr" hidden="1">{"'Sheet1'!$L$16"}</definedName>
    <definedName name="MeasureListbox">[24]!MeasureList</definedName>
    <definedName name="MeetingRoomWP" localSheetId="18" hidden="1">{"index",#N/A,FALSE,"INDEX"}</definedName>
    <definedName name="MeetingRoomWP" hidden="1">{"index",#N/A,FALSE,"INDEX"}</definedName>
    <definedName name="Mer" localSheetId="18" hidden="1">{"'Sheet1'!$L$16"}</definedName>
    <definedName name="Mer" hidden="1">{"'Sheet1'!$L$16"}</definedName>
    <definedName name="MET" localSheetId="18" hidden="1">{"'Sheet1'!$L$16"}</definedName>
    <definedName name="MET" hidden="1">{"'Sheet1'!$L$16"}</definedName>
    <definedName name="MEWarning" hidden="1">1</definedName>
    <definedName name="mfigjh" localSheetId="18" hidden="1">{"'Sheet1'!$L$16"}</definedName>
    <definedName name="mfigjh" hidden="1">{"'Sheet1'!$L$16"}</definedName>
    <definedName name="mg" localSheetId="18" hidden="1">{#N/A,#N/A,FALSE,"Chi tiÆt"}</definedName>
    <definedName name="mg" localSheetId="0" hidden="1">{#N/A,#N/A,FALSE,"Chi tiÆt"}</definedName>
    <definedName name="mg" hidden="1">{#N/A,#N/A,FALSE,"Chi tiÆt"}</definedName>
    <definedName name="MGM" localSheetId="18" hidden="1">{#N/A,#N/A,FALSE,"CCTV"}</definedName>
    <definedName name="MGM" hidden="1">{#N/A,#N/A,FALSE,"CCTV"}</definedName>
    <definedName name="MH" localSheetId="18" hidden="1">{"'매출계획'!$D$2"}</definedName>
    <definedName name="MH" hidden="1">{"'매출계획'!$D$2"}</definedName>
    <definedName name="MHD" localSheetId="18" hidden="1">{"'매출계획'!$D$2"}</definedName>
    <definedName name="MHD" hidden="1">{"'매출계획'!$D$2"}</definedName>
    <definedName name="mhm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localSheetId="18" hidden="1">{"'매출계획'!$D$2"}</definedName>
    <definedName name="MHY" hidden="1">{"'매출계획'!$D$2"}</definedName>
    <definedName name="miko" hidden="1">#REF!</definedName>
    <definedName name="min" localSheetId="18" hidden="1">{"'Feb 99'!$A$1:$G$30"}</definedName>
    <definedName name="min" hidden="1">{"'Feb 99'!$A$1:$G$30"}</definedName>
    <definedName name="mi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hidden="1">#REF!</definedName>
    <definedName name="MKU" localSheetId="18" hidden="1">{"'매출계획'!$D$2"}</definedName>
    <definedName name="MKU" hidden="1">{"'매출계획'!$D$2"}</definedName>
    <definedName name="mm" localSheetId="18" hidden="1">{"'Sheet1'!$L$16"}</definedName>
    <definedName name="mm" hidden="1">{"'Sheet1'!$L$16"}</definedName>
    <definedName name="MMJJKK" localSheetId="18" hidden="1">{"Jan-June",#N/A,FALSE,"Sheet4";"Jul-Dec",#N/A,FALSE,"Sheet4"}</definedName>
    <definedName name="MMJJKK" hidden="1">{"Jan-June",#N/A,FALSE,"Sheet4";"Jul-Dec",#N/A,FALSE,"Sheet4"}</definedName>
    <definedName name="MMM" localSheetId="18" hidden="1">{#N/A,#N/A,FALSE,"CCTV"}</definedName>
    <definedName name="MMM" hidden="1">{#N/A,#N/A,FALSE,"CCTV"}</definedName>
    <definedName name="mmmmm" localSheetId="18" hidden="1">{#N/A,#N/A,FALSE,"CCTV"}</definedName>
    <definedName name="mmmmm" hidden="1">{#N/A,#N/A,FALSE,"CCTV"}</definedName>
    <definedName name="MMMMMMMMMMM" localSheetId="18" hidden="1">{"'Sheet1'!$L$16"}</definedName>
    <definedName name="MMMMMMMMMMM" hidden="1">{"'Sheet1'!$L$16"}</definedName>
    <definedName name="mnjnm" hidden="1">#REF!</definedName>
    <definedName name="mnth">#REF!</definedName>
    <definedName name="mnth_tab">#REF!</definedName>
    <definedName name="moi" localSheetId="18" hidden="1">{"'Sheet1'!$L$16"}</definedName>
    <definedName name="moi" localSheetId="23" hidden="1">{"'Sheet1'!$L$16"}</definedName>
    <definedName name="moi" localSheetId="21" hidden="1">{"'Sheet1'!$L$16"}</definedName>
    <definedName name="moi" localSheetId="20" hidden="1">{"'Sheet1'!$L$16"}</definedName>
    <definedName name="moi" localSheetId="0" hidden="1">{"'Sheet1'!$L$16"}</definedName>
    <definedName name="moi" hidden="1">{"'Sheet1'!$L$16"}</definedName>
    <definedName name="MP" localSheetId="18" hidden="1">{#N/A,#N/A,FALSE,"CCTV"}</definedName>
    <definedName name="MP" hidden="1">{#N/A,#N/A,FALSE,"CCTV"}</definedName>
    <definedName name="mrn.inv._.budget" localSheetId="18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TY" localSheetId="18" hidden="1">{"'매출계획'!$D$2"}</definedName>
    <definedName name="MTY" hidden="1">{"'매출계획'!$D$2"}</definedName>
    <definedName name="mua" localSheetId="18" hidden="1">{"'Sheet1'!$L$16"}</definedName>
    <definedName name="mua" localSheetId="23" hidden="1">{"'Sheet1'!$L$16"}</definedName>
    <definedName name="mua" localSheetId="21" hidden="1">{"'Sheet1'!$L$16"}</definedName>
    <definedName name="mua" localSheetId="20" hidden="1">{"'Sheet1'!$L$16"}</definedName>
    <definedName name="mua" localSheetId="0" hidden="1">{"'Sheet1'!$L$16"}</definedName>
    <definedName name="mua" hidden="1">{"'Sheet1'!$L$16"}</definedName>
    <definedName name="my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localSheetId="18" hidden="1">{"'Model'!$A$1:$N$53"}</definedName>
    <definedName name="Myanmar_3T" hidden="1">{"'Model'!$A$1:$N$53"}</definedName>
    <definedName name="n" localSheetId="18" hidden="1">{"F3 detail",#N/A,FALSE,"F1";"F3 Presentation",#N/A,FALSE,"F3 "}</definedName>
    <definedName name="n" localSheetId="0" hidden="1">{"F3 detail",#N/A,FALSE,"F1";"F3 Presentation",#N/A,FALSE,"F3 "}</definedName>
    <definedName name="n" hidden="1">{"F3 detail",#N/A,FALSE,"F1";"F3 Presentation",#N/A,FALSE,"F3 "}</definedName>
    <definedName name="Nam" hidden="1">#N/A</definedName>
    <definedName name="nat" localSheetId="18" hidden="1">{#N/A,#N/A,FALSE,"Assessment";#N/A,#N/A,FALSE,"Staffing";#N/A,#N/A,FALSE,"Hires";#N/A,#N/A,FALSE,"Assumptions"}</definedName>
    <definedName name="nat" localSheetId="0" hidden="1">{#N/A,#N/A,FALSE,"Assessment";#N/A,#N/A,FALSE,"Staffing";#N/A,#N/A,FALSE,"Hires";#N/A,#N/A,FALSE,"Assumptions"}</definedName>
    <definedName name="nat" hidden="1">{#N/A,#N/A,FALSE,"Assessment";#N/A,#N/A,FALSE,"Staffing";#N/A,#N/A,FALSE,"Hires";#N/A,#N/A,FALSE,"Assumptions"}</definedName>
    <definedName name="NBNM" localSheetId="18" hidden="1">{"'Sheet1'!$L$16"}</definedName>
    <definedName name="NBNM" hidden="1">{"'Sheet1'!$L$16"}</definedName>
    <definedName name="nbxn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localSheetId="18" hidden="1">{"'매출계획'!$D$2"}</definedName>
    <definedName name="ND" hidden="1">{"'매출계획'!$D$2"}</definedName>
    <definedName name="ndf0hten" localSheetId="18" hidden="1">{"'Sheet1'!$L$16"}</definedName>
    <definedName name="ndf0hten" hidden="1">{"'Sheet1'!$L$16"}</definedName>
    <definedName name="new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localSheetId="18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n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localSheetId="18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localSheetId="18" hidden="1">OFFSET([13]!Data.Top.Left,1,0)</definedName>
    <definedName name="neww" localSheetId="21" hidden="1">OFFSET([13]!Data.Top.Left,1,0)</definedName>
    <definedName name="neww" localSheetId="0" hidden="1">OFFSET(#REF!,1,0)</definedName>
    <definedName name="neww" hidden="1">OFFSET([13]!Data.Top.Left,1,0)</definedName>
    <definedName name="newww">#REF!</definedName>
    <definedName name="NFG" localSheetId="18" hidden="1">{"'매출계획'!$D$2"}</definedName>
    <definedName name="NFG" hidden="1">{"'매출계획'!$D$2"}</definedName>
    <definedName name="n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localSheetId="18" hidden="1">{"'Sheet1'!$L$16"}</definedName>
    <definedName name="ngay23" hidden="1">{"'Sheet1'!$L$16"}</definedName>
    <definedName name="NGF" localSheetId="18" hidden="1">{"'매출계획'!$D$2"}</definedName>
    <definedName name="NGF" hidden="1">{"'매출계획'!$D$2"}</definedName>
    <definedName name="ngoc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>#REF!</definedName>
    <definedName name="ngothithanhthuy" localSheetId="18" hidden="1">{"'Sheet1'!$L$16"}</definedName>
    <definedName name="ngothithanhthuy" hidden="1">{"'Sheet1'!$L$16"}</definedName>
    <definedName name="nhu" localSheetId="18" hidden="1">{"'Sheet1'!$L$16"}</definedName>
    <definedName name="nhu" hidden="1">{"'Sheet1'!$L$16"}</definedName>
    <definedName name="nil" localSheetId="18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localSheetId="18" hidden="1">{"'Sheet1'!$L$16"}</definedName>
    <definedName name="ninhson" hidden="1">{"'Sheet1'!$L$16"}</definedName>
    <definedName name="NKKN" localSheetId="18" hidden="1">{"'Sheet1'!$L$16"}</definedName>
    <definedName name="NKKN" hidden="1">{"'Sheet1'!$L$16"}</definedName>
    <definedName name="nkknk" localSheetId="18" hidden="1">{#N/A,#N/A,FALSE,"CCTV"}</definedName>
    <definedName name="nkknk" hidden="1">{#N/A,#N/A,FALSE,"CCTV"}</definedName>
    <definedName name="nll" localSheetId="18" hidden="1">{"'Sheet1'!$L$16"}</definedName>
    <definedName name="nll" hidden="1">{"'Sheet1'!$L$16"}</definedName>
    <definedName name="nn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localSheetId="18" hidden="1">{"'ตัวอย่าง'!$A$1:$O$21"}</definedName>
    <definedName name="NotUse" localSheetId="0" hidden="1">{"'ตัวอย่าง'!$A$1:$O$21"}</definedName>
    <definedName name="NotUse" hidden="1">{"'ตัวอย่าง'!$A$1:$O$21"}</definedName>
    <definedName name="NPP" localSheetId="23" hidden="1">#REF!</definedName>
    <definedName name="NPP" hidden="1">#REF!</definedName>
    <definedName name="nrwe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localSheetId="18" hidden="1">{"'Sheet1'!$L$16"}</definedName>
    <definedName name="NSOO" hidden="1">{"'Sheet1'!$L$16"}</definedName>
    <definedName name="ntzhn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localSheetId="18" hidden="1">{"'Sheet1'!$L$16"}</definedName>
    <definedName name="nwe" localSheetId="23" hidden="1">{"'Sheet1'!$L$16"}</definedName>
    <definedName name="nwe" localSheetId="21" hidden="1">{"'Sheet1'!$L$16"}</definedName>
    <definedName name="nwe" localSheetId="20" hidden="1">{"'Sheet1'!$L$16"}</definedName>
    <definedName name="nwe" localSheetId="0" hidden="1">{"'Sheet1'!$L$16"}</definedName>
    <definedName name="nwe" hidden="1">{"'Sheet1'!$L$16"}</definedName>
    <definedName name="ny" localSheetId="18" hidden="1">{"'Sheet1'!$L$16"}</definedName>
    <definedName name="ny" hidden="1">{"'Sheet1'!$L$16"}</definedName>
    <definedName name="o" localSheetId="0" hidden="1">{#N/A,#N/A,FALSE,"Aging Summary";#N/A,#N/A,FALSE,"Ratio Analysis";#N/A,#N/A,FALSE,"Test 120 Day Accts";#N/A,#N/A,FALSE,"Tickmarks"}</definedName>
    <definedName name="O">#REF!</definedName>
    <definedName name="o_1" localSheetId="18" hidden="1">{"'Sheet1'!$L$16"}</definedName>
    <definedName name="o_1" hidden="1">{"'Sheet1'!$L$16"}</definedName>
    <definedName name="od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localSheetId="18" hidden="1">{#N/A,#N/A,FALSE,"CCTV"}</definedName>
    <definedName name="oi" hidden="1">{#N/A,#N/A,FALSE,"CCTV"}</definedName>
    <definedName name="oikk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localSheetId="18" hidden="1">{#N/A,#N/A,FALSE,"CCTV"}</definedName>
    <definedName name="oililui" hidden="1">{#N/A,#N/A,FALSE,"CCTV"}</definedName>
    <definedName name="öi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localSheetId="18" hidden="1">{"'Sheet1'!$L$16"}</definedName>
    <definedName name="okkkk" hidden="1">{"'Sheet1'!$L$16"}</definedName>
    <definedName name="okoo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localSheetId="18" hidden="1">{"revable",#N/A,FALSE,"REVABLE"}</definedName>
    <definedName name="ol" hidden="1">{"revable",#N/A,FALSE,"REVABLE"}</definedName>
    <definedName name="olio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localSheetId="18" hidden="1">{"'Bidfailed'!$D$2:$AB$14","'Bidfailed'!$D$4:$AB$4"}</definedName>
    <definedName name="omm" hidden="1">{"'Bidfailed'!$D$2:$AB$14","'Bidfailed'!$D$4:$AB$4"}</definedName>
    <definedName name="OO" localSheetId="18" hidden="1">{"'매출계획'!$D$2"}</definedName>
    <definedName name="OO" hidden="1">{"'매출계획'!$D$2"}</definedName>
    <definedName name="OOO" localSheetId="18" hidden="1">{"'매출계획'!$D$2"}</definedName>
    <definedName name="ooo" localSheetId="0" hidden="1">{"'ตัวอย่าง'!$A$1:$O$21"}</definedName>
    <definedName name="OOO" hidden="1">{"'매출계획'!$D$2"}</definedName>
    <definedName name="ö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localSheetId="18" hidden="1">{"'매출계획'!$D$2"}</definedName>
    <definedName name="OOOO" hidden="1">{"'매출계획'!$D$2"}</definedName>
    <definedName name="ooooo" localSheetId="18" hidden="1">{"'connew '!$C$40:$C$60"}</definedName>
    <definedName name="ooooo" localSheetId="0" hidden="1">{"'connew '!$C$40:$C$60"}</definedName>
    <definedName name="ooooo" hidden="1">{"'connew '!$C$40:$C$60"}</definedName>
    <definedName name="oooooooooooo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localSheetId="23" hidden="1">#REF!</definedName>
    <definedName name="OrderTable" hidden="1">#REF!</definedName>
    <definedName name="orgn_issues">#REF!</definedName>
    <definedName name="OrgUnitList">#REF!</definedName>
    <definedName name="ote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localSheetId="18" hidden="1">{#VALUE!,#N/A,FALSE,0}</definedName>
    <definedName name="ots" hidden="1">{#VALUE!,#N/A,FALSE,0}</definedName>
    <definedName name="öu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localSheetId="18" hidden="1">OFFSET([13]!Data.Top.Left,1,0)</definedName>
    <definedName name="Ownership" localSheetId="21" hidden="1">OFFSET([13]!Data.Top.Left,1,0)</definedName>
    <definedName name="Ownership" localSheetId="0" hidden="1">OFFSET(#REF!,1,0)</definedName>
    <definedName name="Ownership" hidden="1">OFFSET([13]!Data.Top.Left,1,0)</definedName>
    <definedName name="p" localSheetId="18" hidden="1">{"'ตัวอย่าง'!$A$1:$O$21"}</definedName>
    <definedName name="p" localSheetId="0" hidden="1">{"'ตัวอย่าง'!$A$1:$O$21"}</definedName>
    <definedName name="p" hidden="1">{"'ตัวอย่าง'!$A$1:$O$21"}</definedName>
    <definedName name="PARTS_TAX" localSheetId="0" hidden="1">#REF!</definedName>
    <definedName name="PARTS_TAX" hidden="1">'[23]Service Invoice'!$D$15</definedName>
    <definedName name="payabl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>#REF!</definedName>
    <definedName name="Pending_Settlements___Employees_who_have_left_and_F_F_papers_are_yet_to_come_to_payroll">#REF!</definedName>
    <definedName name="PeriodListbox">[24]!PeriodList</definedName>
    <definedName name="PGV" hidden="1">#REF!</definedName>
    <definedName name="PHAN" localSheetId="18" hidden="1">{#N/A,#N/A,FALSE,"CCTV"}</definedName>
    <definedName name="PHAN" hidden="1">{#N/A,#N/A,FALSE,"CCTV"}</definedName>
    <definedName name="PHAT" localSheetId="18" hidden="1">{#N/A,#N/A,FALSE,"CCTV"}</definedName>
    <definedName name="PHAT" hidden="1">{#N/A,#N/A,FALSE,"CCTV"}</definedName>
    <definedName name="Phil" localSheetId="18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localSheetId="18" hidden="1">{"'Sheet1'!$L$16"}</definedName>
    <definedName name="phogn" hidden="1">{"'Sheet1'!$L$16"}</definedName>
    <definedName name="PHUONG" localSheetId="18" hidden="1">{#N/A,#N/A,TRUE,"BT M200 da 10x20"}</definedName>
    <definedName name="PHUONG" localSheetId="23" hidden="1">{#N/A,#N/A,TRUE,"BT M200 da 10x20"}</definedName>
    <definedName name="PHUONG" localSheetId="21" hidden="1">{#N/A,#N/A,TRUE,"BT M200 da 10x20"}</definedName>
    <definedName name="PHUONG" localSheetId="20" hidden="1">{#N/A,#N/A,TRUE,"BT M200 da 10x20"}</definedName>
    <definedName name="PHUONG" localSheetId="0" hidden="1">{#N/A,#N/A,TRUE,"BT M200 da 10x20"}</definedName>
    <definedName name="PHUONG" hidden="1">{#N/A,#N/A,TRUE,"BT M200 da 10x20"}</definedName>
    <definedName name="pis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tch" localSheetId="18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KTN." localSheetId="18" hidden="1">{"'Sheet1'!$L$16"}</definedName>
    <definedName name="PKTN." localSheetId="23" hidden="1">{"'Sheet1'!$L$16"}</definedName>
    <definedName name="PKTN." localSheetId="21" hidden="1">{"'Sheet1'!$L$16"}</definedName>
    <definedName name="PKTN." localSheetId="20" hidden="1">{"'Sheet1'!$L$16"}</definedName>
    <definedName name="PKTN." localSheetId="0" hidden="1">{"'Sheet1'!$L$16"}</definedName>
    <definedName name="PKTN." hidden="1">{"'Sheet1'!$L$16"}</definedName>
    <definedName name="PKTNN" localSheetId="18" hidden="1">{"'Sheet1'!$L$16"}</definedName>
    <definedName name="PKTNN" localSheetId="23" hidden="1">{"'Sheet1'!$L$16"}</definedName>
    <definedName name="PKTNN" localSheetId="21" hidden="1">{"'Sheet1'!$L$16"}</definedName>
    <definedName name="PKTNN" localSheetId="20" hidden="1">{"'Sheet1'!$L$16"}</definedName>
    <definedName name="PKTNN" localSheetId="0" hidden="1">{"'Sheet1'!$L$16"}</definedName>
    <definedName name="PKTNN" hidden="1">{"'Sheet1'!$L$16"}</definedName>
    <definedName name="pl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localSheetId="18" hidden="1">{#N/A,#N/A,FALSE,"CCTV"}</definedName>
    <definedName name="PLK" hidden="1">{#N/A,#N/A,FALSE,"CCTV"}</definedName>
    <definedName name="PO" hidden="1">#REF!</definedName>
    <definedName name="PONL" localSheetId="18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n" localSheetId="18" hidden="1">{"'Sheet1'!$L$16"}</definedName>
    <definedName name="Popn" hidden="1">{"'Sheet1'!$L$16"}</definedName>
    <definedName name="PP" localSheetId="18" hidden="1">{"'Model'!$A$1:$N$53"}</definedName>
    <definedName name="PP" localSheetId="0" hidden="1">{"'매출계획'!$D$2"}</definedName>
    <definedName name="PP" hidden="1">{"'Model'!$A$1:$N$53"}</definedName>
    <definedName name="PPLSP403" localSheetId="18" hidden="1">{"'Sheet1'!$L$16"}</definedName>
    <definedName name="PPLSP403" hidden="1">{"'Sheet1'!$L$16"}</definedName>
    <definedName name="ppp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localSheetId="18" hidden="1">{"'매출계획'!$D$2"}</definedName>
    <definedName name="PPPP" hidden="1">{"'매출계획'!$D$2"}</definedName>
    <definedName name="ppppppppppppppp" localSheetId="18" hidden="1">{#N/A,#N/A,FALSE,"Sheet1"}</definedName>
    <definedName name="ppppppppppppppp" hidden="1">{#N/A,#N/A,FALSE,"Sheet1"}</definedName>
    <definedName name="pppppppppppppppppppppppp" localSheetId="18" hidden="1">{#N/A,#N/A,FALSE,"Sheet1"}</definedName>
    <definedName name="pppppppppppppppppppppppp" hidden="1">{#N/A,#N/A,FALSE,"Sheet1"}</definedName>
    <definedName name="pppppppppppppppppppppppppppppppppp" localSheetId="18" hidden="1">{"'Feb 99'!$A$1:$G$30"}</definedName>
    <definedName name="pppppppppppppppppppppppppppppppppp" hidden="1">{"'Feb 99'!$A$1:$G$30"}</definedName>
    <definedName name="Prepayments" localSheetId="18" hidden="1">{"'Sheet1'!$L$16"}</definedName>
    <definedName name="Prepayments" hidden="1">{"'Sheet1'!$L$16"}</definedName>
    <definedName name="Pres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[25]Index!$A$30</definedName>
    <definedName name="pro" localSheetId="18" hidden="1">{"revable",#N/A,FALSE,"REVABLE"}</definedName>
    <definedName name="pro" hidden="1">{"revable",#N/A,FALSE,"REVABLE"}</definedName>
    <definedName name="Process">#REF!</definedName>
    <definedName name="ProdForm" hidden="1">#REF!</definedName>
    <definedName name="Product" hidden="1">#REF!</definedName>
    <definedName name="prolinks_3778d6323f894a8f971c957d55cde273" hidden="1">#REF!</definedName>
    <definedName name="prolinks_6e0a8d1a68ad47a7b8d317bf6622980f" hidden="1">#REF!</definedName>
    <definedName name="prolinks_6e699c4ed9124ce7acd9be4eeb206984" hidden="1">#REF!</definedName>
    <definedName name="prolinks_745b4aee80f44ea3a0ec6374896d845f" hidden="1">#REF!</definedName>
    <definedName name="prolinks_9fe00f4d9e5e425f835b1b55a3d853c6" hidden="1">#REF!</definedName>
    <definedName name="prolinks_eefcaca52667481a9a1173a148bf2466" hidden="1">#REF!</definedName>
    <definedName name="prolinks_ffdd085da0de44b891084f32dde300ee" hidden="1">#REF!</definedName>
    <definedName name="pt" localSheetId="18" hidden="1">{#N/A,#N/A,FALSE,"CCTV"}</definedName>
    <definedName name="pt" hidden="1">{#N/A,#N/A,FALSE,"CCTV"}</definedName>
    <definedName name="ptdm1" localSheetId="18" hidden="1">{#N/A,#N/A,FALSE,"CCTV"}</definedName>
    <definedName name="ptdm1" hidden="1">{#N/A,#N/A,FALSE,"CCTV"}</definedName>
    <definedName name="ptich" localSheetId="18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UserID" hidden="1">"MAYERX"</definedName>
    <definedName name="PUTA" localSheetId="18" hidden="1">{"revsale",#N/A,FALSE,"REV-ยุพดี"}</definedName>
    <definedName name="PUTA" localSheetId="0" hidden="1">{"revsale",#N/A,FALSE,"REV-ยุพดี"}</definedName>
    <definedName name="PUTA" hidden="1">{"revsale",#N/A,FALSE,"REV-ยุพดี"}</definedName>
    <definedName name="PV140_All">#REF!</definedName>
    <definedName name="PV140_BP">#REF!</definedName>
    <definedName name="PV140_ColRef">#REF!</definedName>
    <definedName name="PV140_FC">#REF!</definedName>
    <definedName name="PV140_NS">#REF!</definedName>
    <definedName name="PV140_RowRef">#REF!</definedName>
    <definedName name="PV140_RowRef_Extra">#REF!</definedName>
    <definedName name="PV140_RowRef_Extra_2">#REF!</definedName>
    <definedName name="PV140_SAP">#REF!</definedName>
    <definedName name="PV140_TH2020">#REF!</definedName>
    <definedName name="PV140_Total_FC">#REF!</definedName>
    <definedName name="PV140_Total_NS">#REF!</definedName>
    <definedName name="PV140_Value">#REF!</definedName>
    <definedName name="PV140_ValueExtra">#REF!</definedName>
    <definedName name="PVDep_ColRef">#REF!</definedName>
    <definedName name="PVDep_RowRef">#REF!</definedName>
    <definedName name="PVDep_RowRef_1">#REF!</definedName>
    <definedName name="PVDep_RowRef_2">#REF!</definedName>
    <definedName name="PVDep_Total_FC">#REF!</definedName>
    <definedName name="PVDep_Total_NS">#REF!</definedName>
    <definedName name="PVDep_Value_All">#REF!</definedName>
    <definedName name="PVDep_Value_NS">#REF!</definedName>
    <definedName name="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" localSheetId="0" hidden="1">{#N/A,#N/A,FALSE,"Assessment";#N/A,#N/A,FALSE,"Staffing";#N/A,#N/A,FALSE,"Hires";#N/A,#N/A,FALSE,"Assumptions"}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localSheetId="18" hidden="1">{"PAGE 1",#N/A,FALSE,"หน้า 1,2,3";"PAGE 2",#N/A,FALSE,"หน้า 1,2,3";"PAGE 3",#N/A,FALSE,"หน้า 1,2,3"}</definedName>
    <definedName name="q1_05" localSheetId="0" hidden="1">{"PAGE 1",#N/A,FALSE,"หน้า 1,2,3";"PAGE 2",#N/A,FALSE,"หน้า 1,2,3";"PAGE 3",#N/A,FALSE,"หน้า 1,2,3"}</definedName>
    <definedName name="q1_05" hidden="1">{"PAGE 1",#N/A,FALSE,"หน้า 1,2,3";"PAGE 2",#N/A,FALSE,"หน้า 1,2,3";"PAGE 3",#N/A,FALSE,"หน้า 1,2,3"}</definedName>
    <definedName name="Q2_05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localSheetId="18" hidden="1">{"PAGE 1",#N/A,FALSE,"หน้า 1,2,3";"PAGE 2",#N/A,FALSE,"หน้า 1,2,3";"PAGE 3",#N/A,FALSE,"หน้า 1,2,3"}</definedName>
    <definedName name="Q3_05" localSheetId="0" hidden="1">{"PAGE 1",#N/A,FALSE,"หน้า 1,2,3";"PAGE 2",#N/A,FALSE,"หน้า 1,2,3";"PAGE 3",#N/A,FALSE,"หน้า 1,2,3"}</definedName>
    <definedName name="Q3_05" hidden="1">{"PAGE 1",#N/A,FALSE,"หน้า 1,2,3";"PAGE 2",#N/A,FALSE,"หน้า 1,2,3";"PAGE 3",#N/A,FALSE,"หน้า 1,2,3"}</definedName>
    <definedName name="qa" localSheetId="18" hidden="1">{#N/A,#N/A,FALSE,"Monthly Rate By Activity";#N/A,#N/A,FALSE,"Hourly Rate By Activity";#N/A,#N/A,FALSE,"Monthly Rate By Custom Resource";#N/A,#N/A,FALSE,"Hourly Rate By Custom Resource"}</definedName>
    <definedName name="qa" localSheetId="0" hidden="1">{#N/A,#N/A,FALSE,"Monthly Rate By Activity";#N/A,#N/A,FALSE,"Hourly Rate By Activity";#N/A,#N/A,FALSE,"Monthly Rate By Custom Resource";#N/A,#N/A,FALSE,"Hourly Rate By Custom Resource"}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localSheetId="18" hidden="1">{"'Sheet1'!$L$16"}</definedName>
    <definedName name="qeqe" localSheetId="23" hidden="1">{"'Sheet1'!$L$16"}</definedName>
    <definedName name="qeqe" localSheetId="21" hidden="1">{"'Sheet1'!$L$16"}</definedName>
    <definedName name="qeqe" localSheetId="20" hidden="1">{"'Sheet1'!$L$16"}</definedName>
    <definedName name="qeqe" localSheetId="0" hidden="1">{"'Sheet1'!$L$16"}</definedName>
    <definedName name="qeqe" hidden="1">{"'Sheet1'!$L$16"}</definedName>
    <definedName name="qeqweq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localSheetId="18" hidden="1">{"'Sheet1'!$L$16"}</definedName>
    <definedName name="qẽrwdsfdfwfwdfw" hidden="1">{"'Sheet1'!$L$16"}</definedName>
    <definedName name="qetqwt3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localSheetId="18" hidden="1">{#N/A,#N/A,FALSE,"Gesamt";#N/A,#N/A,FALSE,"Ree KG";#N/A,#N/A,FALSE,"Ree Inter";#N/A,#N/A,FALSE,"BTM";#N/A,#N/A,FALSE,"GmbH";#N/A,#N/A,FALSE,"Sonstige"}</definedName>
    <definedName name="qewqeqw" hidden="1">{#N/A,#N/A,FALSE,"Gesamt";#N/A,#N/A,FALSE,"Ree KG";#N/A,#N/A,FALSE,"Ree Inter";#N/A,#N/A,FALSE,"BTM";#N/A,#N/A,FALSE,"GmbH";#N/A,#N/A,FALSE,"Sonstige"}</definedName>
    <definedName name="qq" localSheetId="18" hidden="1">{"'ตัวอย่าง'!$A$1:$O$21"}</definedName>
    <definedName name="qq" localSheetId="0" hidden="1">{"balance",#N/A,FALSE,"BALANCE"}</definedName>
    <definedName name="qq" hidden="1">{"'ตัวอย่าง'!$A$1:$O$21"}</definedName>
    <definedName name="qqq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qqqq" hidden="1">#REF!</definedName>
    <definedName name="QQQQQ" hidden="1">#REF!</definedName>
    <definedName name="qqqqqq" hidden="1">#REF!</definedName>
    <definedName name="qqqqqqqq" hidden="1">#REF!</definedName>
    <definedName name="qqqqqqqqqq" hidden="1">71</definedName>
    <definedName name="qqqqqqqqqqqq" hidden="1">#REF!</definedName>
    <definedName name="qqqqqqqqqqqqqqq" hidden="1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qqqqqqqqqqqqqqqqqqqqqqô" localSheetId="18" hidden="1">{"'Sheet1'!$L$16"}</definedName>
    <definedName name="qqqqqqqqqqqqqqqqqqqqqqqqô" hidden="1">{"'Sheet1'!$L$16"}</definedName>
    <definedName name="qrtq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localSheetId="18" hidden="1">{"PRINT_EST",#N/A,FALSE,"ESTMON"}</definedName>
    <definedName name="qs" hidden="1">{"PRINT_EST",#N/A,FALSE,"ESTMON"}</definedName>
    <definedName name="qt243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localSheetId="18" hidden="1">{"'Sheet1'!$L$16"}</definedName>
    <definedName name="quoctuyen" hidden="1">{"'Sheet1'!$L$16"}</definedName>
    <definedName name="qwe" localSheetId="18" hidden="1">{#N/A,#N/A,FALSE,"SPLIT1";#N/A,#N/A,FALSE,"SPLIT2";#N/A,#N/A,FALSE,"TELEX";#N/A,#N/A,FALSE,"TELEX"}</definedName>
    <definedName name="qwe" hidden="1">{#N/A,#N/A,FALSE,"SPLIT1";#N/A,#N/A,FALSE,"SPLIT2";#N/A,#N/A,FALSE,"TELEX";#N/A,#N/A,FALSE,"TELEX"}</definedName>
    <definedName name="qweqwerqwer" hidden="1">#REF!</definedName>
    <definedName name="qwer" hidden="1">#REF!</definedName>
    <definedName name="qwewret" hidden="1">#REF!</definedName>
    <definedName name="qwewrtetyrd" hidden="1">#REF!</definedName>
    <definedName name="qwqwwqwq" localSheetId="18" hidden="1">{#N/A,#N/A,TRUE,"BT M200 da 10x20"}</definedName>
    <definedName name="qwqwwqwq" hidden="1">{#N/A,#N/A,TRUE,"BT M200 da 10x20"}</definedName>
    <definedName name="ram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localSheetId="18" hidden="1">{#N/A,#N/A,FALSE,"CCTV"}</definedName>
    <definedName name="rarewt" hidden="1">{#N/A,#N/A,FALSE,"CCTV"}</definedName>
    <definedName name="RCArea" hidden="1">#REF!</definedName>
    <definedName name="rd" localSheetId="18" hidden="1">{"'ตัวอย่าง'!$A$1:$O$21"}</definedName>
    <definedName name="rd" localSheetId="0" hidden="1">{"'ตัวอย่าง'!$A$1:$O$21"}</definedName>
    <definedName name="rd" hidden="1">{"'ตัวอย่าง'!$A$1:$O$21"}</definedName>
    <definedName name="RDF" localSheetId="18" hidden="1">{"'매출계획'!$D$2"}</definedName>
    <definedName name="RDF" hidden="1">{"'매출계획'!$D$2"}</definedName>
    <definedName name="re" localSheetId="18" hidden="1">{"'Sheet1'!$L$16"}</definedName>
    <definedName name="re" hidden="1">{"'Sheet1'!$L$16"}</definedName>
    <definedName name="Reasonablenes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localSheetId="18" hidden="1">{"Jan-June",#N/A,FALSE,"Sheet4";"Jul-Dec",#N/A,FALSE,"Sheet4"}</definedName>
    <definedName name="reconcile.in" hidden="1">{"Jan-June",#N/A,FALSE,"Sheet4";"Jul-Dec",#N/A,FALSE,"Sheet4"}</definedName>
    <definedName name="re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localSheetId="18" hidden="1">{"hilight2",#N/A,FALSE,"HILIGHT2"}</definedName>
    <definedName name="ref" hidden="1">{"hilight2",#N/A,FALSE,"HILIGHT2"}</definedName>
    <definedName name="refg" localSheetId="18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povh" localSheetId="18" hidden="1">{"'Bidfailed'!$D$2:$AB$14","'Bidfailed'!$D$4:$AB$4"}</definedName>
    <definedName name="repovh" hidden="1">{"'Bidfailed'!$D$2:$AB$14","'Bidfailed'!$D$4:$AB$4"}</definedName>
    <definedName name="rer" localSheetId="18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ẻr34rwer" localSheetId="18" hidden="1">{"HK PR",#N/A,FALSE,"HK";"SUMMARY",#N/A,FALSE,"PAYROLL";"SUMMARY",#N/A,FALSE,"PAYROLL";"HK PR",#N/A,FALSE,"HK"}</definedName>
    <definedName name="rẻr34rwer" hidden="1">{"HK PR",#N/A,FALSE,"HK";"SUMMARY",#N/A,FALSE,"PAYROLL";"SUMMARY",#N/A,FALSE,"PAYROLL";"HK PR",#N/A,FALSE,"HK"}</definedName>
    <definedName name="re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localSheetId="18" hidden="1">{#N/A,#N/A,FALSE,"CCTV"}</definedName>
    <definedName name="rety" hidden="1">{#N/A,#N/A,FALSE,"CCTV"}</definedName>
    <definedName name="REYT" localSheetId="18" hidden="1">{#N/A,#N/A,FALSE,"CCTV"}</definedName>
    <definedName name="REYT" hidden="1">{#N/A,#N/A,FALSE,"CCTV"}</definedName>
    <definedName name="RF" localSheetId="18" hidden="1">{#N/A,#N/A,FALSE,"CCTV"}</definedName>
    <definedName name="RF" hidden="1">{#N/A,#N/A,FALSE,"CCTV"}</definedName>
    <definedName name="rfju" localSheetId="18" hidden="1">{"'Sheet1'!$L$16"}</definedName>
    <definedName name="rfju" localSheetId="23" hidden="1">{"'Sheet1'!$L$16"}</definedName>
    <definedName name="rfju" localSheetId="21" hidden="1">{"'Sheet1'!$L$16"}</definedName>
    <definedName name="rfju" localSheetId="20" hidden="1">{"'Sheet1'!$L$16"}</definedName>
    <definedName name="rfju" localSheetId="0" hidden="1">{"'Sheet1'!$L$16"}</definedName>
    <definedName name="rfju" hidden="1">{"'Sheet1'!$L$16"}</definedName>
    <definedName name="RGD" localSheetId="18" hidden="1">{#N/A,#N/A,FALSE,"CCTV"}</definedName>
    <definedName name="RGD" hidden="1">{#N/A,#N/A,FALSE,"CCTV"}</definedName>
    <definedName name="rgf4r5345" localSheetId="18" hidden="1">Sales #REF!</definedName>
    <definedName name="rgf4r5345" hidden="1">Sales #REF!</definedName>
    <definedName name="rgff" localSheetId="18" hidden="1">{"lev2ytd",#N/A,FALSE,"2_LEVYTD"}</definedName>
    <definedName name="rgff" hidden="1">{"lev2ytd",#N/A,FALSE,"2_LEVYTD"}</definedName>
    <definedName name="rgr" localSheetId="18" hidden="1">{"income",#N/A,FALSE,"INCOME"}</definedName>
    <definedName name="rgr" hidden="1">{"income",#N/A,FALSE,"INCOME"}</definedName>
    <definedName name="rg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localSheetId="18" hidden="1">{"'Sheet1'!$L$16"}</definedName>
    <definedName name="rgwgyh" hidden="1">{"'Sheet1'!$L$16"}</definedName>
    <definedName name="RH" localSheetId="18" hidden="1">{"'매출계획'!$D$2"}</definedName>
    <definedName name="RH" hidden="1">{"'매출계획'!$D$2"}</definedName>
    <definedName name="rhtr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localSheetId="18" hidden="1">{"'Sheet1'!$L$16"}</definedName>
    <definedName name="RI" hidden="1">{"'Sheet1'!$L$16"}</definedName>
    <definedName name="RJE" localSheetId="18" hidden="1">{#N/A,#N/A,FALSE,"Sheet1"}</definedName>
    <definedName name="RJE" hidden="1">{#N/A,#N/A,FALSE,"Sheet1"}</definedName>
    <definedName name="rkd" localSheetId="18" hidden="1">{#N/A,#N/A,FALSE,"CCTV"}</definedName>
    <definedName name="rkd" hidden="1">{#N/A,#N/A,FALSE,"CCTV"}</definedName>
    <definedName name="RKSK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localSheetId="18" hidden="1">{"'Bidfailed'!$D$2:$AB$14","'Bidfailed'!$D$4:$AB$4"}</definedName>
    <definedName name="rol" hidden="1">{"'Bidfailed'!$D$2:$AB$14","'Bidfailed'!$D$4:$AB$4"}</definedName>
    <definedName name="RPTs1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hidden="1">#REF!</definedName>
    <definedName name="rr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localSheetId="18" hidden="1">{"Tages_D",#N/A,FALSE,"Tagesbericht";"Tages_PL",#N/A,FALSE,"Tagesbericht"}</definedName>
    <definedName name="rrehe" hidden="1">{"Tages_D",#N/A,FALSE,"Tagesbericht";"Tages_PL",#N/A,FALSE,"Tagesbericht"}</definedName>
    <definedName name="rrer" localSheetId="18" hidden="1">{"'ตัวอย่าง'!$A$1:$O$21"}</definedName>
    <definedName name="rrer" localSheetId="0" hidden="1">{"'ตัวอย่าง'!$A$1:$O$21"}</definedName>
    <definedName name="rrer" hidden="1">{"'ตัวอย่าง'!$A$1:$O$21"}</definedName>
    <definedName name="rrrr" localSheetId="18" hidden="1">{"'ตัวอย่าง'!$A$1:$O$21"}</definedName>
    <definedName name="rrrr" localSheetId="0" hidden="1">{"'ตัวอย่าง'!$A$1:$O$21"}</definedName>
    <definedName name="rrrr" hidden="1">{"'ตัวอย่าง'!$A$1:$O$21"}</definedName>
    <definedName name="rrrr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localSheetId="18" hidden="1">{#N/A,#N/A,FALSE,"CCTV"}</definedName>
    <definedName name="rsdtusryu" hidden="1">{#N/A,#N/A,FALSE,"CCTV"}</definedName>
    <definedName name="rt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localSheetId="18" hidden="1">{#N/A,#N/A,FALSE,"sum";#N/A,#N/A,FALSE,"MARTV";#N/A,#N/A,FALSE,"APRTV"}</definedName>
    <definedName name="rter" localSheetId="23" hidden="1">{#N/A,#N/A,FALSE,"sum";#N/A,#N/A,FALSE,"MARTV";#N/A,#N/A,FALSE,"APRTV"}</definedName>
    <definedName name="rter" localSheetId="21" hidden="1">{#N/A,#N/A,FALSE,"sum";#N/A,#N/A,FALSE,"MARTV";#N/A,#N/A,FALSE,"APRTV"}</definedName>
    <definedName name="rter" localSheetId="20" hidden="1">{#N/A,#N/A,FALSE,"sum";#N/A,#N/A,FALSE,"MARTV";#N/A,#N/A,FALSE,"APRTV"}</definedName>
    <definedName name="rter" localSheetId="0" hidden="1">{#N/A,#N/A,FALSE,"sum";#N/A,#N/A,FALSE,"MARTV";#N/A,#N/A,FALSE,"APRTV"}</definedName>
    <definedName name="rter" hidden="1">{#N/A,#N/A,FALSE,"sum";#N/A,#N/A,FALSE,"MARTV";#N/A,#N/A,FALSE,"APRTV"}</definedName>
    <definedName name="rtht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localSheetId="18" hidden="1">{"Tages_D",#N/A,FALSE,"Tagesbericht";"Tages_PL",#N/A,FALSE,"Tagesbericht"}</definedName>
    <definedName name="rtrr" hidden="1">{"Tages_D",#N/A,FALSE,"Tagesbericht";"Tages_PL",#N/A,FALSE,"Tagesbericht"}</definedName>
    <definedName name="rtuetu" localSheetId="18" hidden="1">{#N/A,#N/A,FALSE,"CCTV"}</definedName>
    <definedName name="rtuetu" hidden="1">{#N/A,#N/A,FALSE,"CCTV"}</definedName>
    <definedName name="rtyweryer" localSheetId="18" hidden="1">{"index",#N/A,FALSE,"INDEX"}</definedName>
    <definedName name="rtyweryer" hidden="1">{"index",#N/A,FALSE,"INDEX"}</definedName>
    <definedName name="rtzer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localSheetId="18" hidden="1">{"'Sheet1'!$L$16"}</definedName>
    <definedName name="ru" localSheetId="23" hidden="1">{"'Sheet1'!$L$16"}</definedName>
    <definedName name="ru" localSheetId="21" hidden="1">{"'Sheet1'!$L$16"}</definedName>
    <definedName name="ru" localSheetId="20" hidden="1">{"'Sheet1'!$L$16"}</definedName>
    <definedName name="ru" localSheetId="0" hidden="1">{"'Sheet1'!$L$16"}</definedName>
    <definedName name="ru" hidden="1">{"'Sheet1'!$L$16"}</definedName>
    <definedName name="rung" hidden="1">"sci"</definedName>
    <definedName name="rwtsz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localSheetId="18" hidden="1">{#N/A,#N/A,FALSE,"CCTV"}</definedName>
    <definedName name="rwuswrtu" hidden="1">{#N/A,#N/A,FALSE,"CCTV"}</definedName>
    <definedName name="rwwrrww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localSheetId="18" hidden="1">{#N/A,#N/A,FALSE,"CCTV"}</definedName>
    <definedName name="rwyswy" hidden="1">{#N/A,#N/A,FALSE,"CCTV"}</definedName>
    <definedName name="ry" localSheetId="18" hidden="1">{"hilight1",#N/A,FALSE,"HILIGHT1"}</definedName>
    <definedName name="ry" hidden="1">{"hilight1",#N/A,FALSE,"HILIGHT1"}</definedName>
    <definedName name="ryswty" localSheetId="18" hidden="1">{#N/A,#N/A,FALSE,"CCTV"}</definedName>
    <definedName name="ryswty" hidden="1">{#N/A,#N/A,FALSE,"CCTV"}</definedName>
    <definedName name="rytiryi" localSheetId="18" hidden="1">{#N/A,#N/A,FALSE,"CCTV"}</definedName>
    <definedName name="rytiryi" hidden="1">{#N/A,#N/A,FALSE,"CCTV"}</definedName>
    <definedName name="S" localSheetId="18" hidden="1">{"'Sheet1'!$L$16"}</definedName>
    <definedName name="S" localSheetId="0" hidden="1">{"'Sheet1'!$L$16"}</definedName>
    <definedName name="S" hidden="1">{"'Sheet1'!$L$16"}</definedName>
    <definedName name="s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localSheetId="18" hidden="1">{"Teacher",#N/A,FALSE,"Summary";"Teacher",#N/A,FALSE,"Assumptions";"Teacher",#N/A,FALSE,"Buildup";"Teacher",#N/A,FALSE,"Financials";"Teacher",#N/A,FALSE,"Debt &amp; Other"}</definedName>
    <definedName name="sá" hidden="1">{"Teacher",#N/A,FALSE,"Summary";"Teacher",#N/A,FALSE,"Assumptions";"Teacher",#N/A,FALSE,"Buildup";"Teacher",#N/A,FALSE,"Financials";"Teacher",#N/A,FALSE,"Debt &amp; Other"}</definedName>
    <definedName name="sa0" localSheetId="18" hidden="1">{"'Sheet1'!$L$16"}</definedName>
    <definedName name="sa0" hidden="1">{"'Sheet1'!$L$16"}</definedName>
    <definedName name="sacas" localSheetId="18" hidden="1">{"'Bidfailed'!$D$2:$AB$14","'Bidfailed'!$D$4:$AB$4"}</definedName>
    <definedName name="sacas" hidden="1">{"'Bidfailed'!$D$2:$AB$14","'Bidfailed'!$D$4:$AB$4"}</definedName>
    <definedName name="sad" localSheetId="18" hidden="1">{0}</definedName>
    <definedName name="sad" localSheetId="23" hidden="1">{0}</definedName>
    <definedName name="sad" localSheetId="21" hidden="1">{0}</definedName>
    <definedName name="sad" localSheetId="20" hidden="1">{0}</definedName>
    <definedName name="sad" localSheetId="0" hidden="1">{0}</definedName>
    <definedName name="sad" hidden="1">{0}</definedName>
    <definedName name="sadasdsad" hidden="1">#REF!</definedName>
    <definedName name="sadf" localSheetId="18" hidden="1">{"hilight1",#N/A,FALSE,"HILIGHT1"}</definedName>
    <definedName name="sadf" hidden="1">{"hilight1",#N/A,FALSE,"HILIGHT1"}</definedName>
    <definedName name="sadfd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localSheetId="18" hidden="1">{#N/A,#N/A,FALSE,"CCTV"}</definedName>
    <definedName name="saf" hidden="1">{#N/A,#N/A,FALSE,"CCTV"}</definedName>
    <definedName name="SALES_TAX">#REF!</definedName>
    <definedName name="SANG" localSheetId="18" hidden="1">{#N/A,#N/A,FALSE,"sum";#N/A,#N/A,FALSE,"MARTV";#N/A,#N/A,FALSE,"APRTV"}</definedName>
    <definedName name="SANG" localSheetId="23" hidden="1">{#N/A,#N/A,FALSE,"sum";#N/A,#N/A,FALSE,"MARTV";#N/A,#N/A,FALSE,"APRTV"}</definedName>
    <definedName name="SANG" localSheetId="21" hidden="1">{#N/A,#N/A,FALSE,"sum";#N/A,#N/A,FALSE,"MARTV";#N/A,#N/A,FALSE,"APRTV"}</definedName>
    <definedName name="SANG" localSheetId="20" hidden="1">{#N/A,#N/A,FALSE,"sum";#N/A,#N/A,FALSE,"MARTV";#N/A,#N/A,FALSE,"APRTV"}</definedName>
    <definedName name="SANG" localSheetId="0" hidden="1">{#N/A,#N/A,FALSE,"sum";#N/A,#N/A,FALSE,"MARTV";#N/A,#N/A,FALSE,"APRTV"}</definedName>
    <definedName name="SANG" hidden="1">{#N/A,#N/A,FALSE,"sum";#N/A,#N/A,FALSE,"MARTV";#N/A,#N/A,FALSE,"APRTV"}</definedName>
    <definedName name="saø" localSheetId="18" hidden="1">{"'Sheet1'!$L$16"}</definedName>
    <definedName name="saø" hidden="1">{"'Sheet1'!$L$16"}</definedName>
    <definedName name="sáoaosao" localSheetId="18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localSheetId="23" hidden="1">3</definedName>
    <definedName name="SAPBEXrevision" localSheetId="21" hidden="1">3</definedName>
    <definedName name="SAPBEXrevision" localSheetId="20" hidden="1">3</definedName>
    <definedName name="SAPBEXrevision" localSheetId="0" hidden="1">2</definedName>
    <definedName name="SAPBEXrevision" hidden="1">2</definedName>
    <definedName name="SAPBEXsysID" localSheetId="23" hidden="1">"EPB"</definedName>
    <definedName name="SAPBEXsysID" localSheetId="21" hidden="1">"EPB"</definedName>
    <definedName name="SAPBEXsysID" localSheetId="20" hidden="1">"EPB"</definedName>
    <definedName name="SAPBEXsysID" localSheetId="0" hidden="1">"BWP"</definedName>
    <definedName name="SAPBEXsysID" hidden="1">"BWP"</definedName>
    <definedName name="SAPBEXwbID" localSheetId="23" hidden="1">"3UK6UXLZHQ3KXE93XFRP3AZAH"</definedName>
    <definedName name="SAPBEXwbID" localSheetId="21" hidden="1">"3UK6UXLZHQ3KXE93XFRP3AZAH"</definedName>
    <definedName name="SAPBEXwbID" localSheetId="20" hidden="1">"3UK6UXLZHQ3KXE93XFRP3AZAH"</definedName>
    <definedName name="SAPBEXwbID" localSheetId="0" hidden="1">"45TSOG149EJ5R0N9HDKCO6BXG"</definedName>
    <definedName name="SAPBEXwbID" hidden="1">"45TSOG149EJ5R0N9HDKCO6BXG"</definedName>
    <definedName name="SAPFuncF4Help" localSheetId="18" hidden="1">Main.SAPF4Help()</definedName>
    <definedName name="SAPFuncF4Help" hidden="1">Main.SAPF4Help()</definedName>
    <definedName name="sas" localSheetId="18" hidden="1">{"'ตัวอย่าง'!$A$1:$O$21"}</definedName>
    <definedName name="sas" localSheetId="0" hidden="1">{"'ตัวอย่าง'!$A$1:$O$21"}</definedName>
    <definedName name="sas" hidden="1">{"'ตัวอย่าง'!$A$1:$O$21"}</definedName>
    <definedName name="SC" localSheetId="18" hidden="1">{"'Sheet1'!$L$16"}</definedName>
    <definedName name="SC" localSheetId="23" hidden="1">{"'Sheet1'!$L$16"}</definedName>
    <definedName name="SC" localSheetId="21" hidden="1">{"'Sheet1'!$L$16"}</definedName>
    <definedName name="SC" localSheetId="20" hidden="1">{"'Sheet1'!$L$16"}</definedName>
    <definedName name="sc" localSheetId="0" hidden="1">{"index",#N/A,FALSE,"INDEX"}</definedName>
    <definedName name="SC" hidden="1">{"'Sheet1'!$L$16"}</definedName>
    <definedName name="SCMT" localSheetId="18" hidden="1">{"'connew '!$C$40:$C$60"}</definedName>
    <definedName name="SCMT" hidden="1">{"'connew '!$C$40:$C$60"}</definedName>
    <definedName name="sd" localSheetId="18" hidden="1">{"cashflow",#N/A,FALSE,"CASHFLOW "}</definedName>
    <definedName name="s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" hidden="1">{"cashflow",#N/A,FALSE,"CASHFLOW "}</definedName>
    <definedName name="SD_ColRef_SLB">#REF!</definedName>
    <definedName name="SD_ColRefExtra_SLB">#REF!</definedName>
    <definedName name="SD_DT_GDT_TT2020">#REF!</definedName>
    <definedName name="SD_DT_Other">#REF!</definedName>
    <definedName name="SD_Period_DB">#REF!</definedName>
    <definedName name="SD_Period_NS">#REF!</definedName>
    <definedName name="SD_Period_TT">#REF!</definedName>
    <definedName name="SD_Period_TT2020">#REF!</definedName>
    <definedName name="SD_RowRef_DT">#REF!</definedName>
    <definedName name="SD_RowRef_SLB">#REF!</definedName>
    <definedName name="SD_RowRef_SX">#REF!</definedName>
    <definedName name="SD_SLB_GDT_DB">#REF!</definedName>
    <definedName name="SD_SLB_GDT_NS">#REF!</definedName>
    <definedName name="SD_SLB_GDT_TT">#REF!</definedName>
    <definedName name="SD_SLB_GDT_TT2020">#REF!</definedName>
    <definedName name="SD_SLSX_GDT_DB">#REF!</definedName>
    <definedName name="SD_SLSX_GDT_NS">#REF!</definedName>
    <definedName name="SD_SLSX_GDT_TT">#REF!</definedName>
    <definedName name="SD_SLSX_GDT_TT2020">#REF!</definedName>
    <definedName name="SD_SLSX_HHL">#REF!</definedName>
    <definedName name="SD_SLSX_HHL_DB">#REF!</definedName>
    <definedName name="SD_SLSX_HHL_NS">#REF!</definedName>
    <definedName name="SD_SLSX_HHL_TT">#REF!</definedName>
    <definedName name="SD_SLSX_HHL_TT2019">#REF!</definedName>
    <definedName name="SD_SLSX_HHL_TT2020">#REF!</definedName>
    <definedName name="SD_SLSX_Other">#REF!</definedName>
    <definedName name="SD_SLSX_Other_DB">#REF!</definedName>
    <definedName name="SD_SLSX_Other_NS">#REF!</definedName>
    <definedName name="SD_SLSX_Other_TT">#REF!</definedName>
    <definedName name="SD_SLSX_Other_TT2019">#REF!</definedName>
    <definedName name="SD_SLSX_Other_TT2020">#REF!</definedName>
    <definedName name="SD_Total_DT">#REF!</definedName>
    <definedName name="SD_Total_SLB">#REF!</definedName>
    <definedName name="SD_Total_SLSX">#REF!</definedName>
    <definedName name="SD_TotalDT_DB">#REF!</definedName>
    <definedName name="SD_TotalDT_NS">#REF!</definedName>
    <definedName name="SD_TotalDT_TT">#REF!</definedName>
    <definedName name="SD_TotalSLSX_HHL_DB">#REF!</definedName>
    <definedName name="SD_TotalSLSX_HHL_NS">#REF!</definedName>
    <definedName name="SD_TotalSLSX_HHL_TT">#REF!</definedName>
    <definedName name="SD_TotalSLSX_Other_DB">#REF!</definedName>
    <definedName name="SD_TotalSLSX_Other_NS">#REF!</definedName>
    <definedName name="SD_TotalSLSX_Other_TT">#REF!</definedName>
    <definedName name="SD_Value_SLB">#REF!</definedName>
    <definedName name="SDA" localSheetId="18" hidden="1">{"'매출계획'!$D$2"}</definedName>
    <definedName name="SDA" hidden="1">{"'매출계획'!$D$2"}</definedName>
    <definedName name="sdad" hidden="1">#REF!</definedName>
    <definedName name="sdad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localSheetId="18" hidden="1">{"HK PR",#N/A,FALSE,"HK";"SUMMARY",#N/A,FALSE,"PAYROLL";"SUMMARY",#N/A,FALSE,"PAYROLL";"HK PR",#N/A,FALSE,"HK"}</definedName>
    <definedName name="sdadss" localSheetId="23" hidden="1">{"HK PR",#N/A,FALSE,"HK";"SUMMARY",#N/A,FALSE,"PAYROLL";"SUMMARY",#N/A,FALSE,"PAYROLL";"HK PR",#N/A,FALSE,"HK"}</definedName>
    <definedName name="sdadss" localSheetId="21" hidden="1">{"HK PR",#N/A,FALSE,"HK";"SUMMARY",#N/A,FALSE,"PAYROLL";"SUMMARY",#N/A,FALSE,"PAYROLL";"HK PR",#N/A,FALSE,"HK"}</definedName>
    <definedName name="sdadss" localSheetId="20" hidden="1">{"HK PR",#N/A,FALSE,"HK";"SUMMARY",#N/A,FALSE,"PAYROLL";"SUMMARY",#N/A,FALSE,"PAYROLL";"HK PR",#N/A,FALSE,"HK"}</definedName>
    <definedName name="sdadss" localSheetId="0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a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localSheetId="18" hidden="1">{"revable",#N/A,FALSE,"REVABLE"}</definedName>
    <definedName name="sdasd" hidden="1">{"revable",#N/A,FALSE,"REVABLE"}</definedName>
    <definedName name="sdasdasd" hidden="1">#REF!</definedName>
    <definedName name="sdasdasds" hidden="1">#REF!</definedName>
    <definedName name="sdasfafdf" hidden="1">#REF!</definedName>
    <definedName name="sd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localSheetId="18" hidden="1">{"'ตัวอย่าง'!$A$1:$O$21"}</definedName>
    <definedName name="sdf" localSheetId="0" hidden="1">{"lev2monbt",#N/A,FALSE,"2_levmonB-T"}</definedName>
    <definedName name="sdf" hidden="1">{"'ตัวอย่าง'!$A$1:$O$21"}</definedName>
    <definedName name="sdfa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localSheetId="18" hidden="1">{#N/A,#N/A,FALSE,"SPLIT1";#N/A,#N/A,FALSE,"SPLIT2";#N/A,#N/A,FALSE,"TELEX";#N/A,#N/A,FALSE,"TELEX"}</definedName>
    <definedName name="sdfasdf" hidden="1">{#N/A,#N/A,FALSE,"SPLIT1";#N/A,#N/A,FALSE,"SPLIT2";#N/A,#N/A,FALSE,"TELEX";#N/A,#N/A,FALSE,"TELEX"}</definedName>
    <definedName name="sdfdsgdg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localSheetId="18" hidden="1">{"'Sheet1'!$L$16"}</definedName>
    <definedName name="sdffgd" hidden="1">{"'Sheet1'!$L$16"}</definedName>
    <definedName name="SDFG" localSheetId="18" hidden="1">{"'매출계획'!$D$2"}</definedName>
    <definedName name="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G" hidden="1">{"'매출계획'!$D$2"}</definedName>
    <definedName name="sdfghj" hidden="1">#REF!</definedName>
    <definedName name="sdfghjk" hidden="1">#REF!</definedName>
    <definedName name="sdfghkjl" localSheetId="18" hidden="1">{"sales",#N/A,FALSE,"SALES"}</definedName>
    <definedName name="sdfghkjl" hidden="1">{"sales",#N/A,FALSE,"SALES"}</definedName>
    <definedName name="sdfs" localSheetId="18" hidden="1">{"'Sheet1'!$L$16"}</definedName>
    <definedName name="sdfs" hidden="1">{"'Sheet1'!$L$16"}</definedName>
    <definedName name="sdfw" localSheetId="18" hidden="1">{"'Sheet1'!$L$16"}</definedName>
    <definedName name="sdfw" hidden="1">{"'Sheet1'!$L$16"}</definedName>
    <definedName name="sd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localSheetId="18" hidden="1">{#N/A,#N/A,FALSE,"CCTV"}</definedName>
    <definedName name="SDGHADH" hidden="1">{#N/A,#N/A,FALSE,"CCTV"}</definedName>
    <definedName name="sdgrh" localSheetId="18" hidden="1">{"'Sheet1'!$L$16"}</definedName>
    <definedName name="sdgrh" hidden="1">{"'Sheet1'!$L$16"}</definedName>
    <definedName name="sdjh0et" localSheetId="18" hidden="1">{"'Sheet1'!$L$16"}</definedName>
    <definedName name="sdjh0et" hidden="1">{"'Sheet1'!$L$16"}</definedName>
    <definedName name="sdlfkdklsf" localSheetId="18" hidden="1">{"'Sheet1'!$L$16"}</definedName>
    <definedName name="sdlfkdklsf" hidden="1">{"'Sheet1'!$L$16"}</definedName>
    <definedName name="SDRH" localSheetId="18" hidden="1">{"'매출계획'!$D$2"}</definedName>
    <definedName name="SDRH" hidden="1">{"'매출계획'!$D$2"}</definedName>
    <definedName name="sdrhsdfh" localSheetId="18" hidden="1">{#N/A,#N/A,FALSE,"CCTV"}</definedName>
    <definedName name="sdrhsdfh" hidden="1">{#N/A,#N/A,FALSE,"CCTV"}</definedName>
    <definedName name="sdrjtdfyj" localSheetId="18" hidden="1">{#N/A,#N/A,FALSE,"CCTV"}</definedName>
    <definedName name="sdrjtdfyj" hidden="1">{#N/A,#N/A,FALSE,"CCTV"}</definedName>
    <definedName name="SDSA" localSheetId="18" hidden="1">{"hilight3",#N/A,FALSE,"HILIGHT3"}</definedName>
    <definedName name="SDSA" hidden="1">{"hilight3",#N/A,FALSE,"HILIGHT3"}</definedName>
    <definedName name="sdsd" localSheetId="18" hidden="1">{#N/A,#N/A,FALSE,"CCTV"}</definedName>
    <definedName name="sdsd" hidden="1">{#N/A,#N/A,FALSE,"CCTV"}</definedName>
    <definedName name="sdsdasd" localSheetId="18" hidden="1">{"HK PR",#N/A,FALSE,"HK";"SUMMARY",#N/A,FALSE,"PAYROLL";"SUMMARY",#N/A,FALSE,"PAYROLL";"HK PR",#N/A,FALSE,"HK"}</definedName>
    <definedName name="sdsdasd" localSheetId="23" hidden="1">{"HK PR",#N/A,FALSE,"HK";"SUMMARY",#N/A,FALSE,"PAYROLL";"SUMMARY",#N/A,FALSE,"PAYROLL";"HK PR",#N/A,FALSE,"HK"}</definedName>
    <definedName name="sdsdasd" localSheetId="21" hidden="1">{"HK PR",#N/A,FALSE,"HK";"SUMMARY",#N/A,FALSE,"PAYROLL";"SUMMARY",#N/A,FALSE,"PAYROLL";"HK PR",#N/A,FALSE,"HK"}</definedName>
    <definedName name="sdsdasd" localSheetId="20" hidden="1">{"HK PR",#N/A,FALSE,"HK";"SUMMARY",#N/A,FALSE,"PAYROLL";"SUMMARY",#N/A,FALSE,"PAYROLL";"HK PR",#N/A,FALSE,"HK"}</definedName>
    <definedName name="sdsdasd" localSheetId="0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8" hidden="1">{"HK PR",#N/A,FALSE,"HK";"SUMMARY",#N/A,FALSE,"PAYROLL";"SUMMARY",#N/A,FALSE,"PAYROLL";"HK PR",#N/A,FALSE,"HK"}</definedName>
    <definedName name="sdsds" localSheetId="23" hidden="1">{"HK PR",#N/A,FALSE,"HK";"SUMMARY",#N/A,FALSE,"PAYROLL";"SUMMARY",#N/A,FALSE,"PAYROLL";"HK PR",#N/A,FALSE,"HK"}</definedName>
    <definedName name="sdsds" localSheetId="21" hidden="1">{"HK PR",#N/A,FALSE,"HK";"SUMMARY",#N/A,FALSE,"PAYROLL";"SUMMARY",#N/A,FALSE,"PAYROLL";"HK PR",#N/A,FALSE,"HK"}</definedName>
    <definedName name="sdsds" localSheetId="20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localSheetId="18" hidden="1">{#N/A,#N/A,FALSE,"TAX COMPUTATION";#N/A,#N/A,FALSE,"TAX SCHEDULE";#N/A,#N/A,FALSE,"ADDITIONS";#N/A,#N/A,FALSE,"W &amp; T"}</definedName>
    <definedName name="se" hidden="1">{#N/A,#N/A,FALSE,"TAX COMPUTATION";#N/A,#N/A,FALSE,"TAX SCHEDULE";#N/A,#N/A,FALSE,"ADDITIONS";#N/A,#N/A,FALSE,"W &amp; T"}</definedName>
    <definedName name="SectionCode">#REF!</definedName>
    <definedName name="se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localSheetId="18" hidden="1">{#N/A,#N/A,FALSE,"Gesamt";#N/A,#N/A,FALSE,"Ree KG";#N/A,#N/A,FALSE,"Ree Inter";#N/A,#N/A,FALSE,"BTM";#N/A,#N/A,FALSE,"GmbH";#N/A,#N/A,FALSE,"Sonstige"}</definedName>
    <definedName name="sell" hidden="1">{#N/A,#N/A,FALSE,"Gesamt";#N/A,#N/A,FALSE,"Ree KG";#N/A,#N/A,FALSE,"Ree Inter";#N/A,#N/A,FALSE,"BTM";#N/A,#N/A,FALSE,"GmbH";#N/A,#N/A,FALSE,"Sonstige"}</definedName>
    <definedName name="Sellin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localSheetId="18" hidden="1">{"'Sheet1'!$L$16"}</definedName>
    <definedName name="sen" hidden="1">{"'Sheet1'!$L$16"}</definedName>
    <definedName name="sen_1" localSheetId="18" hidden="1">{"'Sheet1'!$L$16"}</definedName>
    <definedName name="sen_1" hidden="1">{"'Sheet1'!$L$16"}</definedName>
    <definedName name="sencount" hidden="1">1</definedName>
    <definedName name="sep" localSheetId="18" hidden="1">{"level1",#N/A,FALSE,"1_LEV";"LEVEL1",#N/A,FALSE,"1_LEV"}</definedName>
    <definedName name="sep" hidden="1">{"level1",#N/A,FALSE,"1_LEV";"LEVEL1",#N/A,FALSE,"1_LEV"}</definedName>
    <definedName name="SEPFIX01" localSheetId="18" hidden="1">{"income",#N/A,FALSE,"INCOME"}</definedName>
    <definedName name="SEPFIX01" localSheetId="0" hidden="1">{"income",#N/A,FALSE,"INCOME"}</definedName>
    <definedName name="SEPFIX01" hidden="1">{"income",#N/A,FALSE,"INCOME"}</definedName>
    <definedName name="SERG" localSheetId="18" hidden="1">{"'매출계획'!$D$2"}</definedName>
    <definedName name="SERG" hidden="1">{"'매출계획'!$D$2"}</definedName>
    <definedName name="sergewrgtw" localSheetId="18" hidden="1">{"'Sheet1'!$L$16"}</definedName>
    <definedName name="sergewrgtw" hidden="1">{"'Sheet1'!$L$16"}</definedName>
    <definedName name="Settlement_pending_on_account_of_recovery">'[26]pending settlement'!#REF!</definedName>
    <definedName name="SEVE" hidden="1">#REF!</definedName>
    <definedName name="seysety" localSheetId="18" hidden="1">{"'Sheet1'!$L$16"}</definedName>
    <definedName name="seysety" hidden="1">{"'Sheet1'!$L$16"}</definedName>
    <definedName name="sf" localSheetId="18" hidden="1">{"'Sheet1'!$L$16"}</definedName>
    <definedName name="sf" hidden="1">{"'Sheet1'!$L$16"}</definedName>
    <definedName name="sfd" localSheetId="18" hidden="1">{"hilight3",#N/A,FALSE,"HILIGHT3"}</definedName>
    <definedName name="sfd" hidden="1">{"hilight3",#N/A,FALSE,"HILIGHT3"}</definedName>
    <definedName name="sfdf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localSheetId="18" hidden="1">{"'ตัวอย่าง'!$A$1:$O$21"}</definedName>
    <definedName name="sfe" localSheetId="0" hidden="1">{"'ตัวอย่าง'!$A$1:$O$21"}</definedName>
    <definedName name="sfe" hidden="1">{"'ตัวอย่าง'!$A$1:$O$21"}</definedName>
    <definedName name="sff" localSheetId="18" hidden="1">{"'Sheet1'!$L$16"}</definedName>
    <definedName name="sff" hidden="1">{"'Sheet1'!$L$16"}</definedName>
    <definedName name="sf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localSheetId="18" hidden="1">{"'매출계획'!$D$2"}</definedName>
    <definedName name="SFGDF" hidden="1">{"'매출계획'!$D$2"}</definedName>
    <definedName name="sfgrgew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localSheetId="18" hidden="1">{#N/A,#N/A,FALSE,"Gesamt";#N/A,#N/A,FALSE,"Ree KG";#N/A,#N/A,FALSE,"Ree Inter";#N/A,#N/A,FALSE,"BTM";#N/A,#N/A,FALSE,"GmbH";#N/A,#N/A,FALSE,"Sonstige"}</definedName>
    <definedName name="sfr" hidden="1">{#N/A,#N/A,FALSE,"Gesamt";#N/A,#N/A,FALSE,"Ree KG";#N/A,#N/A,FALSE,"Ree Inter";#N/A,#N/A,FALSE,"BTM";#N/A,#N/A,FALSE,"GmbH";#N/A,#N/A,FALSE,"Sonstige"}</definedName>
    <definedName name="sfsf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localSheetId="18" hidden="1">{"'Sheet1'!$L$16"}</definedName>
    <definedName name="sfsgsfhg" hidden="1">{"'Sheet1'!$L$16"}</definedName>
    <definedName name="sfutsu" localSheetId="18" hidden="1">{#N/A,#N/A,FALSE,"CCTV"}</definedName>
    <definedName name="sfutsu" hidden="1">{#N/A,#N/A,FALSE,"CCTV"}</definedName>
    <definedName name="SG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hidden="1">#REF!</definedName>
    <definedName name="SGR" localSheetId="18" hidden="1">{"'매출계획'!$D$2"}</definedName>
    <definedName name="SGR" hidden="1">{"'매출계획'!$D$2"}</definedName>
    <definedName name="sgs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localSheetId="18" hidden="1">{#N/A,#N/A,FALSE,"CCTV"}</definedName>
    <definedName name="ShA" hidden="1">{#N/A,#N/A,FALSE,"CCTV"}</definedName>
    <definedName name="shas" localSheetId="18" hidden="1">{"F3 detail",#N/A,FALSE,"F1";"F3 Presentation",#N/A,FALSE,"F3 "}</definedName>
    <definedName name="shas" hidden="1">{"F3 detail",#N/A,FALSE,"F1";"F3 Presentation",#N/A,FALSE,"F3 "}</definedName>
    <definedName name="sheet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18" hidden="1">{"balance",#N/A,FALSE,"BALANCE"}</definedName>
    <definedName name="sheet1" hidden="1">{"balance",#N/A,FALSE,"BALANCE"}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ED_CR" hidden="1">#REF!</definedName>
    <definedName name="Sheet1_GL_INTERFACE_ACCOUNTED_DR" hidden="1">#REF!</definedName>
    <definedName name="Sheet1_GL_INTERFACE_ACCOUNTING_DATE" hidden="1">#REF!</definedName>
    <definedName name="Sheet1_GL_INTERFACE_ACTUAL_FLAG" hidden="1">#REF!</definedName>
    <definedName name="Sheet1_GL_INTERFACE_CONTEXT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JOURNAL_LINE_DFF" hidden="1">#REF!</definedName>
    <definedName name="Sheet1_GL_INTERFACE_REFERENCE1" hidden="1">#REF!</definedName>
    <definedName name="Sheet1_GL_INTERFACE_REFERENCE10" hidden="1">#REF!</definedName>
    <definedName name="Sheet1_GL_INTERFACE_REFERENCE2" hidden="1">#REF!</definedName>
    <definedName name="Sheet1_GL_INTERFACE_REFERENCE25" hidden="1">#REF!</definedName>
    <definedName name="Sheet1_GL_INTERFACE_REFERENCE4" hidden="1">#REF!</definedName>
    <definedName name="Sheet1_GL_INTERFACE_REFERENCE5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GMENT7" hidden="1">#REF!</definedName>
    <definedName name="Sheet1_GL_INTERFACE_SEGMENT8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heet2" localSheetId="18" hidden="1">{#N/A,#N/A,FALSE,"CCTV"}</definedName>
    <definedName name="Sheet2" hidden="1">{#N/A,#N/A,FALSE,"CCTV"}</definedName>
    <definedName name="sheetnew" localSheetId="18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hidden="1">#REF!</definedName>
    <definedName name="Show.MDB.Update.Warning" hidden="1">#REF!</definedName>
    <definedName name="shs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hidden="1">#REF!</definedName>
    <definedName name="SL" localSheetId="18" hidden="1">{"Profit",#N/A,FALSE,"Cisco4500";"Capital",#N/A,FALSE,"Cisco4500"}</definedName>
    <definedName name="SL" localSheetId="23" hidden="1">{"Profit",#N/A,FALSE,"Cisco4500";"Capital",#N/A,FALSE,"Cisco4500"}</definedName>
    <definedName name="SL" localSheetId="21" hidden="1">{"Profit",#N/A,FALSE,"Cisco4500";"Capital",#N/A,FALSE,"Cisco4500"}</definedName>
    <definedName name="SL" localSheetId="20" hidden="1">{"Profit",#N/A,FALSE,"Cisco4500";"Capital",#N/A,FALSE,"Cisco4500"}</definedName>
    <definedName name="SL" localSheetId="0" hidden="1">{"Profit",#N/A,FALSE,"Cisco4500";"Capital",#N/A,FALSE,"Cisco4500"}</definedName>
    <definedName name="SL" hidden="1">{"Profit",#N/A,FALSE,"Cisco4500";"Capital",#N/A,FALSE,"Cisco4500"}</definedName>
    <definedName name="SMT_Owner_1">#REF!</definedName>
    <definedName name="snohdtsp" localSheetId="18" hidden="1">{"'Sheet1'!$L$16"}</definedName>
    <definedName name="snohdtsp" hidden="1">{"'Sheet1'!$L$16"}</definedName>
    <definedName name="sns" localSheetId="18" hidden="1">{"'Bidfailed'!$D$2:$AB$14","'Bidfailed'!$D$4:$AB$4"}</definedName>
    <definedName name="sns" hidden="1">{"'Bidfailed'!$D$2:$AB$14","'Bidfailed'!$D$4:$AB$4"}</definedName>
    <definedName name="solver_adj" localSheetId="23" hidden="1">#REF!</definedName>
    <definedName name="solver_adj" localSheetId="21" hidden="1">#REF!</definedName>
    <definedName name="solver_adj" localSheetId="20" hidden="1">#REF!</definedName>
    <definedName name="solver_adj" localSheetId="0" hidden="1">#REF!</definedName>
    <definedName name="solver_adj" hidden="1">[5]DIL4!#REF!</definedName>
    <definedName name="solver_lhs1" localSheetId="23" hidden="1">#REF!</definedName>
    <definedName name="solver_lhs1" localSheetId="21" hidden="1">#REF!</definedName>
    <definedName name="solver_lhs1" localSheetId="20" hidden="1">#REF!</definedName>
    <definedName name="solver_lhs1" localSheetId="0" hidden="1">#REF!</definedName>
    <definedName name="solver_lhs1" hidden="1">[5]DIL4!#REF!</definedName>
    <definedName name="solver_lin" hidden="1">0</definedName>
    <definedName name="solver_num" hidden="1">1</definedName>
    <definedName name="solver_opt" localSheetId="23" hidden="1">#REF!</definedName>
    <definedName name="solver_opt" localSheetId="21" hidden="1">#REF!</definedName>
    <definedName name="solver_opt" localSheetId="20" hidden="1">#REF!</definedName>
    <definedName name="solver_opt" localSheetId="0" hidden="1">#REF!</definedName>
    <definedName name="solver_opt" hidden="1">[5]DIL4!#REF!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hidden="1">#REF!</definedName>
    <definedName name="SpecialPrice" localSheetId="23" hidden="1">#REF!</definedName>
    <definedName name="SpecialPrice" hidden="1">#REF!</definedName>
    <definedName name="s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localSheetId="18" hidden="1">{#N/A,#N/A,FALSE,"CCTV"}</definedName>
    <definedName name="SRGDSG" hidden="1">{#N/A,#N/A,FALSE,"CCTV"}</definedName>
    <definedName name="srgsaergfsergaerg" localSheetId="18" hidden="1">{"month_a",#N/A,FALSE,"ACTUALS";"ytd_a",#N/A,FALSE,"ACTUALS"}</definedName>
    <definedName name="srgsaergfsergaerg" localSheetId="23" hidden="1">{"month_a",#N/A,FALSE,"ACTUALS";"ytd_a",#N/A,FALSE,"ACTUALS"}</definedName>
    <definedName name="srgsaergfsergaerg" localSheetId="21" hidden="1">{"month_a",#N/A,FALSE,"ACTUALS";"ytd_a",#N/A,FALSE,"ACTUALS"}</definedName>
    <definedName name="srgsaergfsergaerg" localSheetId="20" hidden="1">{"month_a",#N/A,FALSE,"ACTUALS";"ytd_a",#N/A,FALSE,"ACTUALS"}</definedName>
    <definedName name="srgsaergfsergaerg" localSheetId="0" hidden="1">{"month_a",#N/A,FALSE,"ACTUALS";"ytd_a",#N/A,FALSE,"ACTUALS"}</definedName>
    <definedName name="srgsaergfsergaerg" hidden="1">{"month_a",#N/A,FALSE,"ACTUALS";"ytd_a",#N/A,FALSE,"ACTUALS"}</definedName>
    <definedName name="s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localSheetId="18" hidden="1">{#N/A,#N/A,FALSE,"CCTV"}</definedName>
    <definedName name="sruysrt" hidden="1">{#N/A,#N/A,FALSE,"CCTV"}</definedName>
    <definedName name="SS" localSheetId="18" hidden="1">{"'Sheet1'!$L$16"}</definedName>
    <definedName name="ss" localSheetId="0" hidden="1">{"'ตัวอย่าง'!$A$1:$O$21"}</definedName>
    <definedName name="SS" hidden="1">{"'Sheet1'!$L$16"}</definedName>
    <definedName name="ss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0" hidden="1">{"'ตัวอย่าง'!$A$1:$O$21"}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18" hidden="1">{"'ตัวอย่าง'!$A$1:$O$21"}</definedName>
    <definedName name="ssss" localSheetId="0" hidden="1">{"'ตัวอย่าง'!$A$1:$O$21"}</definedName>
    <definedName name="ssss" hidden="1">{"'ตัวอย่าง'!$A$1:$O$21"}</definedName>
    <definedName name="ssssdsd" hidden="1">#REF!</definedName>
    <definedName name="sssss" localSheetId="18" hidden="1">{"'ตัวอย่าง'!$A$1:$O$21"}</definedName>
    <definedName name="sssss" localSheetId="0" hidden="1">{"'ตัวอย่าง'!$A$1:$O$21"}</definedName>
    <definedName name="sssss" hidden="1">{"'ตัวอย่าง'!$A$1:$O$21"}</definedName>
    <definedName name="sssssss" localSheetId="18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localSheetId="18" hidden="1">{"'Sheet1'!$L$16"}</definedName>
    <definedName name="ssssssss" hidden="1">{"'Sheet1'!$L$16"}</definedName>
    <definedName name="ssxsdcdsfcdsf" localSheetId="18" hidden="1">{"HK PR",#N/A,FALSE,"HK";"SUMMARY",#N/A,FALSE,"PAYROLL";"SUMMARY",#N/A,FALSE,"PAYROLL";"HK PR",#N/A,FALSE,"HK"}</definedName>
    <definedName name="ssxsdcdsfcdsf" localSheetId="23" hidden="1">{"HK PR",#N/A,FALSE,"HK";"SUMMARY",#N/A,FALSE,"PAYROLL";"SUMMARY",#N/A,FALSE,"PAYROLL";"HK PR",#N/A,FALSE,"HK"}</definedName>
    <definedName name="ssxsdcdsfcdsf" localSheetId="21" hidden="1">{"HK PR",#N/A,FALSE,"HK";"SUMMARY",#N/A,FALSE,"PAYROLL";"SUMMARY",#N/A,FALSE,"PAYROLL";"HK PR",#N/A,FALSE,"HK"}</definedName>
    <definedName name="ssxsdcdsfcdsf" localSheetId="20" hidden="1">{"HK PR",#N/A,FALSE,"HK";"SUMMARY",#N/A,FALSE,"PAYROLL";"SUMMARY",#N/A,FALSE,"PAYROLL";"HK PR",#N/A,FALSE,"HK"}</definedName>
    <definedName name="ssxsdcdsfcdsf" localSheetId="0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ffing2" localSheetId="18" hidden="1">{#N/A,#N/A,FALSE,"Assessment";#N/A,#N/A,FALSE,"Staffing";#N/A,#N/A,FALSE,"Hires";#N/A,#N/A,FALSE,"Assumptions"}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18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localSheetId="18" hidden="1">{"Jan-June",#N/A,FALSE,"Sheet4";"Jul-Dec",#N/A,FALSE,"Sheet4"}</definedName>
    <definedName name="STOCK" hidden="1">{"Jan-June",#N/A,FALSE,"Sheet4";"Jul-Dec",#N/A,FALSE,"Sheet4"}</definedName>
    <definedName name="stock1" localSheetId="18" hidden="1">{"Jan-June",#N/A,FALSE,"Sheet4";"Jul-Dec",#N/A,FALSE,"Sheet4"}</definedName>
    <definedName name="stock1" hidden="1">{"Jan-June",#N/A,FALSE,"Sheet4";"Jul-Dec",#N/A,FALSE,"Sheet4"}</definedName>
    <definedName name="Subandit" localSheetId="18" hidden="1">{"'ตัวอย่าง'!$A$1:$O$21"}</definedName>
    <definedName name="Subandit" localSheetId="0" hidden="1">{"'ตัวอย่าง'!$A$1:$O$21"}</definedName>
    <definedName name="Subandit" hidden="1">{"'ตัวอย่าง'!$A$1:$O$21"}</definedName>
    <definedName name="Sum_Ce48_Ref">#REF!</definedName>
    <definedName name="Sum_Ce48_SLSX">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vsv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localSheetId="18" hidden="1">{#N/A,#N/A,FALSE,"CCTV"}</definedName>
    <definedName name="swtgzd" hidden="1">{#N/A,#N/A,FALSE,"CCTV"}</definedName>
    <definedName name="sww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localSheetId="18" hidden="1">{"'매출계획'!$D$2"}</definedName>
    <definedName name="SY" hidden="1">{"'매출계획'!$D$2"}</definedName>
    <definedName name="SZ" localSheetId="18" hidden="1">{"'매출계획'!$D$2"}</definedName>
    <definedName name="SZ" hidden="1">{"'매출계획'!$D$2"}</definedName>
    <definedName name="szdhxgfj" localSheetId="18" hidden="1">{"F3 Presentation",#N/A,FALSE,"F3 ";"F3 detail",#N/A,FALSE,"F3 "}</definedName>
    <definedName name="szdhxgfj" hidden="1">{"F3 Presentation",#N/A,FALSE,"F3 ";"F3 detail",#N/A,FALSE,"F3 "}</definedName>
    <definedName name="t" localSheetId="18" hidden="1">{"F3 Presentation",#N/A,FALSE,"F3 ";"F3 detail",#N/A,FALSE,"F3 "}</definedName>
    <definedName name="t" localSheetId="0" hidden="1">{"'connew '!$C$40:$C$60"}</definedName>
    <definedName name="t" hidden="1">{"F3 Presentation",#N/A,FALSE,"F3 ";"F3 detail",#N/A,FALSE,"F3 "}</definedName>
    <definedName name="t_1" localSheetId="18" hidden="1">{"'Sheet1'!$L$16"}</definedName>
    <definedName name="t_1" hidden="1">{"'Sheet1'!$L$16"}</definedName>
    <definedName name="t12ki1" localSheetId="18" hidden="1">{"'Sheet1'!$L$16"}</definedName>
    <definedName name="t12ki1" hidden="1">{"'Sheet1'!$L$16"}</definedName>
    <definedName name="ta" localSheetId="18" hidden="1">{"'Sheet1'!$L$16"}</definedName>
    <definedName name="ta" hidden="1">{"'Sheet1'!$L$16"}</definedName>
    <definedName name="taisan" localSheetId="18" hidden="1">{"'Sheet1'!$L$16"}</definedName>
    <definedName name="taisan" localSheetId="23" hidden="1">{"'Sheet1'!$L$16"}</definedName>
    <definedName name="taisan" localSheetId="21" hidden="1">{"'Sheet1'!$L$16"}</definedName>
    <definedName name="taisan" localSheetId="20" hidden="1">{"'Sheet1'!$L$16"}</definedName>
    <definedName name="taisan" localSheetId="0" hidden="1">{"'Sheet1'!$L$16"}</definedName>
    <definedName name="taisan" hidden="1">{"'Sheet1'!$L$16"}</definedName>
    <definedName name="tamluong" localSheetId="18" hidden="1">{"'Sheet1'!$L$16"}</definedName>
    <definedName name="tamluong" hidden="1">{"'Sheet1'!$L$16"}</definedName>
    <definedName name="Tan" localSheetId="18" hidden="1">{"'Sheet1'!$L$16"}</definedName>
    <definedName name="Tan" localSheetId="23" hidden="1">{"'Sheet1'!$L$16"}</definedName>
    <definedName name="Tan" localSheetId="21" hidden="1">{"'Sheet1'!$L$16"}</definedName>
    <definedName name="Tan" localSheetId="20" hidden="1">{"'Sheet1'!$L$16"}</definedName>
    <definedName name="Tan" localSheetId="0" hidden="1">{"'Sheet1'!$L$16"}</definedName>
    <definedName name="Tan" hidden="1">{"'Sheet1'!$L$16"}</definedName>
    <definedName name="tast" localSheetId="18" hidden="1">{"'connew '!$C$40:$C$60"}</definedName>
    <definedName name="tast" localSheetId="0" hidden="1">{"'connew '!$C$40:$C$60"}</definedName>
    <definedName name="tast" hidden="1">{"'connew '!$C$40:$C$60"}</definedName>
    <definedName name="tax" localSheetId="18" hidden="1">{"level1",#N/A,FALSE,"1_LEV";"LEVEL1",#N/A,FALSE,"1_LEV"}</definedName>
    <definedName name="tax" hidden="1">{"level1",#N/A,FALSE,"1_LEV";"LEVEL1",#N/A,FALSE,"1_LEV"}</definedName>
    <definedName name="tbl_ProdInfo" localSheetId="23" hidden="1">#REF!</definedName>
    <definedName name="tbl_ProdInfo" hidden="1">#REF!</definedName>
    <definedName name="TCI_Cart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localSheetId="18" hidden="1">{#N/A,#N/A,FALSE,"CCTV"}</definedName>
    <definedName name="tdutyu" hidden="1">{#N/A,#N/A,FALSE,"CCTV"}</definedName>
    <definedName name="ted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hidden="1">#REF!</definedName>
    <definedName name="Temp_2" localSheetId="18" hidden="1">{#N/A,#N/A,FALSE,"Assessment";#N/A,#N/A,FALSE,"Staffing";#N/A,#N/A,FALSE,"Hires";#N/A,#N/A,FALSE,"Assumptions"}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18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localSheetId="18" hidden="1">{"'ตัวอย่าง'!$A$1:$O$21"}</definedName>
    <definedName name="test" localSheetId="0" hidden="1">{#N/A,#N/A,FALSE,"Assessment";#N/A,#N/A,FALSE,"Staffing";#N/A,#N/A,FALSE,"Hires";#N/A,#N/A,FALSE,"Assumptions"}</definedName>
    <definedName name="test" hidden="1">{"'ตัวอย่าง'!$A$1:$O$21"}</definedName>
    <definedName name="test77" localSheetId="18" hidden="1">{"'ตัวอย่าง'!$A$1:$O$21"}</definedName>
    <definedName name="test77" localSheetId="0" hidden="1">{"'ตัวอย่าง'!$A$1:$O$21"}</definedName>
    <definedName name="test77" hidden="1">{"'ตัวอย่าง'!$A$1:$O$21"}</definedName>
    <definedName name="test8888" localSheetId="18" hidden="1">{"'ตัวอย่าง'!$A$1:$O$21"}</definedName>
    <definedName name="test8888" localSheetId="0" hidden="1">{"'ตัวอย่าง'!$A$1:$O$21"}</definedName>
    <definedName name="test8888" hidden="1">{"'ตัวอย่าง'!$A$1:$O$21"}</definedName>
    <definedName name="testa" localSheetId="18" hidden="1">{"'ตัวอย่าง'!$A$1:$O$21"}</definedName>
    <definedName name="testa" localSheetId="0" hidden="1">{"'ตัวอย่าง'!$A$1:$O$21"}</definedName>
    <definedName name="testa" hidden="1">{"'ตัวอย่าง'!$A$1:$O$21"}</definedName>
    <definedName name="tew" localSheetId="18" hidden="1">{#N/A,#N/A,FALSE,"Gesamt";#N/A,#N/A,FALSE,"Ree KG";#N/A,#N/A,FALSE,"Ree Inter";#N/A,#N/A,FALSE,"BTM";#N/A,#N/A,FALSE,"GmbH";#N/A,#N/A,FALSE,"Sonstige"}</definedName>
    <definedName name="tew" hidden="1">{#N/A,#N/A,FALSE,"Gesamt";#N/A,#N/A,FALSE,"Ree KG";#N/A,#N/A,FALSE,"Ree Inter";#N/A,#N/A,FALSE,"BTM";#N/A,#N/A,FALSE,"GmbH";#N/A,#N/A,FALSE,"Sonstige"}</definedName>
    <definedName name="TextRefCopyRangeCount" localSheetId="0" hidden="1">32</definedName>
    <definedName name="TextRefCopyRangeCount" hidden="1">5</definedName>
    <definedName name="TH" localSheetId="18" hidden="1">{"'Sheet1'!$L$16"}</definedName>
    <definedName name="TH" localSheetId="23" hidden="1">{"'Sheet1'!$L$16"}</definedName>
    <definedName name="TH" localSheetId="21" hidden="1">{"'Sheet1'!$L$16"}</definedName>
    <definedName name="TH" localSheetId="20" hidden="1">{"'Sheet1'!$L$16"}</definedName>
    <definedName name="TH" localSheetId="0" hidden="1">{"'Sheet1'!$L$16"}</definedName>
    <definedName name="TH" hidden="1">{"'Sheet1'!$L$16"}</definedName>
    <definedName name="TH_1" localSheetId="18" hidden="1">{"'Sheet1'!$L$16"}</definedName>
    <definedName name="TH_1" hidden="1">{"'Sheet1'!$L$16"}</definedName>
    <definedName name="tha" localSheetId="18" hidden="1">{"'Sheet1'!$L$16"}</definedName>
    <definedName name="tha" localSheetId="23" hidden="1">{"'Sheet1'!$L$16"}</definedName>
    <definedName name="tha" localSheetId="21" hidden="1">{"'Sheet1'!$L$16"}</definedName>
    <definedName name="tha" localSheetId="20" hidden="1">{"'Sheet1'!$L$16"}</definedName>
    <definedName name="tha" localSheetId="0" hidden="1">{"'Sheet1'!$L$16"}</definedName>
    <definedName name="tha" hidden="1">{"'Sheet1'!$L$16"}</definedName>
    <definedName name="THAN" localSheetId="18" hidden="1">{"'Sheet1'!$L$16"}</definedName>
    <definedName name="THAN" hidden="1">{"'Sheet1'!$L$16"}</definedName>
    <definedName name="thang10" localSheetId="18" hidden="1">{"'Sheet1'!$L$16"}</definedName>
    <definedName name="thang10" hidden="1">{"'Sheet1'!$L$16"}</definedName>
    <definedName name="Thang11" localSheetId="18" hidden="1">{#N/A,#N/A,TRUE,"BT M200 da 10x20"}</definedName>
    <definedName name="Thang11" hidden="1">{#N/A,#N/A,TRUE,"BT M200 da 10x20"}</definedName>
    <definedName name="thang13" localSheetId="18" hidden="1">{"'Sheet1'!$L$16"}</definedName>
    <definedName name="thang13" hidden="1">{"'Sheet1'!$L$16"}</definedName>
    <definedName name="thang13_1" localSheetId="18" hidden="1">{"'Sheet1'!$L$16"}</definedName>
    <definedName name="thang13_1" hidden="1">{"'Sheet1'!$L$16"}</definedName>
    <definedName name="thanh" localSheetId="18" hidden="1">{"'Sheet1'!$L$16"}</definedName>
    <definedName name="thanh" localSheetId="23" hidden="1">{"'Sheet1'!$L$16"}</definedName>
    <definedName name="thanh" localSheetId="21" hidden="1">{"'Sheet1'!$L$16"}</definedName>
    <definedName name="thanh" localSheetId="20" hidden="1">{"'Sheet1'!$L$16"}</definedName>
    <definedName name="thanh" localSheetId="0" hidden="1">{"'Sheet1'!$L$16"}</definedName>
    <definedName name="thanh" hidden="1">{"'Sheet1'!$L$16"}</definedName>
    <definedName name="thanhthao" localSheetId="18" hidden="1">{#N/A,#N/A,FALSE,"Chi tiÆt"}</definedName>
    <definedName name="thanhthao" localSheetId="23" hidden="1">{#N/A,#N/A,FALSE,"Chi tiÆt"}</definedName>
    <definedName name="thanhthao" localSheetId="21" hidden="1">{#N/A,#N/A,FALSE,"Chi tiÆt"}</definedName>
    <definedName name="thanhthao" localSheetId="20" hidden="1">{#N/A,#N/A,FALSE,"Chi tiÆt"}</definedName>
    <definedName name="thanhthao" localSheetId="0" hidden="1">{#N/A,#N/A,FALSE,"Chi tiÆt"}</definedName>
    <definedName name="thanhthao" hidden="1">{#N/A,#N/A,FALSE,"Chi tiÆt"}</definedName>
    <definedName name="Thao" localSheetId="18" hidden="1">{"'Sheet1'!$L$16"}</definedName>
    <definedName name="Thao" hidden="1">{"'Sheet1'!$L$16"}</definedName>
    <definedName name="THCP2" localSheetId="18" hidden="1">{"'Sheet1'!$L$16"}</definedName>
    <definedName name="THCP2" localSheetId="23" hidden="1">{"'Sheet1'!$L$16"}</definedName>
    <definedName name="THCP2" localSheetId="21" hidden="1">{"'Sheet1'!$L$16"}</definedName>
    <definedName name="THCP2" localSheetId="20" hidden="1">{"'Sheet1'!$L$16"}</definedName>
    <definedName name="THCP2" localSheetId="0" hidden="1">{"'Sheet1'!$L$16"}</definedName>
    <definedName name="THCP2" hidden="1">{"'Sheet1'!$L$16"}</definedName>
    <definedName name="THCPCTD" localSheetId="18" hidden="1">{"'Sheet1'!$L$16"}</definedName>
    <definedName name="THCPCTD" localSheetId="23" hidden="1">{"'Sheet1'!$L$16"}</definedName>
    <definedName name="THCPCTD" localSheetId="21" hidden="1">{"'Sheet1'!$L$16"}</definedName>
    <definedName name="THCPCTD" localSheetId="20" hidden="1">{"'Sheet1'!$L$16"}</definedName>
    <definedName name="THCPCTD" localSheetId="0" hidden="1">{"'Sheet1'!$L$16"}</definedName>
    <definedName name="THCPCTD" hidden="1">{"'Sheet1'!$L$16"}</definedName>
    <definedName name="thephinh" localSheetId="18" hidden="1">{#N/A,#N/A,FALSE,"CCTV"}</definedName>
    <definedName name="thephinh" hidden="1">{#N/A,#N/A,FALSE,"CCTV"}</definedName>
    <definedName name="Thepsan" localSheetId="18" hidden="1">{"'Sheet1'!$L$16"}</definedName>
    <definedName name="Thepsan" localSheetId="23" hidden="1">{"'Sheet1'!$L$16"}</definedName>
    <definedName name="Thepsan" localSheetId="21" hidden="1">{"'Sheet1'!$L$16"}</definedName>
    <definedName name="Thepsan" localSheetId="20" hidden="1">{"'Sheet1'!$L$16"}</definedName>
    <definedName name="Thepsan" localSheetId="0" hidden="1">{"'Sheet1'!$L$16"}</definedName>
    <definedName name="Thepsan" hidden="1">{"'Sheet1'!$L$16"}</definedName>
    <definedName name="thepsan2" localSheetId="18" hidden="1">{"'Sheet1'!$L$16"}</definedName>
    <definedName name="thepsan2" localSheetId="23" hidden="1">{"'Sheet1'!$L$16"}</definedName>
    <definedName name="thepsan2" localSheetId="21" hidden="1">{"'Sheet1'!$L$16"}</definedName>
    <definedName name="thepsan2" localSheetId="20" hidden="1">{"'Sheet1'!$L$16"}</definedName>
    <definedName name="thepsan2" localSheetId="0" hidden="1">{"'Sheet1'!$L$16"}</definedName>
    <definedName name="thepsan2" hidden="1">{"'Sheet1'!$L$16"}</definedName>
    <definedName name="thieu" localSheetId="18" hidden="1">{#N/A,#N/A,FALSE,"m66";#N/A,#N/A,FALSE,"m66"}</definedName>
    <definedName name="thieu" hidden="1">{#N/A,#N/A,FALSE,"m66";#N/A,#N/A,FALSE,"m66"}</definedName>
    <definedName name="THJ" localSheetId="18" hidden="1">{"'매출계획'!$D$2"}</definedName>
    <definedName name="THJ" hidden="1">{"'매출계획'!$D$2"}</definedName>
    <definedName name="THKP7YT" localSheetId="18" hidden="1">{"'Sheet1'!$L$16"}</definedName>
    <definedName name="THKP7YT" hidden="1">{"'Sheet1'!$L$16"}</definedName>
    <definedName name="thpp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localSheetId="18" hidden="1">{"'Sheet1'!$L$16"}</definedName>
    <definedName name="thu" localSheetId="23" hidden="1">{"'Sheet1'!$L$16"}</definedName>
    <definedName name="thu" localSheetId="21" hidden="1">{"'Sheet1'!$L$16"}</definedName>
    <definedName name="thu" localSheetId="20" hidden="1">{"'Sheet1'!$L$16"}</definedName>
    <definedName name="thu" localSheetId="0" hidden="1">{"'Sheet1'!$L$16"}</definedName>
    <definedName name="thu" hidden="1">{"'Sheet1'!$L$16"}</definedName>
    <definedName name="thu_1" localSheetId="18" hidden="1">{"'Sheet1'!$L$16"}</definedName>
    <definedName name="thu_1" hidden="1">{"'Sheet1'!$L$16"}</definedName>
    <definedName name="thu_1_1" localSheetId="18" hidden="1">{"'Sheet1'!$L$16"}</definedName>
    <definedName name="thu_1_1" hidden="1">{"'Sheet1'!$L$16"}</definedName>
    <definedName name="thu_1_1_1" localSheetId="18" hidden="1">{"'Sheet1'!$L$16"}</definedName>
    <definedName name="thu_1_1_1" hidden="1">{"'Sheet1'!$L$16"}</definedName>
    <definedName name="thu_1_1_2" localSheetId="18" hidden="1">{"'Sheet1'!$L$16"}</definedName>
    <definedName name="thu_1_1_2" hidden="1">{"'Sheet1'!$L$16"}</definedName>
    <definedName name="thu_1_2" localSheetId="18" hidden="1">{"'Sheet1'!$L$16"}</definedName>
    <definedName name="thu_1_2" hidden="1">{"'Sheet1'!$L$16"}</definedName>
    <definedName name="thu_1_3" localSheetId="18" hidden="1">{"'Sheet1'!$L$16"}</definedName>
    <definedName name="thu_1_3" hidden="1">{"'Sheet1'!$L$16"}</definedName>
    <definedName name="thu_2" localSheetId="18" hidden="1">{"'Sheet1'!$L$16"}</definedName>
    <definedName name="thu_2" hidden="1">{"'Sheet1'!$L$16"}</definedName>
    <definedName name="thu_2_1" localSheetId="18" hidden="1">{"'Sheet1'!$L$16"}</definedName>
    <definedName name="thu_2_1" hidden="1">{"'Sheet1'!$L$16"}</definedName>
    <definedName name="thu_2_2" localSheetId="18" hidden="1">{"'Sheet1'!$L$16"}</definedName>
    <definedName name="thu_2_2" hidden="1">{"'Sheet1'!$L$16"}</definedName>
    <definedName name="thu_3" localSheetId="18" hidden="1">{"'Sheet1'!$L$16"}</definedName>
    <definedName name="thu_3" hidden="1">{"'Sheet1'!$L$16"}</definedName>
    <definedName name="thu_4" localSheetId="18" hidden="1">{"'Sheet1'!$L$16"}</definedName>
    <definedName name="thu_4" hidden="1">{"'Sheet1'!$L$16"}</definedName>
    <definedName name="thu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localSheetId="18" hidden="1">{"'Sheet1'!$L$16"}</definedName>
    <definedName name="thut" hidden="1">{"'Sheet1'!$L$16"}</definedName>
    <definedName name="thut_1" localSheetId="18" hidden="1">{"'Sheet1'!$L$16"}</definedName>
    <definedName name="thut_1" hidden="1">{"'Sheet1'!$L$16"}</definedName>
    <definedName name="thut_1_1" localSheetId="18" hidden="1">{"'Sheet1'!$L$16"}</definedName>
    <definedName name="thut_1_1" hidden="1">{"'Sheet1'!$L$16"}</definedName>
    <definedName name="thut_1_1_1" localSheetId="18" hidden="1">{"'Sheet1'!$L$16"}</definedName>
    <definedName name="thut_1_1_1" hidden="1">{"'Sheet1'!$L$16"}</definedName>
    <definedName name="thut_1_1_2" localSheetId="18" hidden="1">{"'Sheet1'!$L$16"}</definedName>
    <definedName name="thut_1_1_2" hidden="1">{"'Sheet1'!$L$16"}</definedName>
    <definedName name="thut_1_2" localSheetId="18" hidden="1">{"'Sheet1'!$L$16"}</definedName>
    <definedName name="thut_1_2" hidden="1">{"'Sheet1'!$L$16"}</definedName>
    <definedName name="thut_1_3" localSheetId="18" hidden="1">{"'Sheet1'!$L$16"}</definedName>
    <definedName name="thut_1_3" hidden="1">{"'Sheet1'!$L$16"}</definedName>
    <definedName name="thut_2" localSheetId="18" hidden="1">{"'Sheet1'!$L$16"}</definedName>
    <definedName name="thut_2" hidden="1">{"'Sheet1'!$L$16"}</definedName>
    <definedName name="thut_2_1" localSheetId="18" hidden="1">{"'Sheet1'!$L$16"}</definedName>
    <definedName name="thut_2_1" hidden="1">{"'Sheet1'!$L$16"}</definedName>
    <definedName name="thut_2_2" localSheetId="18" hidden="1">{"'Sheet1'!$L$16"}</definedName>
    <definedName name="thut_2_2" hidden="1">{"'Sheet1'!$L$16"}</definedName>
    <definedName name="thut_3" localSheetId="18" hidden="1">{"'Sheet1'!$L$16"}</definedName>
    <definedName name="thut_3" hidden="1">{"'Sheet1'!$L$16"}</definedName>
    <definedName name="thut_4" localSheetId="18" hidden="1">{"'Sheet1'!$L$16"}</definedName>
    <definedName name="thut_4" hidden="1">{"'Sheet1'!$L$16"}</definedName>
    <definedName name="thuy" localSheetId="18" hidden="1">{#N/A,#N/A,FALSE,"Chung"}</definedName>
    <definedName name="thuy" hidden="1">{#N/A,#N/A,FALSE,"Chung"}</definedName>
    <definedName name="thuy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localSheetId="18" hidden="1">{"'Sheet1'!$L$16"}</definedName>
    <definedName name="thvt" hidden="1">{"'Sheet1'!$L$16"}</definedName>
    <definedName name="TI" hidden="1">#N/A</definedName>
    <definedName name="Tien" localSheetId="18" hidden="1">{"'Sheet1'!$L$16"}</definedName>
    <definedName name="Tien" hidden="1">{"'Sheet1'!$L$16"}</definedName>
    <definedName name="tio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localSheetId="18" hidden="1">{"'Sheet1'!$L$16"}</definedName>
    <definedName name="TM" localSheetId="0" hidden="1">{"'Sheet1'!$L$16"}</definedName>
    <definedName name="TM" hidden="1">{"'Sheet1'!$L$16"}</definedName>
    <definedName name="TOANCAU" localSheetId="18" hidden="1">{"'Sheet1'!$L$16"}</definedName>
    <definedName name="TOANCAU" hidden="1">{"'Sheet1'!$L$16"}</definedName>
    <definedName name="Tonghop" localSheetId="18" hidden="1">{"'Sheet1'!$L$16"}</definedName>
    <definedName name="Tonghop" localSheetId="23" hidden="1">{"'Sheet1'!$L$16"}</definedName>
    <definedName name="Tonghop" localSheetId="21" hidden="1">{"'Sheet1'!$L$16"}</definedName>
    <definedName name="Tonghop" localSheetId="20" hidden="1">{"'Sheet1'!$L$16"}</definedName>
    <definedName name="Tonghop" localSheetId="0" hidden="1">{"'Sheet1'!$L$16"}</definedName>
    <definedName name="Tonghop" hidden="1">{"'Sheet1'!$L$16"}</definedName>
    <definedName name="TOUT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localSheetId="18" hidden="1">{"'Sheet1'!$L$16"}</definedName>
    <definedName name="TQ" hidden="1">{"'Sheet1'!$L$16"}</definedName>
    <definedName name="TQM_SK" localSheetId="18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localSheetId="18" hidden="1">{"'Sheet1'!$L$16"}</definedName>
    <definedName name="TRANG" hidden="1">{"'Sheet1'!$L$16"}</definedName>
    <definedName name="tr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localSheetId="18" hidden="1">{"'Sheet1'!$L$16"}</definedName>
    <definedName name="truc" hidden="1">{"'Sheet1'!$L$16"}</definedName>
    <definedName name="trygmdgdh" localSheetId="18" hidden="1">{"'Sheet1'!$L$16"}</definedName>
    <definedName name="trygmdgdh" localSheetId="23" hidden="1">{"'Sheet1'!$L$16"}</definedName>
    <definedName name="trygmdgdh" localSheetId="21" hidden="1">{"'Sheet1'!$L$16"}</definedName>
    <definedName name="trygmdgdh" localSheetId="20" hidden="1">{"'Sheet1'!$L$16"}</definedName>
    <definedName name="trygmdgdh" localSheetId="0" hidden="1">{"'Sheet1'!$L$16"}</definedName>
    <definedName name="trygmdgdh" hidden="1">{"'Sheet1'!$L$16"}</definedName>
    <definedName name="tryijtryi" localSheetId="18" hidden="1">{"'Sheet1'!$L$16"}</definedName>
    <definedName name="tryijtryi" hidden="1">{"'Sheet1'!$L$16"}</definedName>
    <definedName name="ts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localSheetId="18" hidden="1">{"'Sheet1'!$L$16"}</definedName>
    <definedName name="TSCDVH" hidden="1">{"'Sheet1'!$L$16"}</definedName>
    <definedName name="tt" localSheetId="18" hidden="1">{"'connew '!$C$40:$C$60"}</definedName>
    <definedName name="tt" localSheetId="0" hidden="1">{"'connew '!$C$40:$C$60"}</definedName>
    <definedName name="tt" hidden="1">{"'connew '!$C$40:$C$60"}</definedName>
    <definedName name="TTE" localSheetId="18" hidden="1">{"'ตัวอย่าง'!$A$1:$O$21"}</definedName>
    <definedName name="TTE" localSheetId="0" hidden="1">{"'ตัวอย่าง'!$A$1:$O$21"}</definedName>
    <definedName name="TTE" hidden="1">{"'ตัวอย่าง'!$A$1:$O$21"}</definedName>
    <definedName name="ttr" localSheetId="18" hidden="1">{#N/A,#N/A,FALSE,"CCTV"}</definedName>
    <definedName name="ttr" hidden="1">{#N/A,#N/A,FALSE,"CCTV"}</definedName>
    <definedName name="tt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localSheetId="18" hidden="1">{"'Sheet1'!$L$16"}</definedName>
    <definedName name="TTSC" localSheetId="23" hidden="1">{"'Sheet1'!$L$16"}</definedName>
    <definedName name="TTSC" localSheetId="21" hidden="1">{"'Sheet1'!$L$16"}</definedName>
    <definedName name="TTSC" localSheetId="20" hidden="1">{"'Sheet1'!$L$16"}</definedName>
    <definedName name="TTSC" localSheetId="0" hidden="1">{"'Sheet1'!$L$16"}</definedName>
    <definedName name="TTSC" hidden="1">{"'Sheet1'!$L$16"}</definedName>
    <definedName name="ttt" localSheetId="18" hidden="1">{"Teacher",#N/A,FALSE,"Summary";"Teacher",#N/A,FALSE,"Assumptions";"Teacher",#N/A,FALSE,"Buildup";"Teacher",#N/A,FALSE,"Financials";"Teacher",#N/A,FALSE,"Debt &amp; Other"}</definedName>
    <definedName name="ttt" localSheetId="23" hidden="1">{"Teacher",#N/A,FALSE,"Summary";"Teacher",#N/A,FALSE,"Assumptions";"Teacher",#N/A,FALSE,"Buildup";"Teacher",#N/A,FALSE,"Financials";"Teacher",#N/A,FALSE,"Debt &amp; Other"}</definedName>
    <definedName name="ttt" localSheetId="21" hidden="1">{"Teacher",#N/A,FALSE,"Summary";"Teacher",#N/A,FALSE,"Assumptions";"Teacher",#N/A,FALSE,"Buildup";"Teacher",#N/A,FALSE,"Financials";"Teacher",#N/A,FALSE,"Debt &amp; Other"}</definedName>
    <definedName name="ttt" localSheetId="20" hidden="1">{"Teacher",#N/A,FALSE,"Summary";"Teacher",#N/A,FALSE,"Assumptions";"Teacher",#N/A,FALSE,"Buildup";"Teacher",#N/A,FALSE,"Financials";"Teacher",#N/A,FALSE,"Debt &amp; Other"}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eer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localSheetId="23" hidden="1">#REF!</definedName>
    <definedName name="tttt" localSheetId="0" hidden="1">{"'TOTAL'!$A$1:$AG$20"}</definedName>
    <definedName name="tttt" hidden="1">#REF!</definedName>
    <definedName name="ttttt" localSheetId="18" hidden="1">{"Reader",#N/A,FALSE,"Summary";"Reader",#N/A,FALSE,"Buildup";"Reader",#N/A,FALSE,"Financials";"Reader",#N/A,FALSE,"Debt &amp; Other"}</definedName>
    <definedName name="ttttt" localSheetId="23" hidden="1">{"Reader",#N/A,FALSE,"Summary";"Reader",#N/A,FALSE,"Buildup";"Reader",#N/A,FALSE,"Financials";"Reader",#N/A,FALSE,"Debt &amp; Other"}</definedName>
    <definedName name="ttttt" localSheetId="21" hidden="1">{"Reader",#N/A,FALSE,"Summary";"Reader",#N/A,FALSE,"Buildup";"Reader",#N/A,FALSE,"Financials";"Reader",#N/A,FALSE,"Debt &amp; Other"}</definedName>
    <definedName name="ttttt" localSheetId="20" hidden="1">{"Reader",#N/A,FALSE,"Summary";"Reader",#N/A,FALSE,"Buildup";"Reader",#N/A,FALSE,"Financials";"Reader",#N/A,FALSE,"Debt &amp; Other"}</definedName>
    <definedName name="ttttt" localSheetId="0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localSheetId="18" hidden="1">{"'Sheet1'!$L$16"}</definedName>
    <definedName name="tuanh" hidden="1">{"'Sheet1'!$L$16"}</definedName>
    <definedName name="tupi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localSheetId="18" hidden="1">{"'Sheet1'!$L$16"}</definedName>
    <definedName name="tuy" localSheetId="23" hidden="1">{"'Sheet1'!$L$16"}</definedName>
    <definedName name="tuy" localSheetId="21" hidden="1">{"'Sheet1'!$L$16"}</definedName>
    <definedName name="tuy" localSheetId="20" hidden="1">{"'Sheet1'!$L$16"}</definedName>
    <definedName name="tuy" localSheetId="0" hidden="1">{"'Sheet1'!$L$16"}</definedName>
    <definedName name="tuy" hidden="1">{"'Sheet1'!$L$16"}</definedName>
    <definedName name="TUYET" localSheetId="18" hidden="1">{"'Sheet1'!$L$16"}</definedName>
    <definedName name="TUYET" hidden="1">{"'Sheet1'!$L$16"}</definedName>
    <definedName name="tuyps" localSheetId="18" hidden="1">{"'Sheet1'!$L$16"}</definedName>
    <definedName name="tuyps" hidden="1">{"'Sheet1'!$L$16"}</definedName>
    <definedName name="t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ziuo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#REF!</definedName>
    <definedName name="ưeg" localSheetId="18" hidden="1">{"F3 detail",#N/A,FALSE,"F1";"F3 Presentation",#N/A,FALSE,"F3 "}</definedName>
    <definedName name="ưeg" hidden="1">{"F3 detail",#N/A,FALSE,"F1";"F3 Presentation",#N/A,FALSE,"F3 "}</definedName>
    <definedName name="UGVG" localSheetId="18" hidden="1">{#N/A,#N/A,TRUE,"BT M200 da 10x20"}</definedName>
    <definedName name="UGVG" localSheetId="23" hidden="1">{#N/A,#N/A,TRUE,"BT M200 da 10x20"}</definedName>
    <definedName name="UGVG" localSheetId="21" hidden="1">{#N/A,#N/A,TRUE,"BT M200 da 10x20"}</definedName>
    <definedName name="UGVG" localSheetId="20" hidden="1">{#N/A,#N/A,TRUE,"BT M200 da 10x20"}</definedName>
    <definedName name="UGVG" localSheetId="0" hidden="1">{#N/A,#N/A,TRUE,"BT M200 da 10x20"}</definedName>
    <definedName name="UGVG" hidden="1">{#N/A,#N/A,TRUE,"BT M200 da 10x20"}</definedName>
    <definedName name="UH" localSheetId="18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ühjk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>#REF!</definedName>
    <definedName name="ungT3" localSheetId="18" hidden="1">{"'Sheet1'!$L$16"}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'[16]Single Measure Analysis'!$P$22</definedName>
    <definedName name="unsafe" localSheetId="18" hidden="1">{"'TOTAL'!$A$1:$AG$20"}</definedName>
    <definedName name="unsafe" localSheetId="0" hidden="1">{"'TOTAL'!$A$1:$AG$20"}</definedName>
    <definedName name="unsafe" hidden="1">{"'TOTAL'!$A$1:$AG$20"}</definedName>
    <definedName name="uöu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localSheetId="18" hidden="1">{"PRINT_EST",#N/A,FALSE,"ESTMON"}</definedName>
    <definedName name="utu" hidden="1">{"PRINT_EST",#N/A,FALSE,"ESTMON"}</definedName>
    <definedName name="ututu" localSheetId="18" hidden="1">{"index",#N/A,FALSE,"INDEX"}</definedName>
    <definedName name="ututu" hidden="1">{"index",#N/A,FALSE,"INDEX"}</definedName>
    <definedName name="uu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localSheetId="18" hidden="1">{#N/A,#N/A,FALSE,"CCTV"}</definedName>
    <definedName name="UUU" hidden="1">{#N/A,#N/A,FALSE,"CCTV"}</definedName>
    <definedName name="üüü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localSheetId="18" hidden="1">{"'Sheet1'!$L$16"}</definedName>
    <definedName name="uy" hidden="1">{"'Sheet1'!$L$16"}</definedName>
    <definedName name="uyen" localSheetId="18" hidden="1">{#N/A,#N/A,TRUE,"BT M200 da 10x20"}</definedName>
    <definedName name="uyen" hidden="1">{#N/A,#N/A,TRUE,"BT M200 da 10x20"}</definedName>
    <definedName name="UYI" localSheetId="18" hidden="1">{#N/A,#N/A,FALSE,"CCTV"}</definedName>
    <definedName name="UYI" hidden="1">{#N/A,#N/A,FALSE,"CCTV"}</definedName>
    <definedName name="UYT" localSheetId="18" hidden="1">{#N/A,#N/A,FALSE,"CCTV"}</definedName>
    <definedName name="UYT" hidden="1">{#N/A,#N/A,FALSE,"CCTV"}</definedName>
    <definedName name="uyyy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localSheetId="18" hidden="1">{"'매출계획'!$D$2"}</definedName>
    <definedName name="V" hidden="1">{"'매출계획'!$D$2"}</definedName>
    <definedName name="va" localSheetId="18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localSheetId="18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n" localSheetId="18" hidden="1">{"'Sheet1'!$L$16"}</definedName>
    <definedName name="van" hidden="1">{"'Sheet1'!$L$16"}</definedName>
    <definedName name="VATinput" localSheetId="18" hidden="1">{"Jan-June",#N/A,FALSE,"Sheet4";"Jul-Dec",#N/A,FALSE,"Sheet4"}</definedName>
    <definedName name="VATinput" hidden="1">{"Jan-June",#N/A,FALSE,"Sheet4";"Jul-Dec",#N/A,FALSE,"Sheet4"}</definedName>
    <definedName name="VATM" localSheetId="18" hidden="1">{"'Sheet1'!$L$16"}</definedName>
    <definedName name="VATM" hidden="1">{"'Sheet1'!$L$16"}</definedName>
    <definedName name="vay" localSheetId="18" hidden="1">{"'Sheet1'!$L$16"}</definedName>
    <definedName name="vay" hidden="1">{"'Sheet1'!$L$16"}</definedName>
    <definedName name="VB" localSheetId="18" hidden="1">{"'매출계획'!$D$2"}</definedName>
    <definedName name="VB" hidden="1">{"'매출계획'!$D$2"}</definedName>
    <definedName name="vbjfgh" localSheetId="18" hidden="1">{#N/A,#N/A,FALSE,"CCTV"}</definedName>
    <definedName name="vbjfgh" hidden="1">{#N/A,#N/A,FALSE,"CCTV"}</definedName>
    <definedName name="vb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localSheetId="18" hidden="1">{"'Sheet1'!$L$16"}</definedName>
    <definedName name="vccv" hidden="1">{"'Sheet1'!$L$16"}</definedName>
    <definedName name="VCMX" localSheetId="18" hidden="1">{#N/A,#N/A,FALSE,"CCTV"}</definedName>
    <definedName name="VCMX" hidden="1">{#N/A,#N/A,FALSE,"CCTV"}</definedName>
    <definedName name="vcoto" localSheetId="18" hidden="1">{"'Sheet1'!$L$16"}</definedName>
    <definedName name="vcoto" hidden="1">{"'Sheet1'!$L$16"}</definedName>
    <definedName name="vcvvvv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localSheetId="18" hidden="1">{#N/A,#N/A,FALSE,"CCTV"}</definedName>
    <definedName name="vfhkfhk" hidden="1">{#N/A,#N/A,FALSE,"CCTV"}</definedName>
    <definedName name="vfrd" localSheetId="18" hidden="1">{"'ตัวอย่าง'!$A$1:$O$21"}</definedName>
    <definedName name="vfrd" localSheetId="0" hidden="1">{"'ตัวอย่าง'!$A$1:$O$21"}</definedName>
    <definedName name="vfrd" hidden="1">{"'ตัวอย่าง'!$A$1:$O$21"}</definedName>
    <definedName name="vg" localSheetId="18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khjfg" localSheetId="18" hidden="1">{#N/A,#N/A,FALSE,"Chi tiÆt"}</definedName>
    <definedName name="vgkhjfg" hidden="1">{#N/A,#N/A,FALSE,"Chi tiÆt"}</definedName>
    <definedName name="vhjh" localSheetId="18" hidden="1">{#N/A,#N/A,FALSE,"CCTV"}</definedName>
    <definedName name="vhjh" hidden="1">{#N/A,#N/A,FALSE,"CCTV"}</definedName>
    <definedName name="vhxfj" localSheetId="18" hidden="1">{"'Sheet1'!$L$16"}</definedName>
    <definedName name="vhxfj" hidden="1">{"'Sheet1'!$L$16"}</definedName>
    <definedName name="VIET" localSheetId="18" hidden="1">{#N/A,#N/A,FALSE,"m66";#N/A,#N/A,FALSE,"m66"}</definedName>
    <definedName name="VIET" hidden="1">{#N/A,#N/A,FALSE,"m66";#N/A,#N/A,FALSE,"m66"}</definedName>
    <definedName name="vmh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localSheetId="18" hidden="1">{#N/A,#N/A,FALSE,"CCTV"}</definedName>
    <definedName name="VNJ" hidden="1">{#N/A,#N/A,FALSE,"CCTV"}</definedName>
    <definedName name="VRER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localSheetId="18" hidden="1">{"'Feb 99'!$A$1:$G$30"}</definedName>
    <definedName name="VRP" hidden="1">{"'Feb 99'!$A$1:$G$30"}</definedName>
    <definedName name="VS" localSheetId="18" hidden="1">{"'매출계획'!$D$2"}</definedName>
    <definedName name="VS" hidden="1">{"'매출계획'!$D$2"}</definedName>
    <definedName name="vssvsvsv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hidden="1">#REF!</definedName>
    <definedName name="VTM_2" hidden="1">#REF!</definedName>
    <definedName name="VTM_3" hidden="1">#REF!</definedName>
    <definedName name="VTN_8888" hidden="1">#REF!</definedName>
    <definedName name="vv" localSheetId="18" hidden="1">{"cashflow",#N/A,FALSE,"CASHFLOW "}</definedName>
    <definedName name="vv" hidden="1">{"cashflow",#N/A,FALSE,"CASHFLOW "}</definedName>
    <definedName name="VVV" localSheetId="18" hidden="1">{"USD",#N/A,FALSE,"Dec 96 "}</definedName>
    <definedName name="VVV" hidden="1">{"USD",#N/A,FALSE,"Dec 96 "}</definedName>
    <definedName name="VVVV" localSheetId="18" hidden="1">{#N/A,#N/A,FALSE,"CCTV"}</definedName>
    <definedName name="VVVV" hidden="1">{#N/A,#N/A,FALSE,"CCTV"}</definedName>
    <definedName name="VVVVVV" localSheetId="18" hidden="1">{"'Sheet1'!$L$16"}</definedName>
    <definedName name="VVVVVV" hidden="1">{"'Sheet1'!$L$16"}</definedName>
    <definedName name="vvvvvvv" localSheetId="18" hidden="1">{#N/A,#N/A,FALSE,"CCTV"}</definedName>
    <definedName name="vvvvvvv" hidden="1">{#N/A,#N/A,FALSE,"CCTV"}</definedName>
    <definedName name="w" localSheetId="18" hidden="1">{#N/A,#N/A,FALSE,"Sheet2"}</definedName>
    <definedName name="w" hidden="1">{#N/A,#N/A,FALSE,"Sheet2"}</definedName>
    <definedName name="wdeqkwrjqekr" hidden="1">#REF!</definedName>
    <definedName name="wdwq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E" localSheetId="18" hidden="1">{"'ตัวอย่าง'!$A$1:$O$21"}</definedName>
    <definedName name="WEE" localSheetId="0" hidden="1">{"'ตัวอย่าง'!$A$1:$O$21"}</definedName>
    <definedName name="WEE" hidden="1">{"'ตัวอย่าง'!$A$1:$O$21"}</definedName>
    <definedName name="wef" localSheetId="18" hidden="1">{"'Feb 99'!$A$1:$G$30"}</definedName>
    <definedName name="wef" hidden="1">{"'Feb 99'!$A$1:$G$30"}</definedName>
    <definedName name="wegewg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localSheetId="18" hidden="1">{"'Sheet1'!$L$16"}</definedName>
    <definedName name="wegrg" hidden="1">{"'Sheet1'!$L$16"}</definedName>
    <definedName name="weqewq" localSheetId="18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rtsw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localSheetId="18" hidden="1">{"'Sheet1'!$L$16"}</definedName>
    <definedName name="werwer" hidden="1">{"'Sheet1'!$L$16"}</definedName>
    <definedName name="WERWERWER" hidden="1">#REF!</definedName>
    <definedName name="wete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localSheetId="18" hidden="1">{"'Sheet1'!$L$16"}</definedName>
    <definedName name="wewrtw" hidden="1">{"'Sheet1'!$L$16"}</definedName>
    <definedName name="wf" localSheetId="23" hidden="1">#REF!</definedName>
    <definedName name="wf" localSheetId="21" hidden="1">#REF!</definedName>
    <definedName name="wf" localSheetId="20" hidden="1">#REF!</definedName>
    <definedName name="wf" localSheetId="0" hidden="1">#REF!</definedName>
    <definedName name="wf" hidden="1">[27]T.Tinh!#REF!</definedName>
    <definedName name="wha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localSheetId="18" hidden="1">{#N/A,#N/A,FALSE,"Sheet1"}</definedName>
    <definedName name="woan" hidden="1">{#N/A,#N/A,FALSE,"Sheet1"}</definedName>
    <definedName name="WP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localSheetId="18" hidden="1">{"'ตัวอย่าง'!$A$1:$O$21"}</definedName>
    <definedName name="wqwqw" localSheetId="0" hidden="1">{"'ตัวอย่าง'!$A$1:$O$21"}</definedName>
    <definedName name="wqwqw" hidden="1">{"'ตัวอย่าง'!$A$1:$O$21"}</definedName>
    <definedName name="w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localSheetId="18" hidden="1">{"Tages_D",#N/A,FALSE,"Tagesbericht";"Tages_PL",#N/A,FALSE,"Tagesbericht"}</definedName>
    <definedName name="wrg.Tages" hidden="1">{"Tages_D",#N/A,FALSE,"Tagesbericht";"Tages_PL",#N/A,FALSE,"Tagesbericht"}</definedName>
    <definedName name="WRITE" localSheetId="18" hidden="1">{#N/A,#N/A,FALSE,"CCTV"}</definedName>
    <definedName name="WRITE" hidden="1">{#N/A,#N/A,FALSE,"CCTV"}</definedName>
    <definedName name="wrn" localSheetId="18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18" hidden="1">{#N/A,#N/A,FALSE,"Sheet2"}</definedName>
    <definedName name="wrn.1." hidden="1">{#N/A,#N/A,FALSE,"Sheet2"}</definedName>
    <definedName name="wrn.1_lev." localSheetId="18" hidden="1">{"level1",#N/A,FALSE,"1_LEV";"LEVEL1",#N/A,FALSE,"1_LEV"}</definedName>
    <definedName name="wrn.1_lev." localSheetId="0" hidden="1">{"level1",#N/A,FALSE,"1_LEV";"LEVEL1",#N/A,FALSE,"1_LEV"}</definedName>
    <definedName name="wrn.1_lev." hidden="1">{"level1",#N/A,FALSE,"1_LEV";"LEVEL1",#N/A,FALSE,"1_LEV"}</definedName>
    <definedName name="wrn.1_levbt." localSheetId="18" hidden="1">{"lev1bt",#N/A,FALSE,"1_LEVB-T"}</definedName>
    <definedName name="wrn.1_levbt." localSheetId="0" hidden="1">{"lev1bt",#N/A,FALSE,"1_LEVB-T"}</definedName>
    <definedName name="wrn.1_levbt." hidden="1">{"lev1bt",#N/A,FALSE,"1_LEVB-T"}</definedName>
    <definedName name="wrn.2_levmon." localSheetId="18" hidden="1">{"lev2mon",#N/A,FALSE,"2_levmon"}</definedName>
    <definedName name="wrn.2_levmon." localSheetId="0" hidden="1">{"lev2mon",#N/A,FALSE,"2_levmon"}</definedName>
    <definedName name="wrn.2_levmon." hidden="1">{"lev2mon",#N/A,FALSE,"2_levmon"}</definedName>
    <definedName name="wrn.2_levmonbt." localSheetId="18" hidden="1">{"lev2monbt",#N/A,FALSE,"2_levmonB-T"}</definedName>
    <definedName name="wrn.2_levmonbt." localSheetId="0" hidden="1">{"lev2monbt",#N/A,FALSE,"2_levmonB-T"}</definedName>
    <definedName name="wrn.2_levmonbt." hidden="1">{"lev2monbt",#N/A,FALSE,"2_levmonB-T"}</definedName>
    <definedName name="wrn.2_levytd." localSheetId="18" hidden="1">{"lev2ytd",#N/A,FALSE,"2_LEVYTD"}</definedName>
    <definedName name="wrn.2_levytd." localSheetId="0" hidden="1">{"lev2ytd",#N/A,FALSE,"2_LEVYTD"}</definedName>
    <definedName name="wrn.2_levytd." hidden="1">{"lev2ytd",#N/A,FALSE,"2_LEVYTD"}</definedName>
    <definedName name="wrn.2_levytdbt." localSheetId="18" hidden="1">{"lev2tytbt",#N/A,FALSE,"2_LEVYTDB-T"}</definedName>
    <definedName name="wrn.2_levytdbt." localSheetId="0" hidden="1">{"lev2tytbt",#N/A,FALSE,"2_LEVYTDB-T"}</definedName>
    <definedName name="wrn.2_levytdbt." hidden="1">{"lev2tytbt",#N/A,FALSE,"2_LEVYTDB-T"}</definedName>
    <definedName name="wrn.3LEVEL." localSheetId="18" hidden="1">{#N/A,#N/A,FALSE,"SALE1";#N/A,#N/A,FALSE,"DOMEST1";#N/A,#N/A,FALSE,"PD";#N/A,#N/A,FALSE,"PRODUCT";#N/A,#N/A,FALSE,"PDFAC1";#N/A,#N/A,FALSE,"3LEVEL1";#N/A,#N/A,FALSE,"3LVYTD09"}</definedName>
    <definedName name="wrn.3LEVEL." localSheetId="0" hidden="1">{#N/A,#N/A,FALSE,"SALE1";#N/A,#N/A,FALSE,"DOMEST1";#N/A,#N/A,FALSE,"PD";#N/A,#N/A,FALSE,"PRODUCT";#N/A,#N/A,FALSE,"PDFAC1";#N/A,#N/A,FALSE,"3LEVEL1";#N/A,#N/A,FALSE,"3LVYTD09"}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localSheetId="18" hidden="1">{"Profit",#N/A,FALSE,"448k";"Capital",#N/A,FALSE,"448k"}</definedName>
    <definedName name="wrn.448k." localSheetId="23" hidden="1">{"Profit",#N/A,FALSE,"448k";"Capital",#N/A,FALSE,"448k"}</definedName>
    <definedName name="wrn.448k." localSheetId="21" hidden="1">{"Profit",#N/A,FALSE,"448k";"Capital",#N/A,FALSE,"448k"}</definedName>
    <definedName name="wrn.448k." localSheetId="20" hidden="1">{"Profit",#N/A,FALSE,"448k";"Capital",#N/A,FALSE,"448k"}</definedName>
    <definedName name="wrn.448k." localSheetId="0" hidden="1">{"Profit",#N/A,FALSE,"448k";"Capital",#N/A,FALSE,"448k"}</definedName>
    <definedName name="wrn.448k." hidden="1">{"Profit",#N/A,FALSE,"448k";"Capital",#N/A,FALSE,"448k"}</definedName>
    <definedName name="wrn.4500_4P." localSheetId="18" hidden="1">{"Profit",#N/A,FALSE,"4500(4P)";"Capital",#N/A,FALSE,"4500(4P)"}</definedName>
    <definedName name="wrn.4500_4P." localSheetId="23" hidden="1">{"Profit",#N/A,FALSE,"4500(4P)";"Capital",#N/A,FALSE,"4500(4P)"}</definedName>
    <definedName name="wrn.4500_4P." localSheetId="21" hidden="1">{"Profit",#N/A,FALSE,"4500(4P)";"Capital",#N/A,FALSE,"4500(4P)"}</definedName>
    <definedName name="wrn.4500_4P." localSheetId="20" hidden="1">{"Profit",#N/A,FALSE,"4500(4P)";"Capital",#N/A,FALSE,"4500(4P)"}</definedName>
    <definedName name="wrn.4500_4P." localSheetId="0" hidden="1">{"Profit",#N/A,FALSE,"4500(4P)";"Capital",#N/A,FALSE,"4500(4P)"}</definedName>
    <definedName name="wrn.4500_4P." hidden="1">{"Profit",#N/A,FALSE,"4500(4P)";"Capital",#N/A,FALSE,"4500(4P)"}</definedName>
    <definedName name="wrn.4500_6P." localSheetId="18" hidden="1">{"Profit",#N/A,FALSE,"4500(6P)";"Capital",#N/A,FALSE,"4500(6P)"}</definedName>
    <definedName name="wrn.4500_6P." localSheetId="23" hidden="1">{"Profit",#N/A,FALSE,"4500(6P)";"Capital",#N/A,FALSE,"4500(6P)"}</definedName>
    <definedName name="wrn.4500_6P." localSheetId="21" hidden="1">{"Profit",#N/A,FALSE,"4500(6P)";"Capital",#N/A,FALSE,"4500(6P)"}</definedName>
    <definedName name="wrn.4500_6P." localSheetId="20" hidden="1">{"Profit",#N/A,FALSE,"4500(6P)";"Capital",#N/A,FALSE,"4500(6P)"}</definedName>
    <definedName name="wrn.4500_6P." localSheetId="0" hidden="1">{"Profit",#N/A,FALSE,"4500(6P)";"Capital",#N/A,FALSE,"4500(6P)"}</definedName>
    <definedName name="wrn.4500_6P." hidden="1">{"Profit",#N/A,FALSE,"4500(6P)";"Capital",#N/A,FALSE,"4500(6P)"}</definedName>
    <definedName name="wrn.4500_8P." localSheetId="18" hidden="1">{"Profit",#N/A,FALSE,"4500(8P)";"Capital",#N/A,FALSE,"4500(8P)"}</definedName>
    <definedName name="wrn.4500_8P." localSheetId="23" hidden="1">{"Profit",#N/A,FALSE,"4500(8P)";"Capital",#N/A,FALSE,"4500(8P)"}</definedName>
    <definedName name="wrn.4500_8P." localSheetId="21" hidden="1">{"Profit",#N/A,FALSE,"4500(8P)";"Capital",#N/A,FALSE,"4500(8P)"}</definedName>
    <definedName name="wrn.4500_8P." localSheetId="20" hidden="1">{"Profit",#N/A,FALSE,"4500(8P)";"Capital",#N/A,FALSE,"4500(8P)"}</definedName>
    <definedName name="wrn.4500_8P." localSheetId="0" hidden="1">{"Profit",#N/A,FALSE,"4500(8P)";"Capital",#N/A,FALSE,"4500(8P)"}</definedName>
    <definedName name="wrn.4500_8P." hidden="1">{"Profit",#N/A,FALSE,"4500(8P)";"Capital",#N/A,FALSE,"4500(8P)"}</definedName>
    <definedName name="wrn.800bsh." localSheetId="18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localSheetId="18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localSheetId="18" hidden="1">{#N/A,#N/A,FALSE,"Sheet1";#N/A,#N/A,FALSE,"Sheet1";#N/A,#N/A,FALSE,"Sheet1"}</definedName>
    <definedName name="wrn.aaa." hidden="1">{#N/A,#N/A,FALSE,"Sheet1";#N/A,#N/A,FALSE,"Sheet1";#N/A,#N/A,FALSE,"Sheet1"}</definedName>
    <definedName name="wrn.ACCRUE._.PAYROLL." localSheetId="18" hidden="1">{"HK PR",#N/A,FALSE,"HK";"SUMMARY",#N/A,FALSE,"PAYROLL";"SUMMARY",#N/A,FALSE,"PAYROLL";"HK PR",#N/A,FALSE,"HK"}</definedName>
    <definedName name="wrn.ACCRUE._.PAYROLL." localSheetId="23" hidden="1">{"HK PR",#N/A,FALSE,"HK";"SUMMARY",#N/A,FALSE,"PAYROLL";"SUMMARY",#N/A,FALSE,"PAYROLL";"HK PR",#N/A,FALSE,"HK"}</definedName>
    <definedName name="wrn.ACCRUE._.PAYROLL." localSheetId="21" hidden="1">{"HK PR",#N/A,FALSE,"HK";"SUMMARY",#N/A,FALSE,"PAYROLL";"SUMMARY",#N/A,FALSE,"PAYROLL";"HK PR",#N/A,FALSE,"HK"}</definedName>
    <definedName name="wrn.ACCRUE._.PAYROLL." localSheetId="20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8" hidden="1">{"Acq_matrix",#N/A,FALSE,"Acquisition Matrix"}</definedName>
    <definedName name="wrn.Acquisition_matrix." localSheetId="23" hidden="1">{"Acq_matrix",#N/A,FALSE,"Acquisition Matrix"}</definedName>
    <definedName name="wrn.Acquisition_matrix." localSheetId="21" hidden="1">{"Acq_matrix",#N/A,FALSE,"Acquisition Matrix"}</definedName>
    <definedName name="wrn.Acquisition_matrix." localSheetId="20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18" hidden="1">{"adj95mult",#N/A,FALSE,"COMPCO";"adj95est",#N/A,FALSE,"COMPCO"}</definedName>
    <definedName name="wrn.adj95." localSheetId="23" hidden="1">{"adj95mult",#N/A,FALSE,"COMPCO";"adj95est",#N/A,FALSE,"COMPCO"}</definedName>
    <definedName name="wrn.adj95." localSheetId="21" hidden="1">{"adj95mult",#N/A,FALSE,"COMPCO";"adj95est",#N/A,FALSE,"COMPCO"}</definedName>
    <definedName name="wrn.adj95." localSheetId="20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8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3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1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0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localSheetId="18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localSheetId="18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NG." localSheetId="18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localSheetId="18" hidden="1">{"AQUIRORDCF",#N/A,FALSE,"Merger consequences";"Acquirorassns",#N/A,FALSE,"Merger consequences"}</definedName>
    <definedName name="wrn.AQUIROR._.DCF." localSheetId="23" hidden="1">{"AQUIRORDCF",#N/A,FALSE,"Merger consequences";"Acquirorassns",#N/A,FALSE,"Merger consequences"}</definedName>
    <definedName name="wrn.AQUIROR._.DCF." localSheetId="21" hidden="1">{"AQUIRORDCF",#N/A,FALSE,"Merger consequences";"Acquirorassns",#N/A,FALSE,"Merger consequences"}</definedName>
    <definedName name="wrn.AQUIROR._.DCF." localSheetId="20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8" hidden="1">{"balance",#N/A,FALSE,"BALANCE"}</definedName>
    <definedName name="wrn.BALANCE." localSheetId="0" hidden="1">{"balance",#N/A,FALSE,"BALANCE"}</definedName>
    <definedName name="wrn.BALANCE." hidden="1">{"balance",#N/A,FALSE,"BALANCE"}</definedName>
    <definedName name="wrn.Bao._.Cao." localSheetId="18" hidden="1">{#N/A,#N/A,FALSE,"Sheet1"}</definedName>
    <definedName name="wrn.Bao._.Cao." hidden="1">{#N/A,#N/A,FALSE,"Sheet1"}</definedName>
    <definedName name="wrn.BAOCAO." localSheetId="18" hidden="1">{#N/A,#N/A,FALSE,"sum";#N/A,#N/A,FALSE,"MARTV";#N/A,#N/A,FALSE,"APRTV"}</definedName>
    <definedName name="wrn.BAOCAO." localSheetId="23" hidden="1">{#N/A,#N/A,FALSE,"sum";#N/A,#N/A,FALSE,"MARTV";#N/A,#N/A,FALSE,"APRTV"}</definedName>
    <definedName name="wrn.BAOCAO." localSheetId="21" hidden="1">{#N/A,#N/A,FALSE,"sum";#N/A,#N/A,FALSE,"MARTV";#N/A,#N/A,FALSE,"APRTV"}</definedName>
    <definedName name="wrn.BAOCAO." localSheetId="20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8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3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localSheetId="18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18" hidden="1">{#N/A,#N/A,FALSE,"CCTV"}</definedName>
    <definedName name="wrn.BM." hidden="1">{#N/A,#N/A,FALSE,"CCTV"}</definedName>
    <definedName name="wrn.BOOK11." localSheetId="18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localSheetId="18" hidden="1">{#N/A,"BRÅNEMARK",FALSE,"C1000BAS";#N/A,"PROCERA",FALSE,"C1000BAS"}</definedName>
    <definedName name="wrn.C1000BAS." hidden="1">{#N/A,"BRÅNEMARK",FALSE,"C1000BAS";#N/A,"PROCERA",FALSE,"C1000BAS"}</definedName>
    <definedName name="wrn.C1000BAS._1" localSheetId="18" hidden="1">{#N/A,"BRÅNEMARK",FALSE,"C1000BAS";#N/A,"PROCERA",FALSE,"C1000BAS"}</definedName>
    <definedName name="wrn.C1000BAS._1" hidden="1">{#N/A,"BRÅNEMARK",FALSE,"C1000BAS";#N/A,"PROCERA",FALSE,"C1000BAS"}</definedName>
    <definedName name="wrn.Capex.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localSheetId="18" hidden="1">{"CapitalInput",#N/A,FALSE,"Equipt Input";"Capital Profile",#N/A,FALSE,"Equipt Input"}</definedName>
    <definedName name="wrn.Capital." localSheetId="23" hidden="1">{"CapitalInput",#N/A,FALSE,"Equipt Input";"Capital Profile",#N/A,FALSE,"Equipt Input"}</definedName>
    <definedName name="wrn.Capital." localSheetId="21" hidden="1">{"CapitalInput",#N/A,FALSE,"Equipt Input";"Capital Profile",#N/A,FALSE,"Equipt Input"}</definedName>
    <definedName name="wrn.Capital." localSheetId="20" hidden="1">{"CapitalInput",#N/A,FALSE,"Equipt Input";"Capital Profile",#N/A,FALSE,"Equipt Input"}</definedName>
    <definedName name="wrn.Capital." localSheetId="0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8" hidden="1">{"cashflow",#N/A,FALSE,"CASHFLOW "}</definedName>
    <definedName name="wrn.cashflow." localSheetId="0" hidden="1">{"cashflow",#N/A,FALSE,"CASHFLOW "}</definedName>
    <definedName name="wrn.cashflow." hidden="1">{"cashflow",#N/A,FALSE,"CASHFLOW "}</definedName>
    <definedName name="wrn.CBA.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18" hidden="1">{#N/A,#N/A,FALSE,"Chi tiÆt"}</definedName>
    <definedName name="wrn.chi._.tiÆt." localSheetId="23" hidden="1">{#N/A,#N/A,FALSE,"Chi tiÆt"}</definedName>
    <definedName name="wrn.chi._.tiÆt." localSheetId="21" hidden="1">{#N/A,#N/A,FALSE,"Chi tiÆt"}</definedName>
    <definedName name="wrn.chi._.tiÆt." localSheetId="20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18" hidden="1">{#N/A,#N/A,FALSE,"Chi tiÆt"}</definedName>
    <definedName name="wrn.chi._.tiÆt._1" hidden="1">{#N/A,#N/A,FALSE,"Chi tiÆt"}</definedName>
    <definedName name="wrn.chi._.tiÆt._1_1" localSheetId="18" hidden="1">{#N/A,#N/A,FALSE,"Chi tiÆt"}</definedName>
    <definedName name="wrn.chi._.tiÆt._1_1" hidden="1">{#N/A,#N/A,FALSE,"Chi tiÆt"}</definedName>
    <definedName name="wrn.chi._.tiÆt._1_1_1" localSheetId="18" hidden="1">{#N/A,#N/A,FALSE,"Chi tiÆt"}</definedName>
    <definedName name="wrn.chi._.tiÆt._1_1_1" hidden="1">{#N/A,#N/A,FALSE,"Chi tiÆt"}</definedName>
    <definedName name="wrn.chi._.tiÆt._1_1_2" localSheetId="18" hidden="1">{#N/A,#N/A,FALSE,"Chi tiÆt"}</definedName>
    <definedName name="wrn.chi._.tiÆt._1_1_2" hidden="1">{#N/A,#N/A,FALSE,"Chi tiÆt"}</definedName>
    <definedName name="wrn.chi._.tiÆt._1_2" localSheetId="18" hidden="1">{#N/A,#N/A,FALSE,"Chi tiÆt"}</definedName>
    <definedName name="wrn.chi._.tiÆt._1_2" hidden="1">{#N/A,#N/A,FALSE,"Chi tiÆt"}</definedName>
    <definedName name="wrn.chi._.tiÆt._1_3" localSheetId="18" hidden="1">{#N/A,#N/A,FALSE,"Chi tiÆt"}</definedName>
    <definedName name="wrn.chi._.tiÆt._1_3" hidden="1">{#N/A,#N/A,FALSE,"Chi tiÆt"}</definedName>
    <definedName name="wrn.chi._.tiÆt._2" localSheetId="18" hidden="1">{#N/A,#N/A,FALSE,"Chi tiÆt"}</definedName>
    <definedName name="wrn.chi._.tiÆt._2" hidden="1">{#N/A,#N/A,FALSE,"Chi tiÆt"}</definedName>
    <definedName name="wrn.chi._.tiÆt._2_1" localSheetId="18" hidden="1">{#N/A,#N/A,FALSE,"Chi tiÆt"}</definedName>
    <definedName name="wrn.chi._.tiÆt._2_1" hidden="1">{#N/A,#N/A,FALSE,"Chi tiÆt"}</definedName>
    <definedName name="wrn.chi._.tiÆt._2_2" localSheetId="18" hidden="1">{#N/A,#N/A,FALSE,"Chi tiÆt"}</definedName>
    <definedName name="wrn.chi._.tiÆt._2_2" hidden="1">{#N/A,#N/A,FALSE,"Chi tiÆt"}</definedName>
    <definedName name="wrn.chi._.tiÆt._3" localSheetId="18" hidden="1">{#N/A,#N/A,FALSE,"Chi tiÆt"}</definedName>
    <definedName name="wrn.chi._.tiÆt._3" hidden="1">{#N/A,#N/A,FALSE,"Chi tiÆt"}</definedName>
    <definedName name="wrn.chi._.tiÆt._4" localSheetId="18" hidden="1">{#N/A,#N/A,FALSE,"Chi tiÆt"}</definedName>
    <definedName name="wrn.chi._.tiÆt._4" hidden="1">{#N/A,#N/A,FALSE,"Chi tiÆt"}</definedName>
    <definedName name="wrn.cisco2501." localSheetId="18" hidden="1">{"Profit",#N/A,FALSE,"cisco2501";"Capital",#N/A,FALSE,"cisco2501"}</definedName>
    <definedName name="wrn.cisco2501." localSheetId="23" hidden="1">{"Profit",#N/A,FALSE,"cisco2501";"Capital",#N/A,FALSE,"cisco2501"}</definedName>
    <definedName name="wrn.cisco2501." localSheetId="21" hidden="1">{"Profit",#N/A,FALSE,"cisco2501";"Capital",#N/A,FALSE,"cisco2501"}</definedName>
    <definedName name="wrn.cisco2501." localSheetId="20" hidden="1">{"Profit",#N/A,FALSE,"cisco2501";"Capital",#N/A,FALSE,"cisco2501"}</definedName>
    <definedName name="wrn.cisco2501." localSheetId="0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8" hidden="1">{"Profit",#N/A,FALSE,"Cisco2501a";"Capital",#N/A,FALSE,"Cisco2501a"}</definedName>
    <definedName name="wrn.cisco2501a." localSheetId="23" hidden="1">{"Profit",#N/A,FALSE,"Cisco2501a";"Capital",#N/A,FALSE,"Cisco2501a"}</definedName>
    <definedName name="wrn.cisco2501a." localSheetId="21" hidden="1">{"Profit",#N/A,FALSE,"Cisco2501a";"Capital",#N/A,FALSE,"Cisco2501a"}</definedName>
    <definedName name="wrn.cisco2501a." localSheetId="20" hidden="1">{"Profit",#N/A,FALSE,"Cisco2501a";"Capital",#N/A,FALSE,"Cisco2501a"}</definedName>
    <definedName name="wrn.cisco2501a." localSheetId="0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8" hidden="1">{"Profit",#N/A,FALSE,"Cisco2514";"Capital",#N/A,FALSE,"Cisco2514"}</definedName>
    <definedName name="wrn.cisco2514." localSheetId="23" hidden="1">{"Profit",#N/A,FALSE,"Cisco2514";"Capital",#N/A,FALSE,"Cisco2514"}</definedName>
    <definedName name="wrn.cisco2514." localSheetId="21" hidden="1">{"Profit",#N/A,FALSE,"Cisco2514";"Capital",#N/A,FALSE,"Cisco2514"}</definedName>
    <definedName name="wrn.cisco2514." localSheetId="20" hidden="1">{"Profit",#N/A,FALSE,"Cisco2514";"Capital",#N/A,FALSE,"Cisco2514"}</definedName>
    <definedName name="wrn.cisco2514." localSheetId="0" hidden="1">{"Profit",#N/A,FALSE,"Cisco2514";"Capital",#N/A,FALSE,"Cisco2514"}</definedName>
    <definedName name="wrn.cisco2514." hidden="1">{"Profit",#N/A,FALSE,"Cisco2514";"Capital",#N/A,FALSE,"Cisco2514"}</definedName>
    <definedName name="wrn.cisco4000." localSheetId="18" hidden="1">{"Profit",#N/A,FALSE,"4500(12)";"Capital",#N/A,FALSE,"4500(12)";"Profit",#N/A,FALSE,"Cisco4000";"Capital",#N/A,FALSE,"Cisco4000"}</definedName>
    <definedName name="wrn.cisco4000." localSheetId="23" hidden="1">{"Profit",#N/A,FALSE,"4500(12)";"Capital",#N/A,FALSE,"4500(12)";"Profit",#N/A,FALSE,"Cisco4000";"Capital",#N/A,FALSE,"Cisco4000"}</definedName>
    <definedName name="wrn.cisco4000." localSheetId="21" hidden="1">{"Profit",#N/A,FALSE,"4500(12)";"Capital",#N/A,FALSE,"4500(12)";"Profit",#N/A,FALSE,"Cisco4000";"Capital",#N/A,FALSE,"Cisco4000"}</definedName>
    <definedName name="wrn.cisco4000." localSheetId="20" hidden="1">{"Profit",#N/A,FALSE,"4500(12)";"Capital",#N/A,FALSE,"4500(12)";"Profit",#N/A,FALSE,"Cisco4000";"Capital",#N/A,FALSE,"Cisco4000"}</definedName>
    <definedName name="wrn.cisco4000." localSheetId="0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8" hidden="1">{"Profit",#N/A,FALSE,"Cisco4500";"Capital",#N/A,FALSE,"Cisco4500"}</definedName>
    <definedName name="wrn.cisco4500." localSheetId="23" hidden="1">{"Profit",#N/A,FALSE,"Cisco4500";"Capital",#N/A,FALSE,"Cisco4500"}</definedName>
    <definedName name="wrn.cisco4500." localSheetId="21" hidden="1">{"Profit",#N/A,FALSE,"Cisco4500";"Capital",#N/A,FALSE,"Cisco4500"}</definedName>
    <definedName name="wrn.cisco4500." localSheetId="20" hidden="1">{"Profit",#N/A,FALSE,"Cisco4500";"Capital",#N/A,FALSE,"Cisco4500"}</definedName>
    <definedName name="wrn.cisco4500." localSheetId="0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8" hidden="1">{"Profit",#N/A,FALSE,"Cisco 4500p";"Capital",#N/A,FALSE,"Cisco 4500p"}</definedName>
    <definedName name="wrn.Cisco4500p." localSheetId="23" hidden="1">{"Profit",#N/A,FALSE,"Cisco 4500p";"Capital",#N/A,FALSE,"Cisco 4500p"}</definedName>
    <definedName name="wrn.Cisco4500p." localSheetId="21" hidden="1">{"Profit",#N/A,FALSE,"Cisco 4500p";"Capital",#N/A,FALSE,"Cisco 4500p"}</definedName>
    <definedName name="wrn.Cisco4500p." localSheetId="20" hidden="1">{"Profit",#N/A,FALSE,"Cisco 4500p";"Capital",#N/A,FALSE,"Cisco 4500p"}</definedName>
    <definedName name="wrn.Cisco4500p." localSheetId="0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8" hidden="1">{"Profit",#N/A,FALSE,"Cisco7000a";"Capital",#N/A,FALSE,"Cisco7000a"}</definedName>
    <definedName name="wrn.cisco7000a." localSheetId="23" hidden="1">{"Profit",#N/A,FALSE,"Cisco7000a";"Capital",#N/A,FALSE,"Cisco7000a"}</definedName>
    <definedName name="wrn.cisco7000a." localSheetId="21" hidden="1">{"Profit",#N/A,FALSE,"Cisco7000a";"Capital",#N/A,FALSE,"Cisco7000a"}</definedName>
    <definedName name="wrn.cisco7000a." localSheetId="20" hidden="1">{"Profit",#N/A,FALSE,"Cisco7000a";"Capital",#N/A,FALSE,"Cisco7000a"}</definedName>
    <definedName name="wrn.cisco7000a." localSheetId="0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8" hidden="1">{"Profit",#N/A,FALSE,"ciscoags+";"Capital",#N/A,FALSE,"ciscoags+"}</definedName>
    <definedName name="wrn.CiscoAGS." localSheetId="23" hidden="1">{"Profit",#N/A,FALSE,"ciscoags+";"Capital",#N/A,FALSE,"ciscoags+"}</definedName>
    <definedName name="wrn.CiscoAGS." localSheetId="21" hidden="1">{"Profit",#N/A,FALSE,"ciscoags+";"Capital",#N/A,FALSE,"ciscoags+"}</definedName>
    <definedName name="wrn.CiscoAGS." localSheetId="20" hidden="1">{"Profit",#N/A,FALSE,"ciscoags+";"Capital",#N/A,FALSE,"ciscoags+"}</definedName>
    <definedName name="wrn.CiscoAGS." localSheetId="0" hidden="1">{"Profit",#N/A,FALSE,"ciscoags+";"Capital",#N/A,FALSE,"ciscoags+"}</definedName>
    <definedName name="wrn.CiscoAGS." hidden="1">{"Profit",#N/A,FALSE,"ciscoags+";"Capital",#N/A,FALSE,"ciscoags+"}</definedName>
    <definedName name="wrn.CMGREY2.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localSheetId="18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localSheetId="18" hidden="1">{"mult96",#N/A,FALSE,"PETCOMP";"est96",#N/A,FALSE,"PETCOMP";"mult95",#N/A,FALSE,"PETCOMP";"est95",#N/A,FALSE,"PETCOMP";"multltm",#N/A,FALSE,"PETCOMP";"resultltm",#N/A,FALSE,"PETCOMP"}</definedName>
    <definedName name="wrn.compco." localSheetId="23" hidden="1">{"mult96",#N/A,FALSE,"PETCOMP";"est96",#N/A,FALSE,"PETCOMP";"mult95",#N/A,FALSE,"PETCOMP";"est95",#N/A,FALSE,"PETCOMP";"multltm",#N/A,FALSE,"PETCOMP";"resultltm",#N/A,FALSE,"PETCOMP"}</definedName>
    <definedName name="wrn.compco." localSheetId="21" hidden="1">{"mult96",#N/A,FALSE,"PETCOMP";"est96",#N/A,FALSE,"PETCOMP";"mult95",#N/A,FALSE,"PETCOMP";"est95",#N/A,FALSE,"PETCOMP";"multltm",#N/A,FALSE,"PETCOMP";"resultltm",#N/A,FALSE,"PETCOMP"}</definedName>
    <definedName name="wrn.compco." localSheetId="20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18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localSheetId="18" hidden="1">{#N/A,#N/A,FALSE,"Sheet1"}</definedName>
    <definedName name="wrn.cong." hidden="1">{#N/A,#N/A,FALSE,"Sheet1"}</definedName>
    <definedName name="wrn.COST._.REPORT." localSheetId="18" hidden="1">{#N/A,#N/A,FALSE,"ACVPM_12";#N/A,#N/A,FALSE,"ACCON_12";#N/A,#N/A,FALSE,"VARI_12"}</definedName>
    <definedName name="wrn.COST._.REPORT." hidden="1">{#N/A,#N/A,FALSE,"ACVPM_12";#N/A,#N/A,FALSE,"ACCON_12";#N/A,#N/A,FALSE,"VARI_12"}</definedName>
    <definedName name="wrn.CustomPrice." localSheetId="18" hidden="1">{"PLCustom",#N/A,FALSE,"P&amp;L summary"}</definedName>
    <definedName name="wrn.CustomPrice." localSheetId="23" hidden="1">{"PLCustom",#N/A,FALSE,"P&amp;L summary"}</definedName>
    <definedName name="wrn.CustomPrice." localSheetId="21" hidden="1">{"PLCustom",#N/A,FALSE,"P&amp;L summary"}</definedName>
    <definedName name="wrn.CustomPrice." localSheetId="20" hidden="1">{"PLCustom",#N/A,FALSE,"P&amp;L summary"}</definedName>
    <definedName name="wrn.CustomPrice." localSheetId="0" hidden="1">{"PLCustom",#N/A,FALSE,"P&amp;L summary"}</definedName>
    <definedName name="wrn.CustomPrice." hidden="1">{"PLCustom",#N/A,FALSE,"P&amp;L summary"}</definedName>
    <definedName name="wrn.CVP." localSheetId="18" hidden="1">{#N/A,#N/A,FALSE,"Vic. Total"}</definedName>
    <definedName name="wrn.CVP." hidden="1">{#N/A,#N/A,FALSE,"Vic. Total"}</definedName>
    <definedName name="wrn.DCF." localSheetId="18" hidden="1">{"DCF1",#N/A,FALSE,"SIERRA DCF";"MATRIX1",#N/A,FALSE,"SIERRA DCF"}</definedName>
    <definedName name="wrn.DCF." localSheetId="23" hidden="1">{"DCF1",#N/A,FALSE,"SIERRA DCF";"MATRIX1",#N/A,FALSE,"SIERRA DCF"}</definedName>
    <definedName name="wrn.DCF." localSheetId="21" hidden="1">{"DCF1",#N/A,FALSE,"SIERRA DCF";"MATRIX1",#N/A,FALSE,"SIERRA DCF"}</definedName>
    <definedName name="wrn.DCF." localSheetId="20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18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18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18" hidden="1">{"qchm_dcf",#N/A,FALSE,"QCHMDCF2";"qchm_terminal",#N/A,FALSE,"QCHMDCF2"}</definedName>
    <definedName name="wrn.DCF_Terminal_Value_qchm." localSheetId="23" hidden="1">{"qchm_dcf",#N/A,FALSE,"QCHMDCF2";"qchm_terminal",#N/A,FALSE,"QCHMDCF2"}</definedName>
    <definedName name="wrn.DCF_Terminal_Value_qchm." localSheetId="21" hidden="1">{"qchm_dcf",#N/A,FALSE,"QCHMDCF2";"qchm_terminal",#N/A,FALSE,"QCHMDCF2"}</definedName>
    <definedName name="wrn.DCF_Terminal_Value_qchm." localSheetId="20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8" hidden="1">{#N/A,#N/A,FALSE,"PM1";#N/A,#N/A,FALSE,"PM2";#N/A,#N/A,FALSE,"PM3";#N/A,#N/A,FALSE,"PM4";#N/A,#N/A,FALSE,"PM5";#N/A,#N/A,FALSE,"PM6";#N/A,#N/A,FALSE,"CM1"}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8" hidden="1">{"Depn",#N/A,TRUE,"Equipt Input"}</definedName>
    <definedName name="wrn.Depn." localSheetId="23" hidden="1">{"Depn",#N/A,TRUE,"Equipt Input"}</definedName>
    <definedName name="wrn.Depn." localSheetId="21" hidden="1">{"Depn",#N/A,TRUE,"Equipt Input"}</definedName>
    <definedName name="wrn.Depn." localSheetId="20" hidden="1">{"Depn",#N/A,TRUE,"Equipt Input"}</definedName>
    <definedName name="wrn.Depn." localSheetId="0" hidden="1">{"Depn",#N/A,TRUE,"Equipt Input"}</definedName>
    <definedName name="wrn.Depn." hidden="1">{"Depn",#N/A,TRUE,"Equipt Input"}</definedName>
    <definedName name="wrn.Economic._.Value._.Added._.Analysis." localSheetId="18" hidden="1">{"EVA",#N/A,FALSE,"EVA";"WACC",#N/A,FALSE,"WACC"}</definedName>
    <definedName name="wrn.Economic._.Value._.Added._.Analysis." localSheetId="23" hidden="1">{"EVA",#N/A,FALSE,"EVA";"WACC",#N/A,FALSE,"WACC"}</definedName>
    <definedName name="wrn.Economic._.Value._.Added._.Analysis." localSheetId="21" hidden="1">{"EVA",#N/A,FALSE,"EVA";"WACC",#N/A,FALSE,"WACC"}</definedName>
    <definedName name="wrn.Economic._.Value._.Added._.Analysis." localSheetId="20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X_Cover." localSheetId="18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localSheetId="18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localSheetId="18" hidden="1">{"Profit",#N/A,FALSE,"extn_2501";"Capital",#N/A,FALSE,"extn_2501"}</definedName>
    <definedName name="wrn.extn_2501." localSheetId="23" hidden="1">{"Profit",#N/A,FALSE,"extn_2501";"Capital",#N/A,FALSE,"extn_2501"}</definedName>
    <definedName name="wrn.extn_2501." localSheetId="21" hidden="1">{"Profit",#N/A,FALSE,"extn_2501";"Capital",#N/A,FALSE,"extn_2501"}</definedName>
    <definedName name="wrn.extn_2501." localSheetId="20" hidden="1">{"Profit",#N/A,FALSE,"extn_2501";"Capital",#N/A,FALSE,"extn_2501"}</definedName>
    <definedName name="wrn.extn_2501." localSheetId="0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8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3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0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8" hidden="1">{"finsumm",#N/A,FALSE,"Finsumm";"graph",#N/A,FALSE,"Finsumm";"costgraph",#N/A,FALSE,"Finsumm";"costbreakdown",#N/A,FALSE,"Finsumm"}</definedName>
    <definedName name="wrn.finsummary." localSheetId="23" hidden="1">{"finsumm",#N/A,FALSE,"Finsumm";"graph",#N/A,FALSE,"Finsumm";"costgraph",#N/A,FALSE,"Finsumm";"costbreakdown",#N/A,FALSE,"Finsumm"}</definedName>
    <definedName name="wrn.finsummary." localSheetId="21" hidden="1">{"finsumm",#N/A,FALSE,"Finsumm";"graph",#N/A,FALSE,"Finsumm";"costgraph",#N/A,FALSE,"Finsumm";"costbreakdown",#N/A,FALSE,"Finsumm"}</definedName>
    <definedName name="wrn.finsummary." localSheetId="20" hidden="1">{"finsumm",#N/A,FALSE,"Finsumm";"graph",#N/A,FALSE,"Finsumm";"costgraph",#N/A,FALSE,"Finsumm";"costbreakdown",#N/A,FALSE,"Finsumm"}</definedName>
    <definedName name="wrn.finsummary." localSheetId="0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18" hidden="1">{#N/A,#N/A,FALSE,"TL";#N/A,#N/A,FALSE,"KK";#N/A,#N/A,FALSE,"TS";#N/A,#N/A,FALSE,"KW";#N/A,#N/A,FALSE,"LP";#N/A,#N/A,FALSE,"DC"}</definedName>
    <definedName name="wrn.FIX." localSheetId="0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IXED._.ASSETS._.REGISTER." localSheetId="18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localSheetId="18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localSheetId="18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._.without._.data." localSheetId="1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localSheetId="18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localSheetId="18" hidden="1">{"fleisch",#N/A,FALSE,"WG HK";"food",#N/A,FALSE,"WG HK";"hartwaren",#N/A,FALSE,"WG HK";"weichwaren",#N/A,FALSE,"WG HK"}</definedName>
    <definedName name="wrn.Grup" hidden="1">{"fleisch",#N/A,FALSE,"WG HK";"food",#N/A,FALSE,"WG HK";"hartwaren",#N/A,FALSE,"WG HK";"weichwaren",#N/A,FALSE,"WG HK"}</definedName>
    <definedName name="wrn.HDD._.Business._.Plan." localSheetId="18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8" hidden="1">{"hilight1",#N/A,FALSE,"HILIGHT1"}</definedName>
    <definedName name="wrn.hilight1." localSheetId="0" hidden="1">{"hilight1",#N/A,FALSE,"HILIGHT1"}</definedName>
    <definedName name="wrn.hilight1." hidden="1">{"hilight1",#N/A,FALSE,"HILIGHT1"}</definedName>
    <definedName name="wrn.hilight2." localSheetId="18" hidden="1">{"hilight2",#N/A,FALSE,"HILIGHT2"}</definedName>
    <definedName name="wrn.hilight2." localSheetId="0" hidden="1">{"hilight2",#N/A,FALSE,"HILIGHT2"}</definedName>
    <definedName name="wrn.hilight2." hidden="1">{"hilight2",#N/A,FALSE,"HILIGHT2"}</definedName>
    <definedName name="wrn.hilight3." localSheetId="18" hidden="1">{"hilight3",#N/A,FALSE,"HILIGHT3"}</definedName>
    <definedName name="wrn.hilight3." localSheetId="0" hidden="1">{"hilight3",#N/A,FALSE,"HILIGHT3"}</definedName>
    <definedName name="wrn.hilight3." hidden="1">{"hilight3",#N/A,FALSE,"HILIGHT3"}</definedName>
    <definedName name="wrn.iIMPRESSION._.DOC.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8" hidden="1">{"income",#N/A,FALSE,"INCOME"}</definedName>
    <definedName name="wrn.income." localSheetId="0" hidden="1">{"income",#N/A,FALSE,"INCOME"}</definedName>
    <definedName name="wrn.income." hidden="1">{"income",#N/A,FALSE,"INCOME"}</definedName>
    <definedName name="wrn.index." localSheetId="18" hidden="1">{"index",#N/A,FALSE,"INDEX"}</definedName>
    <definedName name="wrn.index." localSheetId="0" hidden="1">{"index",#N/A,FALSE,"INDEX"}</definedName>
    <definedName name="wrn.index." hidden="1">{"index",#N/A,FALSE,"INDEX"}</definedName>
    <definedName name="wrn.Inputs." localSheetId="18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3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localSheetId="18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Inventory._.Reporting." localSheetId="18" hidden="1">{#N/A,#N/A,FALSE,"Inventory Summary";#N/A,#N/A,FALSE,"Pathlight Stock ";#N/A,#N/A,FALSE,"Vicom Stock ";#N/A,#N/A,FALSE,"Purchases "}</definedName>
    <definedName name="wrn.Inventory._.Reporting." hidden="1">{#N/A,#N/A,FALSE,"Inventory Summary";#N/A,#N/A,FALSE,"Pathlight Stock ";#N/A,#N/A,FALSE,"Vicom Stock ";#N/A,#N/A,FALSE,"Purchases "}</definedName>
    <definedName name="wrn.Jury." localSheetId="18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localSheetId="18" hidden="1">{"KWG Current month TB. &amp; B / T",#N/A,FALSE,"DOMESTIC &amp; EXPORT_KWG";"KWG YTD TB. &amp; B / T",#N/A,FALSE,"DOMESTIC &amp; EXPORT_KWG"}</definedName>
    <definedName name="wrn.KWG._.Plant." localSheetId="0" hidden="1">{"KWG Current month TB. &amp; B / T",#N/A,FALSE,"DOMESTIC &amp; EXPORT_KWG";"KWG YTD TB. &amp; B / T",#N/A,FALSE,"DOMESTIC &amp; EXPORT_KWG"}</definedName>
    <definedName name="wrn.KWG._.Plant." hidden="1">{"KWG Current month TB. &amp; B / T",#N/A,FALSE,"DOMESTIC &amp; EXPORT_KWG";"KWG YTD TB. &amp; B / T",#N/A,FALSE,"DOMESTIC &amp; EXPORT_KWG"}</definedName>
    <definedName name="wrn.list" localSheetId="18" hidden="1">{"weichwaren",#N/A,FALSE,"Liste 1";"hartwaren",#N/A,FALSE,"Liste 1";"food",#N/A,FALSE,"Liste 1";"fleisch",#N/A,FALSE,"Liste 1"}</definedName>
    <definedName name="wrn.list" hidden="1">{"weichwaren",#N/A,FALSE,"Liste 1";"hartwaren",#N/A,FALSE,"Liste 1";"food",#N/A,FALSE,"Liste 1";"fleisch",#N/A,FALSE,"Liste 1"}</definedName>
    <definedName name="wrn.LISTE." localSheetId="18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localSheetId="18" hidden="1">{"month_a",#N/A,FALSE,"ACTUALS";"ytd_a",#N/A,FALSE,"ACTUALS"}</definedName>
    <definedName name="wrn.MONTH._.YTD." localSheetId="23" hidden="1">{"month_a",#N/A,FALSE,"ACTUALS";"ytd_a",#N/A,FALSE,"ACTUALS"}</definedName>
    <definedName name="wrn.MONTH._.YTD." localSheetId="21" hidden="1">{"month_a",#N/A,FALSE,"ACTUALS";"ytd_a",#N/A,FALSE,"ACTUALS"}</definedName>
    <definedName name="wrn.MONTH._.YTD." localSheetId="20" hidden="1">{"month_a",#N/A,FALSE,"ACTUALS";"ytd_a",#N/A,FALSE,"ACTUALS"}</definedName>
    <definedName name="wrn.MONTH._.YTD." localSheetId="0" hidden="1">{"month_a",#N/A,FALSE,"ACTUALS";"ytd_a",#N/A,FALSE,"ACTUALS"}</definedName>
    <definedName name="wrn.MONTH._.YTD." hidden="1">{"month_a",#N/A,FALSE,"ACTUALS";"ytd_a",#N/A,FALSE,"ACTUALS"}</definedName>
    <definedName name="wrn.MONTHLY.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8" hidden="1">{#N/A,#N/A,FALSE,"Tabelle2";#N/A,#N/A,FALSE,"Tabelle1"}</definedName>
    <definedName name="wrn.Monthly._.Statement." localSheetId="23" hidden="1">{#N/A,#N/A,FALSE,"Tabelle2";#N/A,#N/A,FALSE,"Tabelle1"}</definedName>
    <definedName name="wrn.Monthly._.Statement." localSheetId="21" hidden="1">{#N/A,#N/A,FALSE,"Tabelle2";#N/A,#N/A,FALSE,"Tabelle1"}</definedName>
    <definedName name="wrn.Monthly._.Statement." localSheetId="20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mortassetplan.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localSheetId="18" hidden="1">{#N/A,#N/A,FALSE,"Sheet1"}</definedName>
    <definedName name="wrn.MPLTC." hidden="1">{#N/A,#N/A,FALSE,"Sheet1"}</definedName>
    <definedName name="wrn.Net._.Sales._.en._.FF_Dec." localSheetId="18" hidden="1">{"FF",#N/A,FALSE,"Dec 96 "}</definedName>
    <definedName name="wrn.Net._.Sales._.en._.FF_Dec." hidden="1">{"FF",#N/A,FALSE,"Dec 96 "}</definedName>
    <definedName name="wrn.Net._.Sales._.en._.FF_janv." localSheetId="18" hidden="1">{"FF",#N/A,FALSE,"Janv 97"}</definedName>
    <definedName name="wrn.Net._.Sales._.en._.FF_janv." hidden="1">{"FF",#N/A,FALSE,"Janv 97"}</definedName>
    <definedName name="wrn.Net._.Sales._.en._.USD_Dec." localSheetId="18" hidden="1">{"USD",#N/A,FALSE,"Dec 96 "}</definedName>
    <definedName name="wrn.Net._.Sales._.en._.USD_Dec." hidden="1">{"USD",#N/A,FALSE,"Dec 96 "}</definedName>
    <definedName name="wrn.Net._.Sales._.en._.USD_janv." localSheetId="18" hidden="1">{"USD",#N/A,FALSE,"Janv 97"}</definedName>
    <definedName name="wrn.Net._.Sales._.en._.USD_janv." hidden="1">{"USD",#N/A,FALSE,"Janv 97"}</definedName>
    <definedName name="wrn.NonPay." localSheetId="18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3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0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8" hidden="1">{#N/A,#N/A,FALSE,"Assumptions";"Basedata",#N/A,FALSE,"BASEINPUT";"Checklist",#N/A,FALSE,"BASEINPUT"}</definedName>
    <definedName name="wrn.Notes." localSheetId="23" hidden="1">{#N/A,#N/A,FALSE,"Assumptions";"Basedata",#N/A,FALSE,"BASEINPUT";"Checklist",#N/A,FALSE,"BASEINPUT"}</definedName>
    <definedName name="wrn.Notes." localSheetId="21" hidden="1">{#N/A,#N/A,FALSE,"Assumptions";"Basedata",#N/A,FALSE,"BASEINPUT";"Checklist",#N/A,FALSE,"BASEINPUT"}</definedName>
    <definedName name="wrn.Notes." localSheetId="20" hidden="1">{#N/A,#N/A,FALSE,"Assumptions";"Basedata",#N/A,FALSE,"BASEINPUT";"Checklist",#N/A,FALSE,"BASEINPUT"}</definedName>
    <definedName name="wrn.Notes." localSheetId="0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8" hidden="1">{"DCF","UPSIDE CASE",FALSE,"Sheet1";"DCF","BASE CASE",FALSE,"Sheet1";"DCF","DOWNSIDE CASE",FALSE,"Sheet1"}</definedName>
    <definedName name="wrn.OUTPUT." localSheetId="23" hidden="1">{"DCF","UPSIDE CASE",FALSE,"Sheet1";"DCF","BASE CASE",FALSE,"Sheet1";"DCF","DOWNSIDE CASE",FALSE,"Sheet1"}</definedName>
    <definedName name="wrn.OUTPUT." localSheetId="21" hidden="1">{"DCF","UPSIDE CASE",FALSE,"Sheet1";"DCF","BASE CASE",FALSE,"Sheet1";"DCF","DOWNSIDE CASE",FALSE,"Sheet1"}</definedName>
    <definedName name="wrn.OUTPUT." localSheetId="20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RTNERSHIP." localSheetId="18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localSheetId="18" hidden="1">{#N/A,#N/A,TRUE,"Tæng hîp"}</definedName>
    <definedName name="wrn.phak." localSheetId="23" hidden="1">{#N/A,#N/A,TRUE,"Tæng hîp"}</definedName>
    <definedName name="wrn.phak." localSheetId="21" hidden="1">{#N/A,#N/A,TRUE,"Tæng hîp"}</definedName>
    <definedName name="wrn.phak." localSheetId="20" hidden="1">{#N/A,#N/A,TRUE,"Tæng hîp"}</definedName>
    <definedName name="wrn.phak." localSheetId="0" hidden="1">{#N/A,#N/A,TRUE,"Tæng hîp"}</definedName>
    <definedName name="wrn.phak." hidden="1">{#N/A,#N/A,TRUE,"Tæng hîp"}</definedName>
    <definedName name="wrn.PL." localSheetId="18" hidden="1">{#N/A,#N/A,FALSE,"SPLIT1";#N/A,#N/A,FALSE,"SPLIT2";#N/A,#N/A,FALSE,"TELEX";#N/A,#N/A,FALSE,"TELEX"}</definedName>
    <definedName name="wrn.PL." hidden="1">{#N/A,#N/A,FALSE,"SPLIT1";#N/A,#N/A,FALSE,"SPLIT2";#N/A,#N/A,FALSE,"TELEX";#N/A,#N/A,FALSE,"TELEX"}</definedName>
    <definedName name="wrn.PL._.trend." localSheetId="18" hidden="1">{"Jan-June",#N/A,FALSE,"Sheet4";"Jul-Dec",#N/A,FALSE,"Sheet4"}</definedName>
    <definedName name="wrn.PL._.trend." hidden="1">{"Jan-June",#N/A,FALSE,"Sheet4";"Jul-Dec",#N/A,FALSE,"Sheet4"}</definedName>
    <definedName name="wrn.PMDEPAER2.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8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3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8" hidden="1">{#N/A,#N/A,FALSE,"Admin";#N/A,#N/A,FALSE,"Other"}</definedName>
    <definedName name="wrn.print." localSheetId="23" hidden="1">{#N/A,#N/A,FALSE,"Admin";#N/A,#N/A,FALSE,"Other"}</definedName>
    <definedName name="wrn.print." localSheetId="21" hidden="1">{#N/A,#N/A,FALSE,"Admin";#N/A,#N/A,FALSE,"Other"}</definedName>
    <definedName name="wrn.print." localSheetId="20" hidden="1">{#N/A,#N/A,FALSE,"Admin";#N/A,#N/A,FALSE,"Other"}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out.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localSheetId="18" hidden="1">{"FF",#N/A,FALSE,"Projection"}</definedName>
    <definedName name="wrn.Projection._.en._.FF." hidden="1">{"FF",#N/A,FALSE,"Projection"}</definedName>
    <definedName name="wrn.QAPU.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localSheetId="18" hidden="1">{#N/A,#N/A,FALSE,"Monthly Rate By Activity";#N/A,#N/A,FALSE,"Hourly Rate By Activity";#N/A,#N/A,FALSE,"Monthly Rate By Custom Resource";#N/A,#N/A,FALSE,"Hourly Rate By Custom Resource"}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localSheetId="18" hidden="1">{"Reader",#N/A,FALSE,"Summary";"Reader",#N/A,FALSE,"Buildup";"Reader",#N/A,FALSE,"Financials";"Reader",#N/A,FALSE,"Debt &amp; Other"}</definedName>
    <definedName name="wrn.Reader." localSheetId="23" hidden="1">{"Reader",#N/A,FALSE,"Summary";"Reader",#N/A,FALSE,"Buildup";"Reader",#N/A,FALSE,"Financials";"Reader",#N/A,FALSE,"Debt &amp; Other"}</definedName>
    <definedName name="wrn.Reader." localSheetId="21" hidden="1">{"Reader",#N/A,FALSE,"Summary";"Reader",#N/A,FALSE,"Buildup";"Reader",#N/A,FALSE,"Financials";"Reader",#N/A,FALSE,"Debt &amp; Other"}</definedName>
    <definedName name="wrn.Reader." localSheetId="20" hidden="1">{"Reader",#N/A,FALSE,"Summary";"Reader",#N/A,FALSE,"Buildup";"Reader",#N/A,FALSE,"Financials";"Reader",#N/A,FALSE,"Debt &amp; Other"}</definedName>
    <definedName name="wrn.Reader." localSheetId="0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isekosten._.und._.Timesheet." localSheetId="18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localSheetId="18" hidden="1">{#N/A,#N/A,FALSE,"DK1VER";#N/A,#N/A,FALSE,"DK1VER"}</definedName>
    <definedName name="wrn.Reisekosten._.und._.Timesheets." hidden="1">{#N/A,#N/A,FALSE,"DK1VER";#N/A,#N/A,FALSE,"DK1VER"}</definedName>
    <definedName name="wrn.Report." localSheetId="18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8" hidden="1">{"PRINT_EST",#N/A,FALSE,"ESTMON"}</definedName>
    <definedName name="wrn.REPORT_EST." localSheetId="0" hidden="1">{"PRINT_EST",#N/A,FALSE,"ESTMON"}</definedName>
    <definedName name="wrn.REPORT_EST." hidden="1">{"PRINT_EST",#N/A,FALSE,"ESTMON"}</definedName>
    <definedName name="wrn.rev_sale._.report." localSheetId="18" hidden="1">{"revsale",#N/A,FALSE,"REV-ยุพดี"}</definedName>
    <definedName name="wrn.rev_sale._.report." localSheetId="0" hidden="1">{"revsale",#N/A,FALSE,"REV-ยุพดี"}</definedName>
    <definedName name="wrn.rev_sale._.report." hidden="1">{"revsale",#N/A,FALSE,"REV-ยุพดี"}</definedName>
    <definedName name="wrn.revable." localSheetId="18" hidden="1">{"revable",#N/A,FALSE,"REVABLE"}</definedName>
    <definedName name="wrn.revable." localSheetId="0" hidden="1">{"revable",#N/A,FALSE,"REVABLE"}</definedName>
    <definedName name="wrn.revable." hidden="1">{"revable",#N/A,FALSE,"REVABLE"}</definedName>
    <definedName name="wrn.Rippert." localSheetId="18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localSheetId="18" hidden="1">{#N/A,#N/A,FALSE,"Sheet1"}</definedName>
    <definedName name="wrn.RPT1." hidden="1">{#N/A,#N/A,FALSE,"Sheet1"}</definedName>
    <definedName name="wrn.RUN1." localSheetId="18" hidden="1">{"PAGE 1",#N/A,FALSE,"หน้า 1,2,3";"PAGE 2",#N/A,FALSE,"หน้า 1,2,3";"PAGE 3",#N/A,FALSE,"หน้า 1,2,3"}</definedName>
    <definedName name="wrn.RUN1." localSheetId="0" hidden="1">{"PAGE 1",#N/A,FALSE,"หน้า 1,2,3";"PAGE 2",#N/A,FALSE,"หน้า 1,2,3";"PAGE 3",#N/A,FALSE,"หน้า 1,2,3"}</definedName>
    <definedName name="wrn.RUN1." hidden="1">{"PAGE 1",#N/A,FALSE,"หน้า 1,2,3";"PAGE 2",#N/A,FALSE,"หน้า 1,2,3";"PAGE 3",#N/A,FALSE,"หน้า 1,2,3"}</definedName>
    <definedName name="wrn.SACTG." localSheetId="18" hidden="1">{"Page 1",#N/A,FALSE,"หน้า 1";"PAGE 2",#N/A,FALSE,"หน้า 2";"PAGE 3",#N/A,FALSE,"หน้า 3";"PAGE4",#N/A,FALSE,"หน้า 4"}</definedName>
    <definedName name="wrn.SACTG." localSheetId="0" hidden="1">{"Page 1",#N/A,FALSE,"หน้า 1";"PAGE 2",#N/A,FALSE,"หน้า 2";"PAGE 3",#N/A,FALSE,"หน้า 3";"PAGE4",#N/A,FALSE,"หน้า 4"}</definedName>
    <definedName name="wrn.SACTG." hidden="1">{"Page 1",#N/A,FALSE,"หน้า 1";"PAGE 2",#N/A,FALSE,"หน้า 2";"PAGE 3",#N/A,FALSE,"หน้า 3";"PAGE4",#N/A,FALSE,"หน้า 4"}</definedName>
    <definedName name="wrn.sales._.report." localSheetId="18" hidden="1">{"sales",#N/A,FALSE,"SALES"}</definedName>
    <definedName name="wrn.sales._.report." localSheetId="0" hidden="1">{"sales",#N/A,FALSE,"SALES"}</definedName>
    <definedName name="wrn.sales._.report." hidden="1">{"sales",#N/A,FALSE,"SALES"}</definedName>
    <definedName name="wrn.SOCIEDAD.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localSheetId="18" hidden="1">{#N/A,#N/A,FALSE,"soquy"}</definedName>
    <definedName name="wrn.SQ." hidden="1">{#N/A,#N/A,FALSE,"soquy"}</definedName>
    <definedName name="wrn.SSA._.Stock." localSheetId="18" hidden="1">{#N/A,#N/A,FALSE,"SSA Stock"}</definedName>
    <definedName name="wrn.SSA._.Stock." hidden="1">{#N/A,#N/A,FALSE,"SSA Stock"}</definedName>
    <definedName name="wrn.Staffing." localSheetId="18" hidden="1">{#N/A,#N/A,FALSE,"Assessment";#N/A,#N/A,FALSE,"Staffing";#N/A,#N/A,FALSE,"Hires";#N/A,#N/A,FALSE,"Assumptions"}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18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18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L." localSheetId="18" hidden="1">{"STL Current month TB. &amp; B / T",#N/A,FALSE,"DOMESTIC &amp; EXPORT_TL&amp;KWG (SAP)";"STL YTD TB. &amp; B / T",#N/A,FALSE,"DOMESTIC &amp; EXPORT_TL&amp;KWG (SAP)"}</definedName>
    <definedName name="wrn.STL." localSheetId="0" hidden="1">{"STL Current month TB. &amp; B / T",#N/A,FALSE,"DOMESTIC &amp; EXPORT_TL&amp;KWG (SAP)";"STL YTD TB. &amp; B / T",#N/A,FALSE,"DOMESTIC &amp; EXPORT_TL&amp;KWG (SAP)"}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localSheetId="0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localSheetId="18" hidden="1">{#N/A,#N/A,FALSE,"M1";#N/A,#N/A,FALSE,"K7";#N/A,#N/A,FALSE,"K6";#N/A,#N/A,FALSE,"K5";#N/A,#N/A,FALSE,"K4";#N/A,#N/A,FALSE,"K3";#N/A,#N/A,FALSE,"K2";#N/A,#N/A,FALSE,"K1"}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localSheetId="18" hidden="1">{"Header",#N/A,TRUE,"Summary";"ProjectInfo",#N/A,TRUE,"Total Value"}</definedName>
    <definedName name="wrn.SummaryReport." localSheetId="23" hidden="1">{"Header",#N/A,TRUE,"Summary";"ProjectInfo",#N/A,TRUE,"Total Value"}</definedName>
    <definedName name="wrn.SummaryReport." localSheetId="21" hidden="1">{"Header",#N/A,TRUE,"Summary";"ProjectInfo",#N/A,TRUE,"Total Value"}</definedName>
    <definedName name="wrn.SummaryReport." localSheetId="20" hidden="1">{"Header",#N/A,TRUE,"Summary";"ProjectInfo",#N/A,TRUE,"Total Value"}</definedName>
    <definedName name="wrn.SummaryReport." localSheetId="0" hidden="1">{"Header",#N/A,TRUE,"Summary";"ProjectInfo",#N/A,TRUE,"Total Value"}</definedName>
    <definedName name="wrn.SummaryReport." hidden="1">{"Header",#N/A,TRUE,"Summary";"ProjectInfo",#N/A,TRUE,"Total Value"}</definedName>
    <definedName name="wrn.Supplemental._.Information." localSheetId="18" hidden="1">{#N/A,#N/A,FALSE,"Assumptions";#N/A,#N/A,FALSE,"DNP Expense Summary";#N/A,#N/A,FALSE,"Sensitivity Analysis"}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witched._.date." localSheetId="18" hidden="1">{#N/A,#N/A,FALSE,"m66";#N/A,#N/A,FALSE,"m66"}</definedName>
    <definedName name="wrn.switched._.date." hidden="1">{#N/A,#N/A,FALSE,"m66";#N/A,#N/A,FALSE,"m66"}</definedName>
    <definedName name="wrn.Synt_dec." localSheetId="18" hidden="1">{"Synthese",#N/A,FALSE,"Dec 96 (2)"}</definedName>
    <definedName name="wrn.Synt_dec." hidden="1">{"Synthese",#N/A,FALSE,"Dec 96 (2)"}</definedName>
    <definedName name="wrn.Synt_janv." localSheetId="18" hidden="1">{"Syn_janv",#N/A,FALSE,"Janv 97"}</definedName>
    <definedName name="wrn.Synt_janv." hidden="1">{"Syn_janv",#N/A,FALSE,"Janv 97"}</definedName>
    <definedName name="wrn.TAG." localSheetId="18" hidden="1">{"TAG1AGMS",#N/A,FALSE,"TAG 1A"}</definedName>
    <definedName name="wrn.TAG." hidden="1">{"TAG1AGMS",#N/A,FALSE,"TAG 1A"}</definedName>
    <definedName name="wrn.Tages" localSheetId="18" hidden="1">{"Tages_D",#N/A,FALSE,"Tagesbericht";"Tages_PL",#N/A,FALSE,"Tagesbericht"}</definedName>
    <definedName name="wrn.Tages" hidden="1">{"Tages_D",#N/A,FALSE,"Tagesbericht";"Tages_PL",#N/A,FALSE,"Tagesbericht"}</definedName>
    <definedName name="wrn.Tagesbericht." localSheetId="18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localSheetId="18" hidden="1">{"targetdcf",#N/A,FALSE,"Merger consequences";"TARGETASSU",#N/A,FALSE,"Merger consequences";"TERMINAL VALUE",#N/A,FALSE,"Merger consequences"}</definedName>
    <definedName name="wrn.TARGET._.DCF." localSheetId="23" hidden="1">{"targetdcf",#N/A,FALSE,"Merger consequences";"TARGETASSU",#N/A,FALSE,"Merger consequences";"TERMINAL VALUE",#N/A,FALSE,"Merger consequences"}</definedName>
    <definedName name="wrn.TARGET._.DCF." localSheetId="21" hidden="1">{"targetdcf",#N/A,FALSE,"Merger consequences";"TARGETASSU",#N/A,FALSE,"Merger consequences";"TERMINAL VALUE",#N/A,FALSE,"Merger consequences"}</definedName>
    <definedName name="wrn.TARGET._.DCF." localSheetId="20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8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3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localSheetId="18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eacher." localSheetId="18" hidden="1">{"Teacher",#N/A,FALSE,"Summary";"Teacher",#N/A,FALSE,"Assumptions";"Teacher",#N/A,FALSE,"Buildup";"Teacher",#N/A,FALSE,"Financials";"Teacher",#N/A,FALSE,"Debt &amp; Other"}</definedName>
    <definedName name="wrn.Teacher." localSheetId="23" hidden="1">{"Teacher",#N/A,FALSE,"Summary";"Teacher",#N/A,FALSE,"Assumptions";"Teacher",#N/A,FALSE,"Buildup";"Teacher",#N/A,FALSE,"Financials";"Teacher",#N/A,FALSE,"Debt &amp; Other"}</definedName>
    <definedName name="wrn.Teacher." localSheetId="21" hidden="1">{"Teacher",#N/A,FALSE,"Summary";"Teacher",#N/A,FALSE,"Assumptions";"Teacher",#N/A,FALSE,"Buildup";"Teacher",#N/A,FALSE,"Financials";"Teacher",#N/A,FALSE,"Debt &amp; Other"}</definedName>
    <definedName name="wrn.Teacher." localSheetId="20" hidden="1">{"Teacher",#N/A,FALSE,"Summary";"Teacher",#N/A,FALSE,"Assumptions";"Teacher",#N/A,FALSE,"Buildup";"Teacher",#N/A,FALSE,"Financials";"Teacher",#N/A,FALSE,"Debt &amp; Other"}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8" hidden="1">{"F3 Presentation",#N/A,FALSE,"F3 ";"F3 detail",#N/A,FALSE,"F3 "}</definedName>
    <definedName name="wrn.test." localSheetId="23" hidden="1">{"F3 Presentation",#N/A,FALSE,"F3 ";"F3 detail",#N/A,FALSE,"F3 "}</definedName>
    <definedName name="wrn.test." localSheetId="21" hidden="1">{"F3 Presentation",#N/A,FALSE,"F3 ";"F3 detail",#N/A,FALSE,"F3 "}</definedName>
    <definedName name="wrn.test." localSheetId="20" hidden="1">{"F3 Presentation",#N/A,FALSE,"F3 ";"F3 detail",#N/A,FALSE,"F3 "}</definedName>
    <definedName name="wrn.test." localSheetId="0" hidden="1">{"F3 Presentation",#N/A,FALSE,"F3 ";"F3 detail",#N/A,FALSE,"F3 "}</definedName>
    <definedName name="wrn.test." hidden="1">{"F3 Presentation",#N/A,FALSE,"F3 ";"F3 detail",#N/A,FALSE,"F3 "}</definedName>
    <definedName name="wrn.test1." localSheetId="18" hidden="1">{#N/A,#N/A,FALSE,"Earn'gs &amp; Val'n";#N/A,#N/A,FALSE,"Interim"}</definedName>
    <definedName name="wrn.test1." hidden="1">{#N/A,#N/A,FALSE,"Earn'gs &amp; Val'n";#N/A,#N/A,FALSE,"Interim"}</definedName>
    <definedName name="wrn.test2." localSheetId="18" hidden="1">{"F3 detail",#N/A,FALSE,"F3 ";"F3 Presentation",#N/A,FALSE,"F3 "}</definedName>
    <definedName name="wrn.test2." localSheetId="23" hidden="1">{"F3 detail",#N/A,FALSE,"F3 ";"F3 Presentation",#N/A,FALSE,"F3 "}</definedName>
    <definedName name="wrn.test2." localSheetId="21" hidden="1">{"F3 detail",#N/A,FALSE,"F3 ";"F3 Presentation",#N/A,FALSE,"F3 "}</definedName>
    <definedName name="wrn.test2." localSheetId="20" hidden="1">{"F3 detail",#N/A,FALSE,"F3 ";"F3 Presentation",#N/A,FALSE,"F3 "}</definedName>
    <definedName name="wrn.test2." localSheetId="0" hidden="1">{"F3 detail",#N/A,FALSE,"F3 ";"F3 Presentation",#N/A,FALSE,"F3 "}</definedName>
    <definedName name="wrn.test2." hidden="1">{"F3 detail",#N/A,FALSE,"F3 ";"F3 Presentation",#N/A,FALSE,"F3 "}</definedName>
    <definedName name="wrn.test3." localSheetId="18" hidden="1">{"F3 detail",#N/A,FALSE,"F1";"F3 Presentation",#N/A,FALSE,"F3 "}</definedName>
    <definedName name="wrn.test3." localSheetId="23" hidden="1">{"F3 detail",#N/A,FALSE,"F1";"F3 Presentation",#N/A,FALSE,"F3 "}</definedName>
    <definedName name="wrn.test3." localSheetId="21" hidden="1">{"F3 detail",#N/A,FALSE,"F1";"F3 Presentation",#N/A,FALSE,"F3 "}</definedName>
    <definedName name="wrn.test3." localSheetId="20" hidden="1">{"F3 detail",#N/A,FALSE,"F1";"F3 Presentation",#N/A,FALSE,"F3 "}</definedName>
    <definedName name="wrn.test3." localSheetId="0" hidden="1">{"F3 detail",#N/A,FALSE,"F1";"F3 Presentation",#N/A,FALSE,"F3 "}</definedName>
    <definedName name="wrn.test3." hidden="1">{"F3 detail",#N/A,FALSE,"F1";"F3 Presentation",#N/A,FALSE,"F3 "}</definedName>
    <definedName name="wrn.thu." localSheetId="18" hidden="1">{#N/A,#N/A,FALSE,"Chung"}</definedName>
    <definedName name="wrn.thu." hidden="1">{#N/A,#N/A,FALSE,"Chung"}</definedName>
    <definedName name="wrn.TL._.Plant." localSheetId="18" hidden="1">{"TL Current month TB. &amp; B / T",#N/A,FALSE,"DOMESTIC &amp; EXPORT_TL";"TL YTD TB. &amp; B / T",#N/A,FALSE,"DOMESTIC &amp; EXPORT_TL"}</definedName>
    <definedName name="wrn.TL._.Plant." localSheetId="0" hidden="1">{"TL Current month TB. &amp; B / T",#N/A,FALSE,"DOMESTIC &amp; EXPORT_TL";"TL YTD TB. &amp; B / T",#N/A,FALSE,"DOMESTIC &amp; EXPORT_TL"}</definedName>
    <definedName name="wrn.TL._.Plant." hidden="1">{"TL Current month TB. &amp; B / T",#N/A,FALSE,"DOMESTIC &amp; EXPORT_TL";"TL YTD TB. &amp; B / T",#N/A,FALSE,"DOMESTIC &amp; EXPORT_TL"}</definedName>
    <definedName name="wrn.Total.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localSheetId="18" hidden="1">{#N/A,#N/A,FALSE,"Container details"}</definedName>
    <definedName name="wrn.Total._.view._.of._.shipped._.products." hidden="1">{#N/A,#N/A,FALSE,"Container details"}</definedName>
    <definedName name="wrn.Total.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localSheetId="18" hidden="1">{#N/A,#N/A,FALSE,"I_S";#N/A,#N/A,FALSE,"B_S";#N/A,#N/A,FALSE,"F_F"}</definedName>
    <definedName name="wrn.tout." hidden="1">{#N/A,#N/A,FALSE,"I_S";#N/A,#N/A,FALSE,"B_S";#N/A,#N/A,FALSE,"F_F"}</definedName>
    <definedName name="wrn.tout._1" localSheetId="18" hidden="1">{#N/A,#N/A,FALSE,"I_S";#N/A,#N/A,FALSE,"B_S";#N/A,#N/A,FALSE,"F_F"}</definedName>
    <definedName name="wrn.tout._1" hidden="1">{#N/A,#N/A,FALSE,"I_S";#N/A,#N/A,FALSE,"B_S";#N/A,#N/A,FALSE,"F_F"}</definedName>
    <definedName name="wrn.tout._1_1" localSheetId="18" hidden="1">{#N/A,#N/A,FALSE,"I_S";#N/A,#N/A,FALSE,"B_S";#N/A,#N/A,FALSE,"F_F"}</definedName>
    <definedName name="wrn.tout._1_1" hidden="1">{#N/A,#N/A,FALSE,"I_S";#N/A,#N/A,FALSE,"B_S";#N/A,#N/A,FALSE,"F_F"}</definedName>
    <definedName name="wrn.tout._1_2" localSheetId="18" hidden="1">{#N/A,#N/A,FALSE,"I_S";#N/A,#N/A,FALSE,"B_S";#N/A,#N/A,FALSE,"F_F"}</definedName>
    <definedName name="wrn.tout._1_2" hidden="1">{#N/A,#N/A,FALSE,"I_S";#N/A,#N/A,FALSE,"B_S";#N/A,#N/A,FALSE,"F_F"}</definedName>
    <definedName name="wrn.tout._2" localSheetId="18" hidden="1">{#N/A,#N/A,FALSE,"I_S";#N/A,#N/A,FALSE,"B_S";#N/A,#N/A,FALSE,"F_F"}</definedName>
    <definedName name="wrn.tout._2" hidden="1">{#N/A,#N/A,FALSE,"I_S";#N/A,#N/A,FALSE,"B_S";#N/A,#N/A,FALSE,"F_F"}</definedName>
    <definedName name="wrn.tout._3" localSheetId="18" hidden="1">{#N/A,#N/A,FALSE,"I_S";#N/A,#N/A,FALSE,"B_S";#N/A,#N/A,FALSE,"F_F"}</definedName>
    <definedName name="wrn.tout._3" hidden="1">{#N/A,#N/A,FALSE,"I_S";#N/A,#N/A,FALSE,"B_S";#N/A,#N/A,FALSE,"F_F"}</definedName>
    <definedName name="wrn.tuan." localSheetId="18" hidden="1">{#N/A,#N/A,FALSE,"LEDGERSUMARY"}</definedName>
    <definedName name="wrn.tuan." hidden="1">{#N/A,#N/A,FALSE,"LEDGERSUMARY"}</definedName>
    <definedName name="wrn.TUIVARINCE." localSheetId="18" hidden="1">{"AMT",#N/A,FALSE,"DW";"PER",#N/A,FALSE,"DW";"AMT",#N/A,FALSE,"WR";"PER",#N/A,FALSE,"WR";"AMT",#N/A,FALSE,"WT";"PER",#N/A,FALSE,"WT";"FG",#N/A,FALSE,"PB";"PER",#N/A,FALSE,"PB";"AMT",#N/A,FALSE,"PK";"PER",#N/A,FALSE,"PK"}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localSheetId="18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0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localSheetId="18" hidden="1">{#N/A,#N/A,FALSE,"SPLIT1";#N/A,#N/A,FALSE,"SPLIT2";#N/A,#N/A,FALSE,"TELEX";#N/A,#N/A,FALSE,"TELEX";#N/A,#N/A,FALSE,"VCB";#N/A,#N/A,FALSE,"VCB"}</definedName>
    <definedName name="wrn.VCB." hidden="1">{#N/A,#N/A,FALSE,"SPLIT1";#N/A,#N/A,FALSE,"SPLIT2";#N/A,#N/A,FALSE,"TELEX";#N/A,#N/A,FALSE,"TELEX";#N/A,#N/A,FALSE,"VCB";#N/A,#N/A,FALSE,"VCB"}</definedName>
    <definedName name="wrn.vd." localSheetId="18" hidden="1">{#N/A,#N/A,TRUE,"BT M200 da 10x20"}</definedName>
    <definedName name="wrn.vd." localSheetId="23" hidden="1">{#N/A,#N/A,TRUE,"BT M200 da 10x20"}</definedName>
    <definedName name="wrn.vd." localSheetId="21" hidden="1">{#N/A,#N/A,TRUE,"BT M200 da 10x20"}</definedName>
    <definedName name="wrn.vd." localSheetId="20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.WeeklyReport." localSheetId="18" hidden="1">{#N/A,#N/A,FALSE,"Week 2002";#N/A,#N/A,FALSE,"YTD 2002";#N/A,#N/A,FALSE,"Quarterly Trend(Q3)"}</definedName>
    <definedName name="wrn.WeeklyReport." hidden="1">{#N/A,#N/A,FALSE,"Week 2002";#N/A,#N/A,FALSE,"YTD 2002";#N/A,#N/A,FALSE,"Quarterly Trend(Q3)"}</definedName>
    <definedName name="wrn.WGR" localSheetId="18" hidden="1">{"fleisch",#N/A,FALSE,"WG HK";"food",#N/A,FALSE,"WG HK";"hartwaren",#N/A,FALSE,"WG HK";"weichwaren",#N/A,FALSE,"WG HK"}</definedName>
    <definedName name="wrn.WGR" hidden="1">{"fleisch",#N/A,FALSE,"WG HK";"food",#N/A,FALSE,"WG HK";"hartwaren",#N/A,FALSE,"WG HK";"weichwaren",#N/A,FALSE,"WG HK"}</definedName>
    <definedName name="wrn.WGRUPPEN." localSheetId="18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localSheetId="18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localSheetId="18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localSheetId="18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localSheetId="18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localSheetId="18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localSheetId="18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18" hidden="1">{#N/A,#N/A,FALSE,"Sheet1";#N/A,#N/A,FALSE,"Sheet2";#N/A,#N/A,FALSE,"TAB96-1"}</definedName>
    <definedName name="wrn.견적." hidden="1">{#N/A,#N/A,FALSE,"Sheet1";#N/A,#N/A,FALSE,"Sheet2";#N/A,#N/A,FALSE,"TAB96-1"}</definedName>
    <definedName name="wrn1.dcf.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localSheetId="18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3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0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localSheetId="18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localSheetId="18" hidden="1">{"'Bidfailed'!$D$2:$AB$14","'Bidfailed'!$D$4:$AB$4"}</definedName>
    <definedName name="wsaFasfASFasf" hidden="1">{"'Bidfailed'!$D$2:$AB$14","'Bidfailed'!$D$4:$AB$4"}</definedName>
    <definedName name="wtaet" localSheetId="18" hidden="1">{#N/A,#N/A,FALSE,"CCTV"}</definedName>
    <definedName name="wtaet" hidden="1">{#N/A,#N/A,FALSE,"CCTV"}</definedName>
    <definedName name="wtwe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0" hidden="1">{"'ตัวอย่าง'!$A$1:$O$21"}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hidden="1">#REF!</definedName>
    <definedName name="www" localSheetId="18" hidden="1">{"'ตัวอย่าง'!$A$1:$O$21"}</definedName>
    <definedName name="www" localSheetId="0" hidden="1">{"'ตัวอย่าง'!$A$1:$O$21"}</definedName>
    <definedName name="www" hidden="1">{"'ตัวอย่าง'!$A$1:$O$21"}</definedName>
    <definedName name="www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localSheetId="18" hidden="1">{"'ตัวอย่าง'!$A$1:$O$21"}</definedName>
    <definedName name="wwwewe" localSheetId="0" hidden="1">{"'ตัวอย่าง'!$A$1:$O$21"}</definedName>
    <definedName name="wwwewe" hidden="1">{"'ตัวอย่าง'!$A$1:$O$21"}</definedName>
    <definedName name="www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localSheetId="18" hidden="1">{#N/A,#N/A,FALSE,"CCTV"}</definedName>
    <definedName name="wwwww" hidden="1">{#N/A,#N/A,FALSE,"CCTV"}</definedName>
    <definedName name="x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hidden="1">#REF!</definedName>
    <definedName name="xads" hidden="1">#REF!</definedName>
    <definedName name="XC" localSheetId="18" hidden="1">{"'매출계획'!$D$2"}</definedName>
    <definedName name="XC" hidden="1">{"'매출계획'!$D$2"}</definedName>
    <definedName name="XCBXCG" localSheetId="18" hidden="1">{#N/A,#N/A,FALSE,"CCTV"}</definedName>
    <definedName name="XCBXCG" hidden="1">{#N/A,#N/A,FALSE,"CCTV"}</definedName>
    <definedName name="XCC" localSheetId="18" hidden="1">{#N/A,#N/A,FALSE,"CCTV"}</definedName>
    <definedName name="XCC" hidden="1">{#N/A,#N/A,FALSE,"CCTV"}</definedName>
    <definedName name="XCGJ" localSheetId="18" hidden="1">{#N/A,#N/A,FALSE,"CCTV"}</definedName>
    <definedName name="XCGJ" hidden="1">{#N/A,#N/A,FALSE,"CCTV"}</definedName>
    <definedName name="XCHX" localSheetId="18" hidden="1">{#N/A,#N/A,FALSE,"CCTV"}</definedName>
    <definedName name="XCHX" hidden="1">{#N/A,#N/A,FALSE,"CCTV"}</definedName>
    <definedName name="XD" localSheetId="18" hidden="1">{"'Sheet1'!$L$16"}</definedName>
    <definedName name="XD" hidden="1">{"'Sheet1'!$L$16"}</definedName>
    <definedName name="xdfgsg" localSheetId="18" hidden="1">{"Profit",#N/A,FALSE,"Cisco7000a";"Capital",#N/A,FALSE,"Cisco7000a"}</definedName>
    <definedName name="xdfgsg" localSheetId="23" hidden="1">{"Profit",#N/A,FALSE,"Cisco7000a";"Capital",#N/A,FALSE,"Cisco7000a"}</definedName>
    <definedName name="xdfgsg" localSheetId="21" hidden="1">{"Profit",#N/A,FALSE,"Cisco7000a";"Capital",#N/A,FALSE,"Cisco7000a"}</definedName>
    <definedName name="xdfgsg" localSheetId="20" hidden="1">{"Profit",#N/A,FALSE,"Cisco7000a";"Capital",#N/A,FALSE,"Cisco7000a"}</definedName>
    <definedName name="xdfgsg" localSheetId="0" hidden="1">{"Profit",#N/A,FALSE,"Cisco7000a";"Capital",#N/A,FALSE,"Cisco7000a"}</definedName>
    <definedName name="xdfgsg" hidden="1">{"Profit",#N/A,FALSE,"Cisco7000a";"Capital",#N/A,FALSE,"Cisco7000a"}</definedName>
    <definedName name="xfgjxfgj" localSheetId="18" hidden="1">{"'Sheet1'!$L$16"}</definedName>
    <definedName name="xfgjxfgj" hidden="1">{"'Sheet1'!$L$16"}</definedName>
    <definedName name="xfgyxsf" localSheetId="18" hidden="1">{#N/A,#N/A,FALSE,"CCTV"}</definedName>
    <definedName name="xfgyxsf" hidden="1">{#N/A,#N/A,FALSE,"CCTV"}</definedName>
    <definedName name="XFJ" localSheetId="18" hidden="1">{#N/A,#N/A,FALSE,"CCTV"}</definedName>
    <definedName name="XFJ" hidden="1">{#N/A,#N/A,FALSE,"CCTV"}</definedName>
    <definedName name="XFJCXMK" localSheetId="18" hidden="1">{#N/A,#N/A,FALSE,"CCTV"}</definedName>
    <definedName name="XFJCXMK" hidden="1">{#N/A,#N/A,FALSE,"CCTV"}</definedName>
    <definedName name="xfjxsgfj" localSheetId="18" hidden="1">{#N/A,#N/A,FALSE,"CCTV"}</definedName>
    <definedName name="xfjxsgfj" hidden="1">{#N/A,#N/A,FALSE,"CCTV"}</definedName>
    <definedName name="XGXCFHJ" localSheetId="18" hidden="1">{#N/A,#N/A,FALSE,"CCTV"}</definedName>
    <definedName name="XGXCFHJ" hidden="1">{#N/A,#N/A,FALSE,"CCTV"}</definedName>
    <definedName name="xh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localSheetId="18" hidden="1">{#N/A,#N/A,FALSE,"CCTV"}</definedName>
    <definedName name="XJGMKK" hidden="1">{#N/A,#N/A,FALSE,"CCTV"}</definedName>
    <definedName name="xkeogjana" localSheetId="18" hidden="1">{"Reader",#N/A,FALSE,"Summary";"Reader",#N/A,FALSE,"Buildup";"Reader",#N/A,FALSE,"Financials";"Reader",#N/A,FALSE,"Debt &amp; Other"}</definedName>
    <definedName name="xkeogjana" localSheetId="23" hidden="1">{"Reader",#N/A,FALSE,"Summary";"Reader",#N/A,FALSE,"Buildup";"Reader",#N/A,FALSE,"Financials";"Reader",#N/A,FALSE,"Debt &amp; Other"}</definedName>
    <definedName name="xkeogjana" localSheetId="21" hidden="1">{"Reader",#N/A,FALSE,"Summary";"Reader",#N/A,FALSE,"Buildup";"Reader",#N/A,FALSE,"Financials";"Reader",#N/A,FALSE,"Debt &amp; Other"}</definedName>
    <definedName name="xkeogjana" localSheetId="20" hidden="1">{"Reader",#N/A,FALSE,"Summary";"Reader",#N/A,FALSE,"Buildup";"Reader",#N/A,FALSE,"Financials";"Reader",#N/A,FALSE,"Debt &amp; Other"}</definedName>
    <definedName name="xkeogjana" localSheetId="0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8" hidden="1">{"F3 detail",#N/A,FALSE,"F1";"F3 Presentation",#N/A,FALSE,"F3 "}</definedName>
    <definedName name="xls" localSheetId="23" hidden="1">{"F3 detail",#N/A,FALSE,"F1";"F3 Presentation",#N/A,FALSE,"F3 "}</definedName>
    <definedName name="xls" localSheetId="21" hidden="1">{"F3 detail",#N/A,FALSE,"F1";"F3 Presentation",#N/A,FALSE,"F3 "}</definedName>
    <definedName name="xls" localSheetId="20" hidden="1">{"F3 detail",#N/A,FALSE,"F1";"F3 Presentation",#N/A,FALSE,"F3 "}</definedName>
    <definedName name="xls" localSheetId="0" hidden="1">{"F3 detail",#N/A,FALSE,"F1";"F3 Presentation",#N/A,FALSE,"F3 "}</definedName>
    <definedName name="xls" hidden="1">{"F3 detail",#N/A,FALSE,"F1";"F3 Presentation",#N/A,FALSE,"F3 "}</definedName>
    <definedName name="xlttbninh" localSheetId="18" hidden="1">{"'Sheet1'!$L$16"}</definedName>
    <definedName name="xlttbninh" hidden="1">{"'Sheet1'!$L$16"}</definedName>
    <definedName name="XNJHXVJH" localSheetId="18" hidden="1">{#N/A,#N/A,FALSE,"CCTV"}</definedName>
    <definedName name="XNJHXVJH" hidden="1">{#N/A,#N/A,FALSE,"CCTV"}</definedName>
    <definedName name="xnkhung" localSheetId="18" hidden="1">{#N/A,#N/A,FALSE,"Chung"}</definedName>
    <definedName name="xnkhung" hidden="1">{#N/A,#N/A,FALSE,"Chung"}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5" hidden="1">#REF!</definedName>
    <definedName name="XRefPaste16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12</definedName>
    <definedName name="xss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localSheetId="23" hidden="1">#REF!</definedName>
    <definedName name="xx" hidden="1">#REF!</definedName>
    <definedName name="xxx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localSheetId="18" hidden="1">{"HK PR",#N/A,FALSE,"HK";"SUMMARY",#N/A,FALSE,"PAYROLL";"SUMMARY",#N/A,FALSE,"PAYROLL";"HK PR",#N/A,FALSE,"HK"}</definedName>
    <definedName name="XXXX" localSheetId="0" hidden="1">{"'ตัวอย่าง'!$A$1:$O$21"}</definedName>
    <definedName name="xxxx" hidden="1">{"HK PR",#N/A,FALSE,"HK";"SUMMARY",#N/A,FALSE,"PAYROLL";"SUMMARY",#N/A,FALSE,"PAYROLL";"HK PR",#N/A,FALSE,"HK"}</definedName>
    <definedName name="xxxxx" localSheetId="18" hidden="1">{"HK PR",#N/A,FALSE,"HK";"SUMMARY",#N/A,FALSE,"PAYROLL";"SUMMARY",#N/A,FALSE,"PAYROLL";"HK PR",#N/A,FALSE,"HK"}</definedName>
    <definedName name="xxxxx" localSheetId="23" hidden="1">{"HK PR",#N/A,FALSE,"HK";"SUMMARY",#N/A,FALSE,"PAYROLL";"SUMMARY",#N/A,FALSE,"PAYROLL";"HK PR",#N/A,FALSE,"HK"}</definedName>
    <definedName name="xxxxx" localSheetId="21" hidden="1">{"HK PR",#N/A,FALSE,"HK";"SUMMARY",#N/A,FALSE,"PAYROLL";"SUMMARY",#N/A,FALSE,"PAYROLL";"HK PR",#N/A,FALSE,"HK"}</definedName>
    <definedName name="xxxxx" localSheetId="20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localSheetId="18" hidden="1">{"'Feb 99'!$A$1:$G$30"}</definedName>
    <definedName name="YE" hidden="1">{"'Feb 99'!$A$1:$G$30"}</definedName>
    <definedName name="yen" localSheetId="18" hidden="1">{#N/A,#N/A,FALSE,"Chi tiÆt"}</definedName>
    <definedName name="yen" hidden="1">{#N/A,#N/A,FALSE,"Chi tiÆt"}</definedName>
    <definedName name="yhjilyi" localSheetId="18" hidden="1">{#N/A,#N/A,FALSE,"CCTV"}</definedName>
    <definedName name="yhjilyi" hidden="1">{#N/A,#N/A,FALSE,"CCTV"}</definedName>
    <definedName name="yj" localSheetId="18" hidden="1">{"hilight2",#N/A,FALSE,"HILIGHT2"}</definedName>
    <definedName name="yj" hidden="1">{"hilight2",#N/A,FALSE,"HILIGHT2"}</definedName>
    <definedName name="yrdtytyt" localSheetId="18" hidden="1">{#N/A,#N/A,FALSE,"CCTV"}</definedName>
    <definedName name="yrdtytyt" hidden="1">{#N/A,#N/A,FALSE,"CCTV"}</definedName>
    <definedName name="ytty" localSheetId="18" hidden="1">{"'Sheet1'!$L$16"}</definedName>
    <definedName name="ytty" hidden="1">{"'Sheet1'!$L$16"}</definedName>
    <definedName name="YU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localSheetId="18" hidden="1">{#N/A,#N/A,FALSE,"CCTV"}</definedName>
    <definedName name="yuoryo" hidden="1">{#N/A,#N/A,FALSE,"CCTV"}</definedName>
    <definedName name="yurt" localSheetId="18" hidden="1">{#N/A,#N/A,FALSE,"CCTV"}</definedName>
    <definedName name="yurt" hidden="1">{#N/A,#N/A,FALSE,"CCTV"}</definedName>
    <definedName name="yuyt" localSheetId="18" hidden="1">{#N/A,#N/A,FALSE,"CCTV"}</definedName>
    <definedName name="yuyt" hidden="1">{#N/A,#N/A,FALSE,"CCTV"}</definedName>
    <definedName name="yvy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localSheetId="0" hidden="1">{#N/A,#N/A,FALSE,"BBPREP"}</definedName>
    <definedName name="yyyy">#REF!</definedName>
    <definedName name="yyyy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18" hidden="1">{"'ตัวอย่าง'!$A$1:$O$21"}</definedName>
    <definedName name="z" localSheetId="0" hidden="1">{"'ตัวอย่าง'!$A$1:$O$21"}</definedName>
    <definedName name="z" hidden="1">{"'ตัวอย่าง'!$A$1:$O$21"}</definedName>
    <definedName name="Z_2AD71782_13C6_11D6_A210_0000E8DA5A4F_.wvu.FilterData" localSheetId="23" hidden="1">#REF!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46B9FEB_D1FE_11D5_A210_0000E8DA5A4F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E0ADC42_F22D_11D0_8C74_006097B34275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7AF9055E_0655_4111_A637_B53B24197F3F_.wvu.Rows" hidden="1">#REF!</definedName>
    <definedName name="Z_7E0A45E1_0993_11D1_8C74_006097B34275_.wvu.FilterData" hidden="1">#REF!</definedName>
    <definedName name="Z_82212322_246D_11D1_8C74_006097B34275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B8175DE2_E97C_11D0_8C74_006097B34275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dfhzdh" localSheetId="18" hidden="1">{#N/A,#N/A,FALSE,"CCTV"}</definedName>
    <definedName name="zdfhzdh" hidden="1">{#N/A,#N/A,FALSE,"CCTV"}</definedName>
    <definedName name="zdnfhioesjn" localSheetId="18" hidden="1">{"'Sheet1'!$L$16"}</definedName>
    <definedName name="zdnfhioesjn" hidden="1">{"'Sheet1'!$L$16"}</definedName>
    <definedName name="zdsg" localSheetId="18" hidden="1">{"F3 detail",#N/A,FALSE,"F1";"F3 Presentation",#N/A,FALSE,"F3 "}</definedName>
    <definedName name="zdsg" hidden="1">{"F3 detail",#N/A,FALSE,"F1";"F3 Presentation",#N/A,FALSE,"F3 "}</definedName>
    <definedName name="ZDWWA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localSheetId="18" hidden="1">{"'Sheet1'!$L$16"}</definedName>
    <definedName name="zdyhdh" hidden="1">{"'Sheet1'!$L$16"}</definedName>
    <definedName name="zezuje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localSheetId="18" hidden="1">{#N/A,#N/A,FALSE,"CCTV"}</definedName>
    <definedName name="ZGCH" hidden="1">{#N/A,#N/A,FALSE,"CCTV"}</definedName>
    <definedName name="zirtz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localSheetId="18" hidden="1">{"F3 detail",#N/A,FALSE,"F1";"F3 Presentation",#N/A,FALSE,"F3 "}</definedName>
    <definedName name="zsv" hidden="1">{"F3 detail",#N/A,FALSE,"F1";"F3 Presentation",#N/A,FALSE,"F3 "}</definedName>
    <definedName name="zue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localSheetId="18" hidden="1">{"'매출계획'!$D$2"}</definedName>
    <definedName name="ZXC" hidden="1">{"'매출계획'!$D$2"}</definedName>
    <definedName name="zz" localSheetId="18" hidden="1">{"cashflow",#N/A,FALSE,"CASHFLOW "}</definedName>
    <definedName name="zz" localSheetId="0" hidden="1">{"'Sheet1'!$L$16"}</definedName>
    <definedName name="zz" hidden="1">{"cashflow",#N/A,FALSE,"CASHFLOW "}</definedName>
    <definedName name="zzz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localSheetId="18" hidden="1">{"TAG1AGMS",#N/A,FALSE,"TAG 1A"}</definedName>
    <definedName name="zzzzz" hidden="1">{"TAG1AGMS",#N/A,FALSE,"TAG 1A"}</definedName>
    <definedName name="zzzzzzzz" localSheetId="18" hidden="1">{"'ตัวอย่าง'!$A$1:$O$21"}</definedName>
    <definedName name="zzzzzzzz" localSheetId="0" hidden="1">{"'ตัวอย่าง'!$A$1:$O$21"}</definedName>
    <definedName name="zzzzzzzz" hidden="1">{"'ตัวอย่าง'!$A$1:$O$21"}</definedName>
    <definedName name="まとめ2" hidden="1">#REF!</definedName>
    <definedName name="เก่าSkK" localSheetId="18" hidden="1">{"'ตัวอย่าง'!$A$1:$O$21"}</definedName>
    <definedName name="เก่าSkK" localSheetId="0" hidden="1">{"'ตัวอย่าง'!$A$1:$O$21"}</definedName>
    <definedName name="เก่าSkK" hidden="1">{"'ตัวอย่าง'!$A$1:$O$21"}</definedName>
    <definedName name="เด่น" localSheetId="18" hidden="1">{"'TOTAL'!$A$1:$AG$20"}</definedName>
    <definedName name="เด่น" localSheetId="0" hidden="1">{"'TOTAL'!$A$1:$AG$20"}</definedName>
    <definedName name="เด่น" hidden="1">{"'TOTAL'!$A$1:$AG$20"}</definedName>
    <definedName name="เม.ย" localSheetId="18" hidden="1">{"'ตัวอย่าง'!$A$1:$O$21"}</definedName>
    <definedName name="เม.ย" localSheetId="0" hidden="1">{"'ตัวอย่าง'!$A$1:$O$21"}</definedName>
    <definedName name="เม.ย" hidden="1">{"'ตัวอย่าง'!$A$1:$O$21"}</definedName>
    <definedName name="เมษายน" localSheetId="18" hidden="1">{"'ตัวอย่าง'!$A$1:$O$21"}</definedName>
    <definedName name="เมษายน" localSheetId="0" hidden="1">{"'ตัวอย่าง'!$A$1:$O$21"}</definedName>
    <definedName name="เมษายน" hidden="1">{"'ตัวอย่าง'!$A$1:$O$21"}</definedName>
    <definedName name="เมษายน๑" localSheetId="18" hidden="1">{"'ตัวอย่าง'!$A$1:$O$21"}</definedName>
    <definedName name="เมษายน๑" localSheetId="0" hidden="1">{"'ตัวอย่าง'!$A$1:$O$21"}</definedName>
    <definedName name="เมษายน๑" hidden="1">{"'ตัวอย่าง'!$A$1:$O$21"}</definedName>
    <definedName name="เอกสารแนบ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localSheetId="18" hidden="1">{"TL Current month TB. &amp; B / T",#N/A,FALSE,"DOMESTIC &amp; EXPORT_TL";"TL YTD TB. &amp; B / T",#N/A,FALSE,"DOMESTIC &amp; EXPORT_TL"}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localSheetId="18" hidden="1">{#N/A,#N/A,FALSE,"TL";#N/A,#N/A,FALSE,"KK";#N/A,#N/A,FALSE,"TS";#N/A,#N/A,FALSE,"KW";#N/A,#N/A,FALSE,"LP";#N/A,#N/A,FALSE,"DC"}</definedName>
    <definedName name="เอกสารแนบ8" hidden="1">{#N/A,#N/A,FALSE,"TL";#N/A,#N/A,FALSE,"KK";#N/A,#N/A,FALSE,"TS";#N/A,#N/A,FALSE,"KW";#N/A,#N/A,FALSE,"LP";#N/A,#N/A,FALSE,"DC"}</definedName>
    <definedName name="แ" localSheetId="18" hidden="1">{"'ตัวอย่าง'!$A$1:$O$21"}</definedName>
    <definedName name="แ" localSheetId="0" hidden="1">{"'ตัวอย่าง'!$A$1:$O$21"}</definedName>
    <definedName name="แ" hidden="1">{"'ตัวอย่าง'!$A$1:$O$21"}</definedName>
    <definedName name="แนบ" localSheetId="18" hidden="1">{"PRINT_EST",#N/A,FALSE,"ESTMON"}</definedName>
    <definedName name="แนบ" hidden="1">{"PRINT_EST",#N/A,FALSE,"ESTMON"}</definedName>
    <definedName name="ใ" localSheetId="18" hidden="1">{"'TOTAL'!$A$1:$AG$20"}</definedName>
    <definedName name="ใ" localSheetId="0" hidden="1">{"'TOTAL'!$A$1:$AG$20"}</definedName>
    <definedName name="ใ" hidden="1">{"'TOTAL'!$A$1:$AG$20"}</definedName>
    <definedName name="ก" localSheetId="18" hidden="1">{"index",#N/A,FALSE,"INDEX"}</definedName>
    <definedName name="ก" localSheetId="0" hidden="1">{"'ตัวอย่าง'!$A$1:$O$21"}</definedName>
    <definedName name="ก" hidden="1">{"index",#N/A,FALSE,"INDEX"}</definedName>
    <definedName name="กก" localSheetId="18" hidden="1">{"revsale",#N/A,FALSE,"REV-ยุพดี"}</definedName>
    <definedName name="กก" hidden="1">{"revsale",#N/A,FALSE,"REV-ยุพดี"}</definedName>
    <definedName name="กกกกกก" localSheetId="18" hidden="1">{"PRINT_EST",#N/A,FALSE,"ESTMON"}</definedName>
    <definedName name="กกกกกก" localSheetId="0" hidden="1">{"PRINT_EST",#N/A,FALSE,"ESTMON"}</definedName>
    <definedName name="กกกกกก" hidden="1">{"PRINT_EST",#N/A,FALSE,"ESTMON"}</definedName>
    <definedName name="กดฟหกด" localSheetId="18" hidden="1">{"'ตัวอย่าง'!$A$1:$O$21"}</definedName>
    <definedName name="กดฟหกด" localSheetId="0" hidden="1">{"'ตัวอย่าง'!$A$1:$O$21"}</definedName>
    <definedName name="กดฟหกด" hidden="1">{"'ตัวอย่าง'!$A$1:$O$21"}</definedName>
    <definedName name="กหดฟห" localSheetId="18" hidden="1">{"cashflow",#N/A,FALSE,"CASHFLOW "}</definedName>
    <definedName name="กหดฟห" hidden="1">{"cashflow",#N/A,FALSE,"CASHFLOW "}</definedName>
    <definedName name="กิจกรรม" localSheetId="18" hidden="1">{"'TOTAL'!$A$1:$AG$20"}</definedName>
    <definedName name="กิจกรรม" localSheetId="0" hidden="1">{"'TOTAL'!$A$1:$AG$20"}</definedName>
    <definedName name="กิจกรรม" hidden="1">{"'TOTAL'!$A$1:$AG$20"}</definedName>
    <definedName name="กิจกรรมคปภ.ก.ย.51" localSheetId="18" hidden="1">{"'TOTAL'!$A$1:$AG$20"}</definedName>
    <definedName name="กิจกรรมคปภ.ก.ย.51" localSheetId="0" hidden="1">{"'TOTAL'!$A$1:$AG$20"}</definedName>
    <definedName name="กิจกรรมคปภ.ก.ย.51" hidden="1">{"'TOTAL'!$A$1:$AG$20"}</definedName>
    <definedName name="คีรี" localSheetId="18" hidden="1">{"'TOTAL'!$A$1:$AG$20"}</definedName>
    <definedName name="คีรี" localSheetId="0" hidden="1">{"'TOTAL'!$A$1:$AG$20"}</definedName>
    <definedName name="คีรี" hidden="1">{"'TOTAL'!$A$1:$AG$20"}</definedName>
    <definedName name="คึรึ" localSheetId="18" hidden="1">{"'TOTAL'!$A$1:$AG$20"}</definedName>
    <definedName name="คึรึ" localSheetId="0" hidden="1">{"'TOTAL'!$A$1:$AG$20"}</definedName>
    <definedName name="คึรึ" hidden="1">{"'TOTAL'!$A$1:$AG$20"}</definedName>
    <definedName name="งงงง" localSheetId="18" hidden="1">{"'ตัวอย่าง'!$A$1:$O$21"}</definedName>
    <definedName name="งงงง" localSheetId="0" hidden="1">{"'ตัวอย่าง'!$A$1:$O$21"}</definedName>
    <definedName name="งงงง" hidden="1">{"'ตัวอย่าง'!$A$1:$O$21"}</definedName>
    <definedName name="งบลงทุน50" localSheetId="18" hidden="1">{"cashflow",#N/A,FALSE,"CASHFLOW "}</definedName>
    <definedName name="งบลงทุน50" hidden="1">{"cashflow",#N/A,FALSE,"CASHFLOW "}</definedName>
    <definedName name="ชัยเจริญมารีน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localSheetId="18" hidden="1">{#N/A,#N/A,FALSE,"PM1";#N/A,#N/A,FALSE,"PM2";#N/A,#N/A,FALSE,"PM3";#N/A,#N/A,FALSE,"PM4";#N/A,#N/A,FALSE,"PM5";#N/A,#N/A,FALSE,"PM6";#N/A,#N/A,FALSE,"CM1"}</definedName>
    <definedName name="ฏะฟรส" hidden="1">{#N/A,#N/A,FALSE,"PM1";#N/A,#N/A,FALSE,"PM2";#N/A,#N/A,FALSE,"PM3";#N/A,#N/A,FALSE,"PM4";#N/A,#N/A,FALSE,"PM5";#N/A,#N/A,FALSE,"PM6";#N/A,#N/A,FALSE,"CM1"}</definedName>
    <definedName name="ด" localSheetId="18" hidden="1">{"'ตัวอย่าง'!$A$1:$O$21"}</definedName>
    <definedName name="ด" localSheetId="0" hidden="1">{"'ตัวอย่าง'!$A$1:$O$21"}</definedName>
    <definedName name="ด" hidden="1">{"'ตัวอย่าง'!$A$1:$O$21"}</definedName>
    <definedName name="ดด" localSheetId="18" hidden="1">{"'ตัวอย่าง'!$A$1:$O$21"}</definedName>
    <definedName name="ดด" localSheetId="0" hidden="1">{"'ตัวอย่าง'!$A$1:$O$21"}</definedName>
    <definedName name="ดด" hidden="1">{"'ตัวอย่าง'!$A$1:$O$21"}</definedName>
    <definedName name="ดา" localSheetId="18" hidden="1">{"'ตัวอย่าง'!$A$1:$O$21"}</definedName>
    <definedName name="ดา" localSheetId="0" hidden="1">{"'ตัวอย่าง'!$A$1:$O$21"}</definedName>
    <definedName name="ดา" hidden="1">{"'ตัวอย่าง'!$A$1:$O$21"}</definedName>
    <definedName name="ดารา" localSheetId="18" hidden="1">{"'ตัวอย่าง'!$A$1:$O$21"}</definedName>
    <definedName name="ดารา" localSheetId="0" hidden="1">{"'ตัวอย่าง'!$A$1:$O$21"}</definedName>
    <definedName name="ดารา" hidden="1">{"'ตัวอย่าง'!$A$1:$O$21"}</definedName>
    <definedName name="ทท" localSheetId="18" hidden="1">{"'Bidfailed'!$D$2:$AB$14","'Bidfailed'!$D$4:$AB$4"}</definedName>
    <definedName name="ทท" hidden="1">{"'Bidfailed'!$D$2:$AB$14","'Bidfailed'!$D$4:$AB$4"}</definedName>
    <definedName name="ปั๊มดูดน้ำมันเก่าเข้า" localSheetId="18" hidden="1">{"'ตัวอย่าง'!$A$1:$O$21"}</definedName>
    <definedName name="ปั๊มดูดน้ำมันเก่าเข้า" localSheetId="0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18" hidden="1">{"'ตัวอย่าง'!$A$1:$O$21"}</definedName>
    <definedName name="ปั๊มน้ำท้าย" localSheetId="0" hidden="1">{"'ตัวอย่าง'!$A$1:$O$21"}</definedName>
    <definedName name="ปั๊มน้ำท้าย" hidden="1">{"'ตัวอย่าง'!$A$1:$O$21"}</definedName>
    <definedName name="ปืน" localSheetId="18" hidden="1">{"'ตัวอย่าง'!$A$1:$O$21"}</definedName>
    <definedName name="ปืน" localSheetId="0" hidden="1">{"'ตัวอย่าง'!$A$1:$O$21"}</definedName>
    <definedName name="ปืน" hidden="1">{"'ตัวอย่าง'!$A$1:$O$21"}</definedName>
    <definedName name="พ" localSheetId="18" hidden="1">{"'ตัวอย่าง'!$A$1:$O$21"}</definedName>
    <definedName name="พ" localSheetId="0" hidden="1">{"'ตัวอย่าง'!$A$1:$O$21"}</definedName>
    <definedName name="พ" hidden="1">{"'ตัวอย่าง'!$A$1:$O$21"}</definedName>
    <definedName name="พ.ค." localSheetId="18" hidden="1">{"'ตัวอย่าง'!$A$1:$O$21"}</definedName>
    <definedName name="พ.ค." localSheetId="0" hidden="1">{"'ตัวอย่าง'!$A$1:$O$21"}</definedName>
    <definedName name="พ.ค." hidden="1">{"'ตัวอย่าง'!$A$1:$O$21"}</definedName>
    <definedName name="พด" localSheetId="18" hidden="1">{"'ตัวอย่าง'!$A$1:$O$21"}</definedName>
    <definedName name="พด" localSheetId="0" hidden="1">{"'ตัวอย่าง'!$A$1:$O$21"}</definedName>
    <definedName name="พด" hidden="1">{"'ตัวอย่าง'!$A$1:$O$21"}</definedName>
    <definedName name="พฤษภาคม" localSheetId="18" hidden="1">{"'ตัวอย่าง'!$A$1:$O$21"}</definedName>
    <definedName name="พฤษภาคม" localSheetId="0" hidden="1">{"'ตัวอย่าง'!$A$1:$O$21"}</definedName>
    <definedName name="พฤษภาคม" hidden="1">{"'ตัวอย่าง'!$A$1:$O$21"}</definedName>
    <definedName name="ฟ" localSheetId="18" hidden="1">{"hilight2",#N/A,FALSE,"HILIGHT2"}</definedName>
    <definedName name="ฟ" localSheetId="0" hidden="1">{"'Model'!$A$1:$N$53"}</definedName>
    <definedName name="ฟ" hidden="1">{"hilight2",#N/A,FALSE,"HILIGHT2"}</definedName>
    <definedName name="ฟฟ" localSheetId="18" hidden="1">{"'Bidfailed'!$D$2:$AB$14","'Bidfailed'!$D$4:$AB$4"}</definedName>
    <definedName name="ฟฟ" hidden="1">{"'Bidfailed'!$D$2:$AB$14","'Bidfailed'!$D$4:$AB$4"}</definedName>
    <definedName name="ฟฟฟ" localSheetId="18" hidden="1">{"'TOTAL'!$A$1:$AG$20"}</definedName>
    <definedName name="ฟฟฟ" localSheetId="0" hidden="1">{"'TOTAL'!$A$1:$AG$20"}</definedName>
    <definedName name="ฟฟฟ" hidden="1">{"'TOTAL'!$A$1:$AG$20"}</definedName>
    <definedName name="ฟฟฟฟฟ" localSheetId="18" hidden="1">{"'ตัวอย่าง'!$A$1:$O$21"}</definedName>
    <definedName name="ฟฟฟฟฟ" localSheetId="0" hidden="1">{"'ตัวอย่าง'!$A$1:$O$21"}</definedName>
    <definedName name="ฟฟฟฟฟ" hidden="1">{"'ตัวอย่าง'!$A$1:$O$21"}</definedName>
    <definedName name="ฟภ" localSheetId="18" hidden="1">{"index",#N/A,FALSE,"INDEX"}</definedName>
    <definedName name="ฟภ" hidden="1">{"index",#N/A,FALSE,"INDEX"}</definedName>
    <definedName name="ฟหด" localSheetId="18" hidden="1">{"'ตัวอย่าง'!$A$1:$O$21"}</definedName>
    <definedName name="ฟหด" localSheetId="0" hidden="1">{"'ตัวอย่าง'!$A$1:$O$21"}</definedName>
    <definedName name="ฟหด" hidden="1">{"'ตัวอย่าง'!$A$1:$O$21"}</definedName>
    <definedName name="ฟำ" localSheetId="18" hidden="1">{"'ตัวอย่าง'!$A$1:$O$21"}</definedName>
    <definedName name="ฟำ" localSheetId="0" hidden="1">{"'ตัวอย่าง'!$A$1:$O$21"}</definedName>
    <definedName name="ฟำ" hidden="1">{"'ตัวอย่าง'!$A$1:$O$21"}</definedName>
    <definedName name="ฟำดฟำ" localSheetId="18" hidden="1">{"'ตัวอย่าง'!$A$1:$O$21"}</definedName>
    <definedName name="ฟำดฟำ" localSheetId="0" hidden="1">{"'ตัวอย่าง'!$A$1:$O$21"}</definedName>
    <definedName name="ฟำดฟำ" hidden="1">{"'ตัวอย่าง'!$A$1:$O$21"}</definedName>
    <definedName name="ม.ค.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localSheetId="18" hidden="1">{"'ตัวอย่าง'!$A$1:$O$21"}</definedName>
    <definedName name="ยยยยยยยยยยยย" localSheetId="0" hidden="1">{"'ตัวอย่าง'!$A$1:$O$21"}</definedName>
    <definedName name="ยยยยยยยยยยยย" hidden="1">{"'ตัวอย่าง'!$A$1:$O$21"}</definedName>
    <definedName name="รง." localSheetId="18" hidden="1">{"'TOTAL'!$A$1:$AG$20"}</definedName>
    <definedName name="รง." localSheetId="0" hidden="1">{"'TOTAL'!$A$1:$AG$20"}</definedName>
    <definedName name="รง." hidden="1">{"'TOTAL'!$A$1:$AG$20"}</definedName>
    <definedName name="รรีร" localSheetId="18" hidden="1">{"'TOTAL'!$A$1:$AG$20"}</definedName>
    <definedName name="รรีร" localSheetId="0" hidden="1">{"'TOTAL'!$A$1:$AG$20"}</definedName>
    <definedName name="รรีร" hidden="1">{"'TOTAL'!$A$1:$AG$20"}</definedName>
    <definedName name="ระบบโฟม" localSheetId="18" hidden="1">{"'ตัวอย่าง'!$A$1:$O$21"}</definedName>
    <definedName name="ระบบโฟม" localSheetId="0" hidden="1">{"'ตัวอย่าง'!$A$1:$O$21"}</definedName>
    <definedName name="ระบบโฟม" hidden="1">{"'ตัวอย่าง'!$A$1:$O$21"}</definedName>
    <definedName name="ววว" localSheetId="18" hidden="1">{"'TOTAL'!$A$1:$AG$20"}</definedName>
    <definedName name="ววว" localSheetId="0" hidden="1">{"'TOTAL'!$A$1:$AG$20"}</definedName>
    <definedName name="ววว" hidden="1">{"'TOTAL'!$A$1:$AG$20"}</definedName>
    <definedName name="ศูนย์พัฒนา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18" hidden="1">{"'ตัวอย่าง'!$A$1:$O$21"}</definedName>
    <definedName name="ห" localSheetId="0" hidden="1">{"'ตัวอย่าง'!$A$1:$O$21"}</definedName>
    <definedName name="ห" hidden="1">{"'ตัวอย่าง'!$A$1:$O$21"}</definedName>
    <definedName name="หนองคาย" localSheetId="18" hidden="1">{"'TOTAL'!$A$1:$AG$20"}</definedName>
    <definedName name="หนองคาย" localSheetId="0" hidden="1">{"'TOTAL'!$A$1:$AG$20"}</definedName>
    <definedName name="หนองคาย" hidden="1">{"'TOTAL'!$A$1:$AG$20"}</definedName>
    <definedName name="ห้าปี" localSheetId="18" hidden="1">{"'Bidfailed'!$D$2:$AB$14","'Bidfailed'!$D$4:$AB$4"}</definedName>
    <definedName name="ห้าปี" hidden="1">{"'Bidfailed'!$D$2:$AB$14","'Bidfailed'!$D$4:$AB$4"}</definedName>
    <definedName name="ๆๆๆๆๆ" localSheetId="18" hidden="1">{"'ตัวอย่าง'!$A$1:$O$21"}</definedName>
    <definedName name="ๆๆๆๆๆ" localSheetId="0" hidden="1">{"'ตัวอย่าง'!$A$1:$O$21"}</definedName>
    <definedName name="ๆๆๆๆๆ" hidden="1">{"'ตัวอย่าง'!$A$1:$O$21"}</definedName>
    <definedName name="가공" localSheetId="18" hidden="1">{"'매출계획'!$D$2"}</definedName>
    <definedName name="가공" hidden="1">{"'매출계획'!$D$2"}</definedName>
    <definedName name="간지" localSheetId="18" hidden="1">{#N/A,#N/A,FALSE,"CCTV"}</definedName>
    <definedName name="간지" hidden="1">{#N/A,#N/A,FALSE,"CCTV"}</definedName>
    <definedName name="갑지" localSheetId="18" hidden="1">{#N/A,#N/A,FALSE,"CCTV"}</definedName>
    <definedName name="갑지" hidden="1">{#N/A,#N/A,FALSE,"CCTV"}</definedName>
    <definedName name="강안" localSheetId="18" hidden="1">{"'매출계획'!$D$2"}</definedName>
    <definedName name="강안" hidden="1">{"'매출계획'!$D$2"}</definedName>
    <definedName name="건조과" localSheetId="18" hidden="1">{"'매출계획'!$D$2"}</definedName>
    <definedName name="건조과" hidden="1">{"'매출계획'!$D$2"}</definedName>
    <definedName name="견적" localSheetId="18" hidden="1">{#N/A,#N/A,FALSE,"CCTV"}</definedName>
    <definedName name="견적" hidden="1">{#N/A,#N/A,FALSE,"CCTV"}</definedName>
    <definedName name="견적2" localSheetId="18" hidden="1">{#N/A,#N/A,FALSE,"CCTV"}</definedName>
    <definedName name="견적2" hidden="1">{#N/A,#N/A,FALSE,"CCTV"}</definedName>
    <definedName name="견적SHEET" localSheetId="18" hidden="1">{#N/A,#N/A,FALSE,"CCTV"}</definedName>
    <definedName name="견적SHEET" hidden="1">{#N/A,#N/A,FALSE,"CCTV"}</definedName>
    <definedName name="그래" localSheetId="18" hidden="1">{"'매출계획'!$D$2"}</definedName>
    <definedName name="그래" hidden="1">{"'매출계획'!$D$2"}</definedName>
    <definedName name="기성보고" localSheetId="18" hidden="1">{#N/A,#N/A,FALSE,"CCTV"}</definedName>
    <definedName name="기성보고" hidden="1">{#N/A,#N/A,FALSE,"CCTV"}</definedName>
    <definedName name="ㄴㄴㄴ" localSheetId="18" hidden="1">{"'매출계획'!$D$2"}</definedName>
    <definedName name="ㄴㄴㄴ" hidden="1">{"'매출계획'!$D$2"}</definedName>
    <definedName name="ㄴㄷㄳ" localSheetId="18" hidden="1">{"'매출계획'!$D$2"}</definedName>
    <definedName name="ㄴㄷㄳ" hidden="1">{"'매출계획'!$D$2"}</definedName>
    <definedName name="ㄴ석ㅎ" localSheetId="18" hidden="1">{"'매출계획'!$D$2"}</definedName>
    <definedName name="ㄴ석ㅎ" hidden="1">{"'매출계획'!$D$2"}</definedName>
    <definedName name="ㄴㅇㄹ호" localSheetId="18" hidden="1">{"'매출계획'!$D$2"}</definedName>
    <definedName name="ㄴㅇㄹ호" hidden="1">{"'매출계획'!$D$2"}</definedName>
    <definedName name="ㄴㅇ론ㄹ" localSheetId="18" hidden="1">{"'매출계획'!$D$2"}</definedName>
    <definedName name="ㄴㅇ론ㄹ" hidden="1">{"'매출계획'!$D$2"}</definedName>
    <definedName name="ㄴㅇㅀ" localSheetId="18" hidden="1">{"'매출계획'!$D$2"}</definedName>
    <definedName name="ㄴㅇㅀ" hidden="1">{"'매출계획'!$D$2"}</definedName>
    <definedName name="ㄴㅇㅁ" localSheetId="18" hidden="1">{"'매출계획'!$D$2"}</definedName>
    <definedName name="ㄴㅇㅁ" hidden="1">{"'매출계획'!$D$2"}</definedName>
    <definedName name="ㄴㅇㅁㅁㄴ" localSheetId="18" hidden="1">{"'매출계획'!$D$2"}</definedName>
    <definedName name="ㄴㅇㅁㅁㄴ" hidden="1">{"'매출계획'!$D$2"}</definedName>
    <definedName name="ㄴㅇㅁㅇㅁㄴ" localSheetId="18" hidden="1">{"'매출계획'!$D$2"}</definedName>
    <definedName name="ㄴㅇㅁㅇㅁㄴ" hidden="1">{"'매출계획'!$D$2"}</definedName>
    <definedName name="ㄴㅇㅎ" localSheetId="18" hidden="1">{"'매출계획'!$D$2"}</definedName>
    <definedName name="ㄴㅇㅎ" hidden="1">{"'매출계획'!$D$2"}</definedName>
    <definedName name="ㄷㄳ" localSheetId="18" hidden="1">{"'매출계획'!$D$2"}</definedName>
    <definedName name="ㄷㄳ" hidden="1">{"'매출계획'!$D$2"}</definedName>
    <definedName name="도장" localSheetId="18" hidden="1">{"'매출계획'!$D$2"}</definedName>
    <definedName name="도장" hidden="1">{"'매출계획'!$D$2"}</definedName>
    <definedName name="도장151" localSheetId="18" hidden="1">{"'매출계획'!$D$2"}</definedName>
    <definedName name="도장151" hidden="1">{"'매출계획'!$D$2"}</definedName>
    <definedName name="도장152" localSheetId="18" hidden="1">{"'매출계획'!$D$2"}</definedName>
    <definedName name="도장152" hidden="1">{"'매출계획'!$D$2"}</definedName>
    <definedName name="도장신" localSheetId="18" hidden="1">{"'매출계획'!$D$2"}</definedName>
    <definedName name="도장신" hidden="1">{"'매출계획'!$D$2"}</definedName>
    <definedName name="ㄹㄹ" localSheetId="18" hidden="1">{"'매출계획'!$D$2"}</definedName>
    <definedName name="ㄹㄹ" hidden="1">{"'매출계획'!$D$2"}</definedName>
    <definedName name="ㄹㄹㄹ" localSheetId="18" hidden="1">{"'매출계획'!$D$2"}</definedName>
    <definedName name="ㄹㄹㄹ" hidden="1">{"'매출계획'!$D$2"}</definedName>
    <definedName name="ㄹ호" localSheetId="18" hidden="1">{"'매출계획'!$D$2"}</definedName>
    <definedName name="ㄹ호" hidden="1">{"'매출계획'!$D$2"}</definedName>
    <definedName name="래그" localSheetId="18" hidden="1">{#N/A,#N/A,FALSE,"CCTV"}</definedName>
    <definedName name="래그" hidden="1">{#N/A,#N/A,FALSE,"CCTV"}</definedName>
    <definedName name="롷" localSheetId="18" hidden="1">{"'매출계획'!$D$2"}</definedName>
    <definedName name="롷" hidden="1">{"'매출계획'!$D$2"}</definedName>
    <definedName name="ㅁ" localSheetId="18" hidden="1">{#N/A,#N/A,FALSE,"CCTV"}</definedName>
    <definedName name="ㅁ" hidden="1">{#N/A,#N/A,FALSE,"CCTV"}</definedName>
    <definedName name="ㅁㄴ" localSheetId="18" hidden="1">{"'매출계획'!$D$2"}</definedName>
    <definedName name="ㅁㄴ" hidden="1">{"'매출계획'!$D$2"}</definedName>
    <definedName name="ㅁㄴㅁㄴㅇ" localSheetId="18" hidden="1">{"'매출계획'!$D$2"}</definedName>
    <definedName name="ㅁㄴㅁㄴㅇ" hidden="1">{"'매출계획'!$D$2"}</definedName>
    <definedName name="ㅁㄹㅇ" localSheetId="18" hidden="1">{"'매출계획'!$D$2"}</definedName>
    <definedName name="ㅁㄹㅇ" hidden="1">{"'매출계획'!$D$2"}</definedName>
    <definedName name="ㅁㅁㅁ" localSheetId="18" hidden="1">{"'매출계획'!$D$2"}</definedName>
    <definedName name="ㅁㅁㅁ" hidden="1">{"'매출계획'!$D$2"}</definedName>
    <definedName name="ㅁㅅ" localSheetId="18" hidden="1">{"'매출계획'!$D$2"}</definedName>
    <definedName name="ㅁㅅ" hidden="1">{"'매출계획'!$D$2"}</definedName>
    <definedName name="ㅁㅇ" localSheetId="18" hidden="1">{"'매출계획'!$D$2"}</definedName>
    <definedName name="ㅁㅇ" hidden="1">{"'매출계획'!$D$2"}</definedName>
    <definedName name="몰라" localSheetId="18" hidden="1">{"'매출계획'!$D$2"}</definedName>
    <definedName name="몰라" hidden="1">{"'매출계획'!$D$2"}</definedName>
    <definedName name="물랭집계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localSheetId="18" hidden="1">{"'매출계획'!$D$2"}</definedName>
    <definedName name="뭐고" hidden="1">{"'매출계획'!$D$2"}</definedName>
    <definedName name="ㅂㅂㅂ" localSheetId="18" hidden="1">{"'매출계획'!$D$2"}</definedName>
    <definedName name="ㅂㅂㅂ" hidden="1">{"'매출계획'!$D$2"}</definedName>
    <definedName name="ㅂㅈㄷ" localSheetId="18" hidden="1">{"'매출계획'!$D$2"}</definedName>
    <definedName name="ㅂㅈㄷ" hidden="1">{"'매출계획'!$D$2"}</definedName>
    <definedName name="법인세4.6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localSheetId="18" hidden="1">{"'매출계획'!$D$2"}</definedName>
    <definedName name="보고333" hidden="1">{"'매출계획'!$D$2"}</definedName>
    <definedName name="보고3333" localSheetId="18" hidden="1">{"'매출계획'!$D$2"}</definedName>
    <definedName name="보고3333" hidden="1">{"'매출계획'!$D$2"}</definedName>
    <definedName name="사내추가" localSheetId="18" hidden="1">{"'매출계획'!$D$2"}</definedName>
    <definedName name="사내추가" hidden="1">{"'매출계획'!$D$2"}</definedName>
    <definedName name="상각비2" hidden="1">#REF!</definedName>
    <definedName name="샘풀카피" localSheetId="18" hidden="1">{#N/A,#N/A,FALSE,"CCTV"}</definedName>
    <definedName name="샘풀카피" hidden="1">{#N/A,#N/A,FALSE,"CCTV"}</definedName>
    <definedName name="샘플카피2" localSheetId="18" hidden="1">{#N/A,#N/A,FALSE,"CCTV"}</definedName>
    <definedName name="샘플카피2" hidden="1">{#N/A,#N/A,FALSE,"CCTV"}</definedName>
    <definedName name="샘플카피3" localSheetId="18" hidden="1">{#N/A,#N/A,FALSE,"CCTV"}</definedName>
    <definedName name="샘플카피3" hidden="1">{#N/A,#N/A,FALSE,"CCTV"}</definedName>
    <definedName name="생산능력" localSheetId="18" hidden="1">{"'매출계획'!$D$2"}</definedName>
    <definedName name="생산능력" hidden="1">{"'매출계획'!$D$2"}</definedName>
    <definedName name="신조매출" localSheetId="18" hidden="1">{"'매출계획'!$D$2"}</definedName>
    <definedName name="신조매출" hidden="1">{"'매출계획'!$D$2"}</definedName>
    <definedName name="ㅇㅇㅇ" localSheetId="18" hidden="1">{"'매출계획'!$D$2"}</definedName>
    <definedName name="ㅇㅇㅇ" hidden="1">{"'매출계획'!$D$2"}</definedName>
    <definedName name="양" localSheetId="18" hidden="1">{#N/A,#N/A,FALSE,"CCTV"}</definedName>
    <definedName name="양" hidden="1">{#N/A,#N/A,FALSE,"CCTV"}</definedName>
    <definedName name="연습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localSheetId="18" hidden="1">{"'매출계획'!$D$2"}</definedName>
    <definedName name="예산" hidden="1">{"'매출계획'!$D$2"}</definedName>
    <definedName name="ㅈㅂㄷㅈ" localSheetId="18" hidden="1">{"'매출계획'!$D$2"}</definedName>
    <definedName name="ㅈㅂㄷㅈ" hidden="1">{"'매출계획'!$D$2"}</definedName>
    <definedName name="ㅈㅈ" localSheetId="18" hidden="1">{"'매출계획'!$D$2"}</definedName>
    <definedName name="ㅈㅈ" hidden="1">{"'매출계획'!$D$2"}</definedName>
    <definedName name="조건2" localSheetId="18" hidden="1">{#N/A,#N/A,FALSE,"CCTV"}</definedName>
    <definedName name="조건2" hidden="1">{#N/A,#N/A,FALSE,"CCTV"}</definedName>
    <definedName name="조립LOAD" localSheetId="18" hidden="1">{"'매출계획'!$D$2"}</definedName>
    <definedName name="조립LOAD" hidden="1">{"'매출계획'!$D$2"}</definedName>
    <definedName name="조정" localSheetId="18" hidden="1">{"'매출계획'!$D$2"}</definedName>
    <definedName name="조정" hidden="1">{"'매출계획'!$D$2"}</definedName>
    <definedName name="증가공수" localSheetId="18" hidden="1">{"'매출계획'!$D$2"}</definedName>
    <definedName name="증가공수" hidden="1">{"'매출계획'!$D$2"}</definedName>
    <definedName name="지ㅣ지" localSheetId="18" hidden="1">{"'매출계획'!$D$2"}</definedName>
    <definedName name="지ㅣ지" hidden="1">{"'매출계획'!$D$2"}</definedName>
    <definedName name="ㅊ퓨" localSheetId="18" hidden="1">{"'매출계획'!$D$2"}</definedName>
    <definedName name="ㅊ퓨" hidden="1">{"'매출계획'!$D$2"}</definedName>
    <definedName name="ㅊ호" localSheetId="18" hidden="1">{"'매출계획'!$D$2"}</definedName>
    <definedName name="ㅊ호" hidden="1">{"'매출계획'!$D$2"}</definedName>
    <definedName name="추가공수" localSheetId="18" hidden="1">{"'매출계획'!$D$2"}</definedName>
    <definedName name="추가공수" hidden="1">{"'매출계획'!$D$2"}</definedName>
    <definedName name="탑재" localSheetId="18" hidden="1">{"'매출계획'!$D$2"}</definedName>
    <definedName name="탑재" hidden="1">{"'매출계획'!$D$2"}</definedName>
    <definedName name="태안도장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localSheetId="18" hidden="1">{"'매출계획'!$D$2"}</definedName>
    <definedName name="ㅎㅇㅀㄴㅇㅎ" hidden="1">{"'매출계획'!$D$2"}</definedName>
    <definedName name="ㅎㅎㅎ" localSheetId="18" hidden="1">{"'매출계획'!$D$2"}</definedName>
    <definedName name="ㅎㅎㅎ" hidden="1">{"'매출계획'!$D$2"}</definedName>
    <definedName name="호호" localSheetId="18" hidden="1">{"'매출계획'!$D$2"}</definedName>
    <definedName name="호호" hidden="1">{"'매출계획'!$D$2"}</definedName>
    <definedName name="ㅏㅏㅏ" localSheetId="18" hidden="1">{"'매출계획'!$D$2"}</definedName>
    <definedName name="ㅏㅏㅏ" hidden="1">{"'매출계획'!$D$2"}</definedName>
    <definedName name="ㅓㅓㅓ" localSheetId="18" hidden="1">{"'매출계획'!$D$2"}</definedName>
    <definedName name="ㅓㅓㅓ" hidden="1">{"'매출계획'!$D$2"}</definedName>
    <definedName name="ㅗㅗㅗㅗ" localSheetId="18" hidden="1">{"'매출계획'!$D$2"}</definedName>
    <definedName name="ㅗㅗㅗㅗ" hidden="1">{"'매출계획'!$D$2"}</definedName>
    <definedName name="ㅛ샤" localSheetId="18" hidden="1">{"'매출계획'!$D$2"}</definedName>
    <definedName name="ㅛ샤" hidden="1">{"'매출계획'!$D$2"}</definedName>
    <definedName name="ㅛㅏㄹ" localSheetId="18" hidden="1">{"'매출계획'!$D$2"}</definedName>
    <definedName name="ㅛㅏㄹ" hidden="1">{"'매출계획'!$D$2"}</definedName>
    <definedName name="ㅠ" localSheetId="18" hidden="1">{#N/A,#N/A,FALSE,"CCTV"}</definedName>
    <definedName name="ㅠ" hidden="1">{#N/A,#N/A,FALSE,"CCTV"}</definedName>
    <definedName name="土建" localSheetId="18" hidden="1">{"'照明目录'!$A$1:$H$31"}</definedName>
    <definedName name="土建" localSheetId="0" hidden="1">{"'照明目录'!$A$1:$H$31"}</definedName>
    <definedName name="土建" hidden="1">{"'照明目录'!$A$1:$H$31"}</definedName>
    <definedName name="土建2" localSheetId="18" hidden="1">{"'照明目录'!$A$1:$H$31"}</definedName>
    <definedName name="土建2" localSheetId="0" hidden="1">{"'照明目录'!$A$1:$H$31"}</definedName>
    <definedName name="土建2" hidden="1">{"'照明目录'!$A$1:$H$31"}</definedName>
    <definedName name="好听" localSheetId="18" hidden="1">{"'照明目录'!$A$1:$H$31"}</definedName>
    <definedName name="好听" localSheetId="0" hidden="1">{"'照明目录'!$A$1:$H$31"}</definedName>
    <definedName name="好听" hidden="1">{"'照明目录'!$A$1:$H$31"}</definedName>
    <definedName name="才了" localSheetId="18" hidden="1">{"'照明目录'!$A$1:$H$31"}</definedName>
    <definedName name="才了" localSheetId="0" hidden="1">{"'照明目录'!$A$1:$H$31"}</definedName>
    <definedName name="才了" hidden="1">{"'照明目录'!$A$1:$H$31"}</definedName>
    <definedName name="新" localSheetId="18" hidden="1">{#N/A,#N/A,FALSE,"m66";#N/A,#N/A,FALSE,"m66"}</definedName>
    <definedName name="新" hidden="1">{#N/A,#N/A,FALSE,"m66";#N/A,#N/A,FALSE,"m66"}</definedName>
    <definedName name="春" localSheetId="18" hidden="1">{"'照明目录'!$A$1:$H$31"}</definedName>
    <definedName name="春" localSheetId="0" hidden="1">{"'照明目录'!$A$1:$H$31"}</definedName>
    <definedName name="春" hidden="1">{"'照明目录'!$A$1:$H$31"}</definedName>
    <definedName name="汇编" localSheetId="18" hidden="1">{"'照明目录'!$A$1:$H$31"}</definedName>
    <definedName name="汇编" localSheetId="0" hidden="1">{"'照明目录'!$A$1:$H$31"}</definedName>
    <definedName name="汇编" hidden="1">{"'照明目录'!$A$1:$H$31"}</definedName>
    <definedName name="汇编1" localSheetId="18" hidden="1">{"'照明目录'!$A$1:$H$31"}</definedName>
    <definedName name="汇编1" localSheetId="0" hidden="1">{"'照明目录'!$A$1:$H$31"}</definedName>
    <definedName name="汇编1" hidden="1">{"'照明目录'!$A$1:$H$31"}</definedName>
    <definedName name="石膏破碎及输送" localSheetId="18" hidden="1">{"'照明目录'!$A$1:$H$31"}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18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阿嫂" localSheetId="18" hidden="1">{"'照明目录'!$A$1:$H$31"}</definedName>
    <definedName name="阿嫂" localSheetId="0" hidden="1">{"'照明目录'!$A$1:$H$31"}</definedName>
    <definedName name="阿嫂" hidden="1">{"'照明目录'!$A$1:$H$31"}</definedName>
    <definedName name="阿瑟" localSheetId="18" hidden="1">{"'照明目录'!$A$1:$H$31"}</definedName>
    <definedName name="阿瑟" localSheetId="0" hidden="1">{"'照明目录'!$A$1:$H$31"}</definedName>
    <definedName name="阿瑟" hidden="1">{"'照明目录'!$A$1:$H$31"}</definedName>
    <definedName name="随机配套" localSheetId="18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48" l="1"/>
  <c r="V6" i="48"/>
  <c r="U6" i="48"/>
  <c r="T206" i="37" l="1"/>
  <c r="Q89" i="40"/>
  <c r="P89" i="40"/>
  <c r="O89" i="40"/>
  <c r="N89" i="40"/>
  <c r="M89" i="40"/>
  <c r="L89" i="40"/>
  <c r="K89" i="40"/>
  <c r="J89" i="40"/>
  <c r="I89" i="40"/>
  <c r="H89" i="40"/>
  <c r="G89" i="40"/>
  <c r="F89" i="40"/>
  <c r="Q87" i="40"/>
  <c r="P87" i="40"/>
  <c r="O87" i="40"/>
  <c r="N87" i="40"/>
  <c r="M87" i="40"/>
  <c r="L87" i="40"/>
  <c r="K87" i="40"/>
  <c r="J87" i="40"/>
  <c r="I87" i="40"/>
  <c r="H87" i="40"/>
  <c r="G87" i="40"/>
  <c r="F87" i="40"/>
  <c r="Q86" i="40"/>
  <c r="P86" i="40"/>
  <c r="O86" i="40"/>
  <c r="N86" i="40"/>
  <c r="M86" i="40"/>
  <c r="L86" i="40"/>
  <c r="K86" i="40"/>
  <c r="J86" i="40"/>
  <c r="I86" i="40"/>
  <c r="H86" i="40"/>
  <c r="G86" i="40"/>
  <c r="F86" i="40"/>
  <c r="Q85" i="40"/>
  <c r="P85" i="40"/>
  <c r="O85" i="40"/>
  <c r="N85" i="40"/>
  <c r="M85" i="40"/>
  <c r="L85" i="40"/>
  <c r="K85" i="40"/>
  <c r="J85" i="40"/>
  <c r="I85" i="40"/>
  <c r="H85" i="40"/>
  <c r="G85" i="40"/>
  <c r="F85" i="40"/>
  <c r="Q84" i="40"/>
  <c r="P84" i="40"/>
  <c r="O84" i="40"/>
  <c r="N84" i="40"/>
  <c r="M84" i="40"/>
  <c r="L84" i="40"/>
  <c r="K84" i="40"/>
  <c r="J84" i="40"/>
  <c r="I84" i="40"/>
  <c r="H84" i="40"/>
  <c r="G84" i="40"/>
  <c r="F84" i="40"/>
  <c r="AV87" i="40"/>
  <c r="AV86" i="40"/>
  <c r="AV85" i="40"/>
  <c r="G3" i="63" l="1"/>
  <c r="H3" i="63"/>
  <c r="I3" i="63"/>
  <c r="J3" i="63"/>
  <c r="K3" i="63"/>
  <c r="L3" i="63"/>
  <c r="M3" i="63"/>
  <c r="N3" i="63"/>
  <c r="O3" i="63"/>
  <c r="P3" i="63"/>
  <c r="Q3" i="63"/>
  <c r="F3" i="63"/>
  <c r="G198" i="63"/>
  <c r="H198" i="63"/>
  <c r="I198" i="63"/>
  <c r="J198" i="63"/>
  <c r="K198" i="63"/>
  <c r="L198" i="63"/>
  <c r="M198" i="63"/>
  <c r="N198" i="63"/>
  <c r="O198" i="63"/>
  <c r="P198" i="63"/>
  <c r="Q198" i="63"/>
  <c r="F198" i="63"/>
  <c r="G174" i="63"/>
  <c r="H174" i="63"/>
  <c r="I174" i="63"/>
  <c r="J174" i="63"/>
  <c r="K174" i="63"/>
  <c r="L174" i="63"/>
  <c r="M174" i="63"/>
  <c r="N174" i="63"/>
  <c r="O174" i="63"/>
  <c r="P174" i="63"/>
  <c r="Q174" i="63"/>
  <c r="F174" i="63"/>
  <c r="G162" i="63"/>
  <c r="H162" i="63"/>
  <c r="I162" i="63"/>
  <c r="J162" i="63"/>
  <c r="K162" i="63"/>
  <c r="L162" i="63"/>
  <c r="M162" i="63"/>
  <c r="N162" i="63"/>
  <c r="O162" i="63"/>
  <c r="P162" i="63"/>
  <c r="Q162" i="63"/>
  <c r="F162" i="63"/>
  <c r="G150" i="63"/>
  <c r="H150" i="63"/>
  <c r="I150" i="63"/>
  <c r="J150" i="63"/>
  <c r="K150" i="63"/>
  <c r="L150" i="63"/>
  <c r="M150" i="63"/>
  <c r="N150" i="63"/>
  <c r="O150" i="63"/>
  <c r="P150" i="63"/>
  <c r="Q150" i="63"/>
  <c r="F150" i="63"/>
  <c r="G138" i="63"/>
  <c r="H138" i="63"/>
  <c r="I138" i="63"/>
  <c r="J138" i="63"/>
  <c r="K138" i="63"/>
  <c r="L138" i="63"/>
  <c r="M138" i="63"/>
  <c r="N138" i="63"/>
  <c r="O138" i="63"/>
  <c r="P138" i="63"/>
  <c r="Q138" i="63"/>
  <c r="F138" i="63"/>
  <c r="G30" i="63"/>
  <c r="H30" i="63"/>
  <c r="I30" i="63"/>
  <c r="J30" i="63"/>
  <c r="K30" i="63"/>
  <c r="L30" i="63"/>
  <c r="M30" i="63"/>
  <c r="N30" i="63"/>
  <c r="O30" i="63"/>
  <c r="P30" i="63"/>
  <c r="Q30" i="63"/>
  <c r="F30" i="63"/>
  <c r="G18" i="63"/>
  <c r="H18" i="63"/>
  <c r="I18" i="63"/>
  <c r="J18" i="63"/>
  <c r="K18" i="63"/>
  <c r="L18" i="63"/>
  <c r="M18" i="63"/>
  <c r="N18" i="63"/>
  <c r="O18" i="63"/>
  <c r="P18" i="63"/>
  <c r="Q18" i="63"/>
  <c r="F18" i="63"/>
  <c r="G6" i="63"/>
  <c r="H6" i="63"/>
  <c r="I6" i="63"/>
  <c r="J6" i="63"/>
  <c r="K6" i="63"/>
  <c r="L6" i="63"/>
  <c r="M6" i="63"/>
  <c r="N6" i="63"/>
  <c r="O6" i="63"/>
  <c r="P6" i="63"/>
  <c r="Q6" i="63"/>
  <c r="F6" i="63"/>
  <c r="Q181" i="63" l="1"/>
  <c r="P181" i="63"/>
  <c r="O181" i="63"/>
  <c r="N181" i="63"/>
  <c r="M181" i="63"/>
  <c r="L181" i="63"/>
  <c r="K181" i="63"/>
  <c r="J181" i="63"/>
  <c r="I181" i="63"/>
  <c r="H181" i="63"/>
  <c r="G181" i="63"/>
  <c r="F181" i="63"/>
  <c r="Q176" i="63"/>
  <c r="P176" i="63"/>
  <c r="O176" i="63"/>
  <c r="N176" i="63"/>
  <c r="M176" i="63"/>
  <c r="L176" i="63"/>
  <c r="K176" i="63"/>
  <c r="J176" i="63"/>
  <c r="I176" i="63"/>
  <c r="H176" i="63"/>
  <c r="G176" i="63"/>
  <c r="F176" i="63"/>
  <c r="R172" i="63"/>
  <c r="R28" i="63"/>
  <c r="R160" i="63"/>
  <c r="Q145" i="63" l="1"/>
  <c r="P145" i="63"/>
  <c r="O145" i="63"/>
  <c r="N145" i="63"/>
  <c r="M145" i="63"/>
  <c r="L145" i="63"/>
  <c r="K145" i="63"/>
  <c r="J145" i="63"/>
  <c r="I145" i="63"/>
  <c r="H145" i="63"/>
  <c r="G145" i="63"/>
  <c r="F145" i="63"/>
  <c r="Q140" i="63"/>
  <c r="P140" i="63"/>
  <c r="O140" i="63"/>
  <c r="N140" i="63"/>
  <c r="M140" i="63"/>
  <c r="L140" i="63"/>
  <c r="K140" i="63"/>
  <c r="J140" i="63"/>
  <c r="I140" i="63"/>
  <c r="H140" i="63"/>
  <c r="G140" i="63"/>
  <c r="F140" i="63"/>
  <c r="Q25" i="63" l="1"/>
  <c r="P25" i="63"/>
  <c r="O25" i="63"/>
  <c r="N25" i="63"/>
  <c r="M25" i="63"/>
  <c r="L25" i="63"/>
  <c r="K25" i="63"/>
  <c r="J25" i="63"/>
  <c r="I25" i="63"/>
  <c r="H25" i="63"/>
  <c r="G25" i="63"/>
  <c r="F25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I58" i="43"/>
  <c r="J58" i="43"/>
  <c r="K58" i="43"/>
  <c r="L58" i="43"/>
  <c r="M58" i="43"/>
  <c r="N58" i="43"/>
  <c r="O58" i="43"/>
  <c r="P58" i="43"/>
  <c r="Q58" i="43"/>
  <c r="R58" i="43"/>
  <c r="S58" i="43"/>
  <c r="H58" i="43"/>
  <c r="H80" i="43"/>
  <c r="G56" i="39" l="1"/>
  <c r="H57" i="39"/>
  <c r="T80" i="43" l="1"/>
  <c r="G57" i="43" l="1"/>
  <c r="AT30" i="40" l="1"/>
  <c r="AT29" i="40"/>
  <c r="AT28" i="40"/>
  <c r="AT27" i="40"/>
  <c r="E46" i="39"/>
  <c r="F65" i="52"/>
  <c r="G65" i="52"/>
  <c r="H65" i="52"/>
  <c r="I65" i="52"/>
  <c r="J65" i="52"/>
  <c r="K65" i="52"/>
  <c r="L65" i="52"/>
  <c r="M65" i="52"/>
  <c r="N65" i="52"/>
  <c r="O65" i="52"/>
  <c r="P65" i="52"/>
  <c r="Q65" i="52"/>
  <c r="F66" i="52"/>
  <c r="G66" i="52"/>
  <c r="H66" i="52"/>
  <c r="H69" i="52" s="1"/>
  <c r="I66" i="52"/>
  <c r="I69" i="52" s="1"/>
  <c r="J66" i="52"/>
  <c r="J69" i="52" s="1"/>
  <c r="K66" i="52"/>
  <c r="L66" i="52"/>
  <c r="M66" i="52"/>
  <c r="N66" i="52"/>
  <c r="O66" i="52"/>
  <c r="P66" i="52"/>
  <c r="Q66" i="52"/>
  <c r="E66" i="52"/>
  <c r="E65" i="52"/>
  <c r="M69" i="52"/>
  <c r="N69" i="52"/>
  <c r="O69" i="52"/>
  <c r="P69" i="52"/>
  <c r="Q69" i="52"/>
  <c r="E69" i="52"/>
  <c r="F57" i="39" s="1"/>
  <c r="L69" i="52"/>
  <c r="E44" i="52"/>
  <c r="E42" i="52"/>
  <c r="E43" i="52"/>
  <c r="E41" i="52"/>
  <c r="F69" i="52"/>
  <c r="G69" i="52"/>
  <c r="K69" i="52"/>
  <c r="F62" i="52"/>
  <c r="G62" i="52"/>
  <c r="H62" i="52"/>
  <c r="I62" i="52"/>
  <c r="J62" i="52"/>
  <c r="K62" i="52"/>
  <c r="L62" i="52"/>
  <c r="M62" i="52"/>
  <c r="N62" i="52"/>
  <c r="O62" i="52"/>
  <c r="P62" i="52"/>
  <c r="Q62" i="52"/>
  <c r="F63" i="52"/>
  <c r="G63" i="52"/>
  <c r="H63" i="52"/>
  <c r="I63" i="52"/>
  <c r="J63" i="52"/>
  <c r="K63" i="52"/>
  <c r="L63" i="52"/>
  <c r="M63" i="52"/>
  <c r="N63" i="52"/>
  <c r="O63" i="52"/>
  <c r="P63" i="52"/>
  <c r="Q63" i="52"/>
  <c r="E63" i="52"/>
  <c r="E62" i="52"/>
  <c r="E68" i="52" l="1"/>
  <c r="F16" i="55" l="1"/>
  <c r="G63" i="37"/>
  <c r="AS29" i="65" l="1"/>
  <c r="AR29" i="65"/>
  <c r="AG42" i="65"/>
  <c r="AE9" i="65"/>
  <c r="AR48" i="65"/>
  <c r="AS48" i="65" s="1"/>
  <c r="AD48" i="65"/>
  <c r="O48" i="65"/>
  <c r="L48" i="65"/>
  <c r="M48" i="65" s="1"/>
  <c r="AR47" i="65" l="1"/>
  <c r="O47" i="65"/>
  <c r="J47" i="65"/>
  <c r="L47" i="65" s="1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E5" i="43"/>
  <c r="AE47" i="65" l="1"/>
  <c r="AS47" i="65" s="1"/>
  <c r="AC47" i="65"/>
  <c r="AD47" i="65" s="1"/>
  <c r="M47" i="65"/>
  <c r="L57" i="39"/>
  <c r="N57" i="39"/>
  <c r="O57" i="39"/>
  <c r="P57" i="39"/>
  <c r="Q57" i="39"/>
  <c r="R57" i="39"/>
  <c r="I57" i="39"/>
  <c r="J57" i="39"/>
  <c r="K57" i="39"/>
  <c r="M57" i="39"/>
  <c r="S57" i="39"/>
  <c r="T225" i="63"/>
  <c r="U225" i="63"/>
  <c r="U224" i="63"/>
  <c r="U223" i="63"/>
  <c r="T224" i="63"/>
  <c r="T223" i="63"/>
  <c r="T226" i="63" l="1"/>
  <c r="G57" i="39"/>
  <c r="E57" i="39"/>
  <c r="U226" i="63"/>
  <c r="U227" i="63" l="1"/>
  <c r="U228" i="63" s="1"/>
  <c r="L50" i="65"/>
  <c r="M52" i="65"/>
  <c r="G42" i="39"/>
  <c r="F42" i="63"/>
  <c r="AI28" i="41" l="1"/>
  <c r="AJ28" i="41"/>
  <c r="AH28" i="41"/>
  <c r="AF50" i="65"/>
  <c r="AG50" i="65"/>
  <c r="AH50" i="65"/>
  <c r="AI50" i="65"/>
  <c r="AJ50" i="65"/>
  <c r="AK50" i="65"/>
  <c r="AL50" i="65"/>
  <c r="AM50" i="65"/>
  <c r="AN50" i="65"/>
  <c r="AO50" i="65"/>
  <c r="AP50" i="65"/>
  <c r="AQ50" i="65"/>
  <c r="AE50" i="65" l="1"/>
  <c r="AC50" i="65" l="1"/>
  <c r="E11" i="47"/>
  <c r="G11" i="47" s="1"/>
  <c r="AO98" i="41"/>
  <c r="AQ126" i="72" l="1"/>
  <c r="AQ28" i="72"/>
  <c r="AQ64" i="72" l="1"/>
  <c r="AO67" i="72"/>
  <c r="AO68" i="72"/>
  <c r="AO69" i="72"/>
  <c r="AO70" i="72"/>
  <c r="AO71" i="72"/>
  <c r="AO72" i="72"/>
  <c r="AO73" i="72"/>
  <c r="AO74" i="72"/>
  <c r="AO75" i="72"/>
  <c r="AO76" i="72"/>
  <c r="AO78" i="72"/>
  <c r="AO79" i="72"/>
  <c r="AO81" i="72"/>
  <c r="AO82" i="72"/>
  <c r="AO83" i="72"/>
  <c r="AO84" i="72"/>
  <c r="AO85" i="72"/>
  <c r="AO87" i="72"/>
  <c r="AO88" i="72"/>
  <c r="AO89" i="72"/>
  <c r="AO90" i="72"/>
  <c r="AO91" i="72"/>
  <c r="AO92" i="72"/>
  <c r="AO93" i="72"/>
  <c r="AO94" i="72"/>
  <c r="AO95" i="72"/>
  <c r="AO96" i="72"/>
  <c r="AO97" i="72"/>
  <c r="AO98" i="72"/>
  <c r="AO99" i="72"/>
  <c r="AO100" i="72"/>
  <c r="AO101" i="72"/>
  <c r="AO102" i="72"/>
  <c r="AO104" i="72"/>
  <c r="AO105" i="72"/>
  <c r="AO106" i="72"/>
  <c r="AO107" i="72"/>
  <c r="AO109" i="72"/>
  <c r="AO110" i="72"/>
  <c r="AO111" i="72"/>
  <c r="AO113" i="72"/>
  <c r="AO114" i="72"/>
  <c r="AO115" i="72"/>
  <c r="AO116" i="72"/>
  <c r="AO117" i="72"/>
  <c r="AO118" i="72"/>
  <c r="AO119" i="72"/>
  <c r="AO120" i="72"/>
  <c r="AO121" i="72"/>
  <c r="AO122" i="72"/>
  <c r="AO123" i="72"/>
  <c r="AM67" i="72"/>
  <c r="AM68" i="72"/>
  <c r="AM69" i="72"/>
  <c r="AM70" i="72"/>
  <c r="AM71" i="72"/>
  <c r="AM72" i="72"/>
  <c r="AM73" i="72"/>
  <c r="AM74" i="72"/>
  <c r="AM75" i="72"/>
  <c r="AM76" i="72"/>
  <c r="AM77" i="72"/>
  <c r="AM78" i="72"/>
  <c r="AM79" i="72"/>
  <c r="AM82" i="72"/>
  <c r="AM83" i="72"/>
  <c r="AM84" i="72"/>
  <c r="AM85" i="72"/>
  <c r="AM87" i="72"/>
  <c r="AM88" i="72"/>
  <c r="AM89" i="72"/>
  <c r="AM90" i="72"/>
  <c r="AM91" i="72"/>
  <c r="AM92" i="72"/>
  <c r="AM93" i="72"/>
  <c r="AM94" i="72"/>
  <c r="AM95" i="72"/>
  <c r="AM96" i="72"/>
  <c r="AM97" i="72"/>
  <c r="AM98" i="72"/>
  <c r="AM99" i="72"/>
  <c r="AM100" i="72"/>
  <c r="AM101" i="72"/>
  <c r="AM103" i="72"/>
  <c r="AM105" i="72"/>
  <c r="AM106" i="72"/>
  <c r="AM107" i="72"/>
  <c r="AM109" i="72"/>
  <c r="AM110" i="72"/>
  <c r="AM111" i="72"/>
  <c r="AM113" i="72"/>
  <c r="AM114" i="72"/>
  <c r="AM115" i="72"/>
  <c r="AM116" i="72"/>
  <c r="AM117" i="72"/>
  <c r="AM118" i="72"/>
  <c r="AM119" i="72"/>
  <c r="AM120" i="72"/>
  <c r="AM121" i="72"/>
  <c r="AM123" i="72"/>
  <c r="AO66" i="72"/>
  <c r="AM66" i="72"/>
  <c r="AO60" i="72"/>
  <c r="AM60" i="72"/>
  <c r="AO30" i="72"/>
  <c r="AO31" i="72"/>
  <c r="AO32" i="72"/>
  <c r="AO33" i="72"/>
  <c r="AO34" i="72"/>
  <c r="AO35" i="72"/>
  <c r="AO36" i="72"/>
  <c r="AO37" i="72"/>
  <c r="AO38" i="72"/>
  <c r="AO39" i="72"/>
  <c r="AO40" i="72"/>
  <c r="AO41" i="72"/>
  <c r="AO42" i="72"/>
  <c r="AO43" i="72"/>
  <c r="AO44" i="72"/>
  <c r="AO45" i="72"/>
  <c r="AO46" i="72"/>
  <c r="AO47" i="72"/>
  <c r="AO48" i="72"/>
  <c r="AO49" i="72"/>
  <c r="AO50" i="72"/>
  <c r="AO51" i="72"/>
  <c r="AO52" i="72"/>
  <c r="AO53" i="72"/>
  <c r="AO54" i="72"/>
  <c r="AO55" i="72"/>
  <c r="AM30" i="72"/>
  <c r="AM31" i="72"/>
  <c r="AM32" i="72"/>
  <c r="AM33" i="72"/>
  <c r="AM34" i="72"/>
  <c r="AM35" i="72"/>
  <c r="AM36" i="72"/>
  <c r="AM37" i="72"/>
  <c r="AM38" i="72"/>
  <c r="AM39" i="72"/>
  <c r="AM40" i="72"/>
  <c r="AM41" i="72"/>
  <c r="AM42" i="72"/>
  <c r="AM43" i="72"/>
  <c r="AM44" i="72"/>
  <c r="AM45" i="72"/>
  <c r="AM46" i="72"/>
  <c r="AM47" i="72"/>
  <c r="AM48" i="72"/>
  <c r="AM49" i="72"/>
  <c r="AM50" i="72"/>
  <c r="AM51" i="72"/>
  <c r="AM52" i="72"/>
  <c r="AM53" i="72"/>
  <c r="AM54" i="72"/>
  <c r="AM55" i="72"/>
  <c r="AO29" i="72"/>
  <c r="AM29" i="72"/>
  <c r="AO16" i="72"/>
  <c r="AO25" i="72"/>
  <c r="AO27" i="72"/>
  <c r="AM16" i="72"/>
  <c r="AM25" i="72"/>
  <c r="AM27" i="72"/>
  <c r="Z66" i="72"/>
  <c r="AA66" i="72"/>
  <c r="AB66" i="72"/>
  <c r="AC66" i="72"/>
  <c r="AD66" i="72"/>
  <c r="AE66" i="72"/>
  <c r="AF66" i="72"/>
  <c r="AG66" i="72"/>
  <c r="Z67" i="72"/>
  <c r="AA67" i="72"/>
  <c r="AB67" i="72"/>
  <c r="AC67" i="72"/>
  <c r="AD67" i="72"/>
  <c r="AE67" i="72"/>
  <c r="AF67" i="72"/>
  <c r="AG67" i="72"/>
  <c r="AH67" i="72"/>
  <c r="AI67" i="72"/>
  <c r="AJ67" i="72"/>
  <c r="Z68" i="72"/>
  <c r="AA68" i="72"/>
  <c r="AB68" i="72"/>
  <c r="AC68" i="72"/>
  <c r="AD68" i="72"/>
  <c r="AE68" i="72"/>
  <c r="AF68" i="72"/>
  <c r="AG68" i="72"/>
  <c r="AH68" i="72"/>
  <c r="AI68" i="72"/>
  <c r="AJ68" i="72"/>
  <c r="Z69" i="72"/>
  <c r="AA69" i="72"/>
  <c r="AB69" i="72"/>
  <c r="AC69" i="72"/>
  <c r="AD69" i="72"/>
  <c r="AE69" i="72"/>
  <c r="AF69" i="72"/>
  <c r="AG69" i="72"/>
  <c r="AH69" i="72"/>
  <c r="AI69" i="72"/>
  <c r="AJ69" i="72"/>
  <c r="Z70" i="72"/>
  <c r="AA70" i="72"/>
  <c r="AB70" i="72"/>
  <c r="AC70" i="72"/>
  <c r="AD70" i="72"/>
  <c r="AE70" i="72"/>
  <c r="AF70" i="72"/>
  <c r="AG70" i="72"/>
  <c r="AH70" i="72"/>
  <c r="AI70" i="72"/>
  <c r="AJ70" i="72"/>
  <c r="Z71" i="72"/>
  <c r="AA71" i="72"/>
  <c r="AB71" i="72"/>
  <c r="AC71" i="72"/>
  <c r="AD71" i="72"/>
  <c r="AE71" i="72"/>
  <c r="AF71" i="72"/>
  <c r="AG71" i="72"/>
  <c r="AH71" i="72"/>
  <c r="AI71" i="72"/>
  <c r="AJ71" i="72"/>
  <c r="Z72" i="72"/>
  <c r="AA72" i="72"/>
  <c r="AB72" i="72"/>
  <c r="AC72" i="72"/>
  <c r="AD72" i="72"/>
  <c r="AE72" i="72"/>
  <c r="AF72" i="72"/>
  <c r="AG72" i="72"/>
  <c r="AH72" i="72"/>
  <c r="AI72" i="72"/>
  <c r="AJ72" i="72"/>
  <c r="Z73" i="72"/>
  <c r="AA73" i="72"/>
  <c r="AB73" i="72"/>
  <c r="AC73" i="72"/>
  <c r="AD73" i="72"/>
  <c r="AE73" i="72"/>
  <c r="AF73" i="72"/>
  <c r="AG73" i="72"/>
  <c r="AH73" i="72"/>
  <c r="AI73" i="72"/>
  <c r="AJ73" i="72"/>
  <c r="Z74" i="72"/>
  <c r="AA74" i="72"/>
  <c r="AB74" i="72"/>
  <c r="AC74" i="72"/>
  <c r="AD74" i="72"/>
  <c r="AE74" i="72"/>
  <c r="AF74" i="72"/>
  <c r="AG74" i="72"/>
  <c r="AH74" i="72"/>
  <c r="AI74" i="72"/>
  <c r="AJ74" i="72"/>
  <c r="Z75" i="72"/>
  <c r="AA75" i="72"/>
  <c r="AB75" i="72"/>
  <c r="AC75" i="72"/>
  <c r="AD75" i="72"/>
  <c r="AE75" i="72"/>
  <c r="AF75" i="72"/>
  <c r="AG75" i="72"/>
  <c r="AH75" i="72"/>
  <c r="AI75" i="72"/>
  <c r="AJ75" i="72"/>
  <c r="Z76" i="72"/>
  <c r="AA76" i="72"/>
  <c r="AB76" i="72"/>
  <c r="AC76" i="72"/>
  <c r="AD76" i="72"/>
  <c r="AE76" i="72"/>
  <c r="AF76" i="72"/>
  <c r="AG76" i="72"/>
  <c r="AH76" i="72"/>
  <c r="AI76" i="72"/>
  <c r="AJ76" i="72"/>
  <c r="Z77" i="72"/>
  <c r="AA77" i="72"/>
  <c r="AB77" i="72"/>
  <c r="AC77" i="72"/>
  <c r="AD77" i="72"/>
  <c r="AE77" i="72"/>
  <c r="AF77" i="72"/>
  <c r="AG77" i="72"/>
  <c r="AH77" i="72"/>
  <c r="AI77" i="72"/>
  <c r="AJ77" i="72"/>
  <c r="Z78" i="72"/>
  <c r="AA78" i="72"/>
  <c r="AB78" i="72"/>
  <c r="AC78" i="72"/>
  <c r="AD78" i="72"/>
  <c r="AE78" i="72"/>
  <c r="AF78" i="72"/>
  <c r="AG78" i="72"/>
  <c r="AH78" i="72"/>
  <c r="AI78" i="72"/>
  <c r="AJ78" i="72"/>
  <c r="Z79" i="72"/>
  <c r="AA79" i="72"/>
  <c r="AB79" i="72"/>
  <c r="AC79" i="72"/>
  <c r="AD79" i="72"/>
  <c r="AE79" i="72"/>
  <c r="AF79" i="72"/>
  <c r="AG79" i="72"/>
  <c r="AH79" i="72"/>
  <c r="AI79" i="72"/>
  <c r="AJ79" i="72"/>
  <c r="Z80" i="72"/>
  <c r="AA80" i="72"/>
  <c r="AB80" i="72"/>
  <c r="AF80" i="72"/>
  <c r="AG80" i="72"/>
  <c r="AH80" i="72"/>
  <c r="AI80" i="72"/>
  <c r="AJ80" i="72"/>
  <c r="Z81" i="72"/>
  <c r="AA81" i="72"/>
  <c r="AB81" i="72"/>
  <c r="AC81" i="72"/>
  <c r="AD81" i="72"/>
  <c r="AE81" i="72"/>
  <c r="AF81" i="72"/>
  <c r="AG81" i="72"/>
  <c r="AH81" i="72"/>
  <c r="AI81" i="72"/>
  <c r="AJ81" i="72"/>
  <c r="Z82" i="72"/>
  <c r="AA82" i="72"/>
  <c r="AB82" i="72"/>
  <c r="AC82" i="72"/>
  <c r="AD82" i="72"/>
  <c r="AE82" i="72"/>
  <c r="AF82" i="72"/>
  <c r="AG82" i="72"/>
  <c r="AH82" i="72"/>
  <c r="AI82" i="72"/>
  <c r="AJ82" i="72"/>
  <c r="Z83" i="72"/>
  <c r="AA83" i="72"/>
  <c r="AB83" i="72"/>
  <c r="AC83" i="72"/>
  <c r="AD83" i="72"/>
  <c r="AE83" i="72"/>
  <c r="AF83" i="72"/>
  <c r="AG83" i="72"/>
  <c r="AH83" i="72"/>
  <c r="AI83" i="72"/>
  <c r="AJ83" i="72"/>
  <c r="Z84" i="72"/>
  <c r="AA84" i="72"/>
  <c r="AB84" i="72"/>
  <c r="AC84" i="72"/>
  <c r="AD84" i="72"/>
  <c r="AE84" i="72"/>
  <c r="AF84" i="72"/>
  <c r="AG84" i="72"/>
  <c r="AH84" i="72"/>
  <c r="AI84" i="72"/>
  <c r="AJ84" i="72"/>
  <c r="Z85" i="72"/>
  <c r="AA85" i="72"/>
  <c r="AB85" i="72"/>
  <c r="AC85" i="72"/>
  <c r="AD85" i="72"/>
  <c r="AE85" i="72"/>
  <c r="AF85" i="72"/>
  <c r="AG85" i="72"/>
  <c r="AH85" i="72"/>
  <c r="AI85" i="72"/>
  <c r="AJ85" i="72"/>
  <c r="AA86" i="72"/>
  <c r="AB86" i="72"/>
  <c r="AC86" i="72"/>
  <c r="AD86" i="72"/>
  <c r="AE86" i="72"/>
  <c r="AF86" i="72"/>
  <c r="AG86" i="72"/>
  <c r="AH86" i="72"/>
  <c r="AI86" i="72"/>
  <c r="AJ86" i="72"/>
  <c r="Z87" i="72"/>
  <c r="AA87" i="72"/>
  <c r="AB87" i="72"/>
  <c r="AC87" i="72"/>
  <c r="AD87" i="72"/>
  <c r="AE87" i="72"/>
  <c r="AF87" i="72"/>
  <c r="AG87" i="72"/>
  <c r="AH87" i="72"/>
  <c r="AI87" i="72"/>
  <c r="AJ87" i="72"/>
  <c r="Z88" i="72"/>
  <c r="AA88" i="72"/>
  <c r="AB88" i="72"/>
  <c r="AC88" i="72"/>
  <c r="AD88" i="72"/>
  <c r="AE88" i="72"/>
  <c r="AF88" i="72"/>
  <c r="AG88" i="72"/>
  <c r="AH88" i="72"/>
  <c r="AI88" i="72"/>
  <c r="AJ88" i="72"/>
  <c r="Z89" i="72"/>
  <c r="AA89" i="72"/>
  <c r="AB89" i="72"/>
  <c r="AC89" i="72"/>
  <c r="AE89" i="72"/>
  <c r="AF89" i="72"/>
  <c r="AG89" i="72"/>
  <c r="AH89" i="72"/>
  <c r="AI89" i="72"/>
  <c r="AJ89" i="72"/>
  <c r="Z90" i="72"/>
  <c r="AA90" i="72"/>
  <c r="AB90" i="72"/>
  <c r="AC90" i="72"/>
  <c r="AD90" i="72"/>
  <c r="AE90" i="72"/>
  <c r="AF90" i="72"/>
  <c r="AG90" i="72"/>
  <c r="AH90" i="72"/>
  <c r="AI90" i="72"/>
  <c r="AJ90" i="72"/>
  <c r="Z91" i="72"/>
  <c r="AA91" i="72"/>
  <c r="AB91" i="72"/>
  <c r="AC91" i="72"/>
  <c r="AD91" i="72"/>
  <c r="AE91" i="72"/>
  <c r="AF91" i="72"/>
  <c r="AG91" i="72"/>
  <c r="AH91" i="72"/>
  <c r="AI91" i="72"/>
  <c r="AJ91" i="72"/>
  <c r="Z92" i="72"/>
  <c r="AA92" i="72"/>
  <c r="AB92" i="72"/>
  <c r="AC92" i="72"/>
  <c r="AD92" i="72"/>
  <c r="AE92" i="72"/>
  <c r="AF92" i="72"/>
  <c r="AG92" i="72"/>
  <c r="AH92" i="72"/>
  <c r="AI92" i="72"/>
  <c r="AJ92" i="72"/>
  <c r="Z93" i="72"/>
  <c r="AA93" i="72"/>
  <c r="AB93" i="72"/>
  <c r="AC93" i="72"/>
  <c r="AD93" i="72"/>
  <c r="AE93" i="72"/>
  <c r="AF93" i="72"/>
  <c r="AG93" i="72"/>
  <c r="AH93" i="72"/>
  <c r="AI93" i="72"/>
  <c r="AJ93" i="72"/>
  <c r="Z94" i="72"/>
  <c r="AA94" i="72"/>
  <c r="AB94" i="72"/>
  <c r="AC94" i="72"/>
  <c r="AD94" i="72"/>
  <c r="AE94" i="72"/>
  <c r="AF94" i="72"/>
  <c r="AG94" i="72"/>
  <c r="AH94" i="72"/>
  <c r="AI94" i="72"/>
  <c r="AJ94" i="72"/>
  <c r="Z95" i="72"/>
  <c r="AA95" i="72"/>
  <c r="AB95" i="72"/>
  <c r="AC95" i="72"/>
  <c r="AD95" i="72"/>
  <c r="AE95" i="72"/>
  <c r="AF95" i="72"/>
  <c r="AG95" i="72"/>
  <c r="AH95" i="72"/>
  <c r="AI95" i="72"/>
  <c r="AJ95" i="72"/>
  <c r="Z96" i="72"/>
  <c r="AA96" i="72"/>
  <c r="AB96" i="72"/>
  <c r="AC96" i="72"/>
  <c r="AD96" i="72"/>
  <c r="AE96" i="72"/>
  <c r="AF96" i="72"/>
  <c r="AG96" i="72"/>
  <c r="AH96" i="72"/>
  <c r="AI96" i="72"/>
  <c r="AJ96" i="72"/>
  <c r="Z97" i="72"/>
  <c r="AA97" i="72"/>
  <c r="AB97" i="72"/>
  <c r="AC97" i="72"/>
  <c r="AD97" i="72"/>
  <c r="AE97" i="72"/>
  <c r="AF97" i="72"/>
  <c r="AG97" i="72"/>
  <c r="AH97" i="72"/>
  <c r="AI97" i="72"/>
  <c r="AJ97" i="72"/>
  <c r="Z98" i="72"/>
  <c r="AA98" i="72"/>
  <c r="AB98" i="72"/>
  <c r="AC98" i="72"/>
  <c r="AD98" i="72"/>
  <c r="AE98" i="72"/>
  <c r="AF98" i="72"/>
  <c r="AG98" i="72"/>
  <c r="AH98" i="72"/>
  <c r="AI98" i="72"/>
  <c r="AJ98" i="72"/>
  <c r="Z99" i="72"/>
  <c r="AA99" i="72"/>
  <c r="AB99" i="72"/>
  <c r="AC99" i="72"/>
  <c r="AD99" i="72"/>
  <c r="AE99" i="72"/>
  <c r="AF99" i="72"/>
  <c r="AG99" i="72"/>
  <c r="AH99" i="72"/>
  <c r="AI99" i="72"/>
  <c r="AJ99" i="72"/>
  <c r="Z100" i="72"/>
  <c r="AB100" i="72"/>
  <c r="AC100" i="72"/>
  <c r="AD100" i="72"/>
  <c r="AE100" i="72"/>
  <c r="AF100" i="72"/>
  <c r="AG100" i="72"/>
  <c r="AH100" i="72"/>
  <c r="AI100" i="72"/>
  <c r="AJ100" i="72"/>
  <c r="Z101" i="72"/>
  <c r="AA101" i="72"/>
  <c r="AB101" i="72"/>
  <c r="AC101" i="72"/>
  <c r="AD101" i="72"/>
  <c r="AE101" i="72"/>
  <c r="AF101" i="72"/>
  <c r="AG101" i="72"/>
  <c r="AH101" i="72"/>
  <c r="AI101" i="72"/>
  <c r="AJ101" i="72"/>
  <c r="Z102" i="72"/>
  <c r="AA102" i="72"/>
  <c r="AB102" i="72"/>
  <c r="AC102" i="72"/>
  <c r="AD102" i="72"/>
  <c r="AE102" i="72"/>
  <c r="AF102" i="72"/>
  <c r="AG102" i="72"/>
  <c r="AH102" i="72"/>
  <c r="AI102" i="72"/>
  <c r="AJ102" i="72"/>
  <c r="Z103" i="72"/>
  <c r="AA103" i="72"/>
  <c r="AB103" i="72"/>
  <c r="AC103" i="72"/>
  <c r="AD103" i="72"/>
  <c r="AE103" i="72"/>
  <c r="Z104" i="72"/>
  <c r="AA104" i="72"/>
  <c r="AB104" i="72"/>
  <c r="AC104" i="72"/>
  <c r="AD104" i="72"/>
  <c r="AE104" i="72"/>
  <c r="AF104" i="72"/>
  <c r="AG104" i="72"/>
  <c r="AH104" i="72"/>
  <c r="AI104" i="72"/>
  <c r="AJ104" i="72"/>
  <c r="Z105" i="72"/>
  <c r="AA105" i="72"/>
  <c r="AB105" i="72"/>
  <c r="AC105" i="72"/>
  <c r="AD105" i="72"/>
  <c r="AE105" i="72"/>
  <c r="AF105" i="72"/>
  <c r="AG105" i="72"/>
  <c r="AH105" i="72"/>
  <c r="AI105" i="72"/>
  <c r="AJ105" i="72"/>
  <c r="Z106" i="72"/>
  <c r="AA106" i="72"/>
  <c r="AB106" i="72"/>
  <c r="AC106" i="72"/>
  <c r="AD106" i="72"/>
  <c r="AE106" i="72"/>
  <c r="AF106" i="72"/>
  <c r="AG106" i="72"/>
  <c r="AH106" i="72"/>
  <c r="AI106" i="72"/>
  <c r="AJ106" i="72"/>
  <c r="Z107" i="72"/>
  <c r="AA107" i="72"/>
  <c r="AB107" i="72"/>
  <c r="AC107" i="72"/>
  <c r="AD107" i="72"/>
  <c r="AE107" i="72"/>
  <c r="AF107" i="72"/>
  <c r="AG107" i="72"/>
  <c r="AH107" i="72"/>
  <c r="AI107" i="72"/>
  <c r="AJ107" i="72"/>
  <c r="Z108" i="72"/>
  <c r="AA108" i="72"/>
  <c r="AB108" i="72"/>
  <c r="AD108" i="72"/>
  <c r="AE108" i="72"/>
  <c r="AG108" i="72"/>
  <c r="AH108" i="72"/>
  <c r="AI108" i="72"/>
  <c r="AJ108" i="72"/>
  <c r="Z109" i="72"/>
  <c r="AA109" i="72"/>
  <c r="AB109" i="72"/>
  <c r="AC109" i="72"/>
  <c r="AD109" i="72"/>
  <c r="AE109" i="72"/>
  <c r="AF109" i="72"/>
  <c r="AG109" i="72"/>
  <c r="AH109" i="72"/>
  <c r="AI109" i="72"/>
  <c r="AJ109" i="72"/>
  <c r="AA110" i="72"/>
  <c r="AB110" i="72"/>
  <c r="AC110" i="72"/>
  <c r="AD110" i="72"/>
  <c r="AE110" i="72"/>
  <c r="AF110" i="72"/>
  <c r="AG110" i="72"/>
  <c r="AH110" i="72"/>
  <c r="AI110" i="72"/>
  <c r="AJ110" i="72"/>
  <c r="Z111" i="72"/>
  <c r="AA111" i="72"/>
  <c r="AB111" i="72"/>
  <c r="AC111" i="72"/>
  <c r="AD111" i="72"/>
  <c r="AE111" i="72"/>
  <c r="AF111" i="72"/>
  <c r="AG111" i="72"/>
  <c r="AH111" i="72"/>
  <c r="AI111" i="72"/>
  <c r="AJ111" i="72"/>
  <c r="Z113" i="72"/>
  <c r="AA113" i="72"/>
  <c r="AB113" i="72"/>
  <c r="AC113" i="72"/>
  <c r="AD113" i="72"/>
  <c r="AE113" i="72"/>
  <c r="AF113" i="72"/>
  <c r="AG113" i="72"/>
  <c r="AH113" i="72"/>
  <c r="AI113" i="72"/>
  <c r="AJ113" i="72"/>
  <c r="Z114" i="72"/>
  <c r="AA114" i="72"/>
  <c r="AB114" i="72"/>
  <c r="AC114" i="72"/>
  <c r="AD114" i="72"/>
  <c r="AE114" i="72"/>
  <c r="AF114" i="72"/>
  <c r="AG114" i="72"/>
  <c r="AH114" i="72"/>
  <c r="AI114" i="72"/>
  <c r="AJ114" i="72"/>
  <c r="Z115" i="72"/>
  <c r="AA115" i="72"/>
  <c r="AB115" i="72"/>
  <c r="AC115" i="72"/>
  <c r="AD115" i="72"/>
  <c r="AE115" i="72"/>
  <c r="AF115" i="72"/>
  <c r="AG115" i="72"/>
  <c r="AH115" i="72"/>
  <c r="AI115" i="72"/>
  <c r="AJ115" i="72"/>
  <c r="Z116" i="72"/>
  <c r="AA116" i="72"/>
  <c r="AB116" i="72"/>
  <c r="AC116" i="72"/>
  <c r="AD116" i="72"/>
  <c r="AE116" i="72"/>
  <c r="AF116" i="72"/>
  <c r="AG116" i="72"/>
  <c r="AH116" i="72"/>
  <c r="AI116" i="72"/>
  <c r="AJ116" i="72"/>
  <c r="Z117" i="72"/>
  <c r="AA117" i="72"/>
  <c r="AB117" i="72"/>
  <c r="AC117" i="72"/>
  <c r="AD117" i="72"/>
  <c r="AE117" i="72"/>
  <c r="AF117" i="72"/>
  <c r="AG117" i="72"/>
  <c r="AH117" i="72"/>
  <c r="AI117" i="72"/>
  <c r="AJ117" i="72"/>
  <c r="Z118" i="72"/>
  <c r="AA118" i="72"/>
  <c r="AB118" i="72"/>
  <c r="AC118" i="72"/>
  <c r="AD118" i="72"/>
  <c r="AE118" i="72"/>
  <c r="AF118" i="72"/>
  <c r="AG118" i="72"/>
  <c r="AH118" i="72"/>
  <c r="AI118" i="72"/>
  <c r="AJ118" i="72"/>
  <c r="Z119" i="72"/>
  <c r="AA119" i="72"/>
  <c r="AB119" i="72"/>
  <c r="AC119" i="72"/>
  <c r="AD119" i="72"/>
  <c r="AE119" i="72"/>
  <c r="AF119" i="72"/>
  <c r="AG119" i="72"/>
  <c r="AH119" i="72"/>
  <c r="AI119" i="72"/>
  <c r="AJ119" i="72"/>
  <c r="Z120" i="72"/>
  <c r="AA120" i="72"/>
  <c r="AB120" i="72"/>
  <c r="AC120" i="72"/>
  <c r="AD120" i="72"/>
  <c r="AE120" i="72"/>
  <c r="AF120" i="72"/>
  <c r="AG120" i="72"/>
  <c r="AH120" i="72"/>
  <c r="AI120" i="72"/>
  <c r="AJ120" i="72"/>
  <c r="Z121" i="72"/>
  <c r="AA121" i="72"/>
  <c r="AB121" i="72"/>
  <c r="AC121" i="72"/>
  <c r="AD121" i="72"/>
  <c r="AE121" i="72"/>
  <c r="AF121" i="72"/>
  <c r="AG121" i="72"/>
  <c r="AH121" i="72"/>
  <c r="AI121" i="72"/>
  <c r="AJ121" i="72"/>
  <c r="Z122" i="72"/>
  <c r="AE122" i="72"/>
  <c r="AG122" i="72"/>
  <c r="AH122" i="72"/>
  <c r="AI122" i="72"/>
  <c r="AJ122" i="72"/>
  <c r="Z123" i="72"/>
  <c r="AA123" i="72"/>
  <c r="AC123" i="72"/>
  <c r="AD123" i="72"/>
  <c r="AE123" i="72"/>
  <c r="AF123" i="72"/>
  <c r="AG123" i="72"/>
  <c r="AH123" i="72"/>
  <c r="AI123" i="72"/>
  <c r="AJ123" i="72"/>
  <c r="Z125" i="72"/>
  <c r="AA125" i="72"/>
  <c r="AB125" i="72"/>
  <c r="AC125" i="72"/>
  <c r="AD125" i="72"/>
  <c r="AE125" i="72"/>
  <c r="AF125" i="72"/>
  <c r="AG125" i="72"/>
  <c r="AH125" i="72"/>
  <c r="AI125" i="72"/>
  <c r="AJ125" i="72"/>
  <c r="AK61" i="72"/>
  <c r="AK63" i="72"/>
  <c r="Z60" i="72"/>
  <c r="AA60" i="72"/>
  <c r="AB60" i="72"/>
  <c r="AC60" i="72"/>
  <c r="AD60" i="72"/>
  <c r="AE60" i="72"/>
  <c r="AF60" i="72"/>
  <c r="AG60" i="72"/>
  <c r="AH60" i="72"/>
  <c r="AI60" i="72"/>
  <c r="AJ60" i="72"/>
  <c r="Z62" i="72"/>
  <c r="AA62" i="72"/>
  <c r="AB62" i="72"/>
  <c r="AC62" i="72"/>
  <c r="AD62" i="72"/>
  <c r="AE62" i="72"/>
  <c r="AF62" i="72"/>
  <c r="AG62" i="72"/>
  <c r="AH62" i="72"/>
  <c r="AI62" i="72"/>
  <c r="AJ62" i="72"/>
  <c r="Z29" i="72"/>
  <c r="AA29" i="72"/>
  <c r="AB29" i="72"/>
  <c r="AC29" i="72"/>
  <c r="AD29" i="72"/>
  <c r="AE29" i="72"/>
  <c r="AF29" i="72"/>
  <c r="AG29" i="72"/>
  <c r="AH29" i="72"/>
  <c r="AI29" i="72"/>
  <c r="AJ29" i="72"/>
  <c r="Z30" i="72"/>
  <c r="AA30" i="72"/>
  <c r="AB30" i="72"/>
  <c r="AC30" i="72"/>
  <c r="AD30" i="72"/>
  <c r="AE30" i="72"/>
  <c r="AF30" i="72"/>
  <c r="AG30" i="72"/>
  <c r="AH30" i="72"/>
  <c r="AI30" i="72"/>
  <c r="AJ30" i="72"/>
  <c r="Z31" i="72"/>
  <c r="AA31" i="72"/>
  <c r="AB31" i="72"/>
  <c r="AC31" i="72"/>
  <c r="AD31" i="72"/>
  <c r="AE31" i="72"/>
  <c r="AF31" i="72"/>
  <c r="AG31" i="72"/>
  <c r="AH31" i="72"/>
  <c r="AI31" i="72"/>
  <c r="AJ31" i="72"/>
  <c r="Z32" i="72"/>
  <c r="AA32" i="72"/>
  <c r="AB32" i="72"/>
  <c r="AC32" i="72"/>
  <c r="AD32" i="72"/>
  <c r="AE32" i="72"/>
  <c r="AF32" i="72"/>
  <c r="AG32" i="72"/>
  <c r="AH32" i="72"/>
  <c r="AI32" i="72"/>
  <c r="AJ32" i="72"/>
  <c r="Z33" i="72"/>
  <c r="AA33" i="72"/>
  <c r="AB33" i="72"/>
  <c r="AC33" i="72"/>
  <c r="AD33" i="72"/>
  <c r="AE33" i="72"/>
  <c r="AF33" i="72"/>
  <c r="AG33" i="72"/>
  <c r="AH33" i="72"/>
  <c r="AI33" i="72"/>
  <c r="AJ33" i="72"/>
  <c r="Z34" i="72"/>
  <c r="AA34" i="72"/>
  <c r="AB34" i="72"/>
  <c r="AC34" i="72"/>
  <c r="AD34" i="72"/>
  <c r="AE34" i="72"/>
  <c r="AF34" i="72"/>
  <c r="AG34" i="72"/>
  <c r="AH34" i="72"/>
  <c r="AI34" i="72"/>
  <c r="AJ34" i="72"/>
  <c r="Z35" i="72"/>
  <c r="AA35" i="72"/>
  <c r="AB35" i="72"/>
  <c r="AC35" i="72"/>
  <c r="AD35" i="72"/>
  <c r="AE35" i="72"/>
  <c r="AF35" i="72"/>
  <c r="AG35" i="72"/>
  <c r="AH35" i="72"/>
  <c r="AI35" i="72"/>
  <c r="AJ35" i="72"/>
  <c r="Z36" i="72"/>
  <c r="AA36" i="72"/>
  <c r="AB36" i="72"/>
  <c r="AC36" i="72"/>
  <c r="AD36" i="72"/>
  <c r="AE36" i="72"/>
  <c r="AF36" i="72"/>
  <c r="AG36" i="72"/>
  <c r="AH36" i="72"/>
  <c r="AI36" i="72"/>
  <c r="AJ36" i="72"/>
  <c r="Z37" i="72"/>
  <c r="AA37" i="72"/>
  <c r="AB37" i="72"/>
  <c r="AC37" i="72"/>
  <c r="AD37" i="72"/>
  <c r="AE37" i="72"/>
  <c r="AF37" i="72"/>
  <c r="AG37" i="72"/>
  <c r="AH37" i="72"/>
  <c r="AI37" i="72"/>
  <c r="AJ37" i="72"/>
  <c r="Z38" i="72"/>
  <c r="AA38" i="72"/>
  <c r="AB38" i="72"/>
  <c r="AC38" i="72"/>
  <c r="AD38" i="72"/>
  <c r="AE38" i="72"/>
  <c r="AF38" i="72"/>
  <c r="AG38" i="72"/>
  <c r="AH38" i="72"/>
  <c r="AI38" i="72"/>
  <c r="AJ38" i="72"/>
  <c r="Z39" i="72"/>
  <c r="AA39" i="72"/>
  <c r="AB39" i="72"/>
  <c r="AC39" i="72"/>
  <c r="AD39" i="72"/>
  <c r="AE39" i="72"/>
  <c r="AF39" i="72"/>
  <c r="AG39" i="72"/>
  <c r="AH39" i="72"/>
  <c r="AI39" i="72"/>
  <c r="AJ39" i="72"/>
  <c r="Z40" i="72"/>
  <c r="AA40" i="72"/>
  <c r="AB40" i="72"/>
  <c r="AC40" i="72"/>
  <c r="AD40" i="72"/>
  <c r="AE40" i="72"/>
  <c r="AF40" i="72"/>
  <c r="AG40" i="72"/>
  <c r="AH40" i="72"/>
  <c r="AI40" i="72"/>
  <c r="AJ40" i="72"/>
  <c r="Z41" i="72"/>
  <c r="AA41" i="72"/>
  <c r="AB41" i="72"/>
  <c r="AC41" i="72"/>
  <c r="AD41" i="72"/>
  <c r="AE41" i="72"/>
  <c r="AF41" i="72"/>
  <c r="AG41" i="72"/>
  <c r="AH41" i="72"/>
  <c r="AI41" i="72"/>
  <c r="AJ41" i="72"/>
  <c r="Z42" i="72"/>
  <c r="AA42" i="72"/>
  <c r="AB42" i="72"/>
  <c r="AC42" i="72"/>
  <c r="AD42" i="72"/>
  <c r="AE42" i="72"/>
  <c r="AF42" i="72"/>
  <c r="AG42" i="72"/>
  <c r="AH42" i="72"/>
  <c r="AI42" i="72"/>
  <c r="AJ42" i="72"/>
  <c r="Z43" i="72"/>
  <c r="AA43" i="72"/>
  <c r="AB43" i="72"/>
  <c r="AC43" i="72"/>
  <c r="AD43" i="72"/>
  <c r="AE43" i="72"/>
  <c r="AF43" i="72"/>
  <c r="AG43" i="72"/>
  <c r="AH43" i="72"/>
  <c r="AI43" i="72"/>
  <c r="AJ43" i="72"/>
  <c r="Z44" i="72"/>
  <c r="AA44" i="72"/>
  <c r="AB44" i="72"/>
  <c r="AC44" i="72"/>
  <c r="AD44" i="72"/>
  <c r="AE44" i="72"/>
  <c r="AF44" i="72"/>
  <c r="AG44" i="72"/>
  <c r="AH44" i="72"/>
  <c r="AI44" i="72"/>
  <c r="AJ44" i="72"/>
  <c r="Z45" i="72"/>
  <c r="AA45" i="72"/>
  <c r="AB45" i="72"/>
  <c r="AC45" i="72"/>
  <c r="AD45" i="72"/>
  <c r="AE45" i="72"/>
  <c r="AF45" i="72"/>
  <c r="AG45" i="72"/>
  <c r="AH45" i="72"/>
  <c r="AI45" i="72"/>
  <c r="AJ45" i="72"/>
  <c r="Z46" i="72"/>
  <c r="AA46" i="72"/>
  <c r="AB46" i="72"/>
  <c r="AC46" i="72"/>
  <c r="AD46" i="72"/>
  <c r="AE46" i="72"/>
  <c r="AF46" i="72"/>
  <c r="AG46" i="72"/>
  <c r="AH46" i="72"/>
  <c r="AI46" i="72"/>
  <c r="AJ46" i="72"/>
  <c r="Z47" i="72"/>
  <c r="AA47" i="72"/>
  <c r="AB47" i="72"/>
  <c r="AC47" i="72"/>
  <c r="AD47" i="72"/>
  <c r="AE47" i="72"/>
  <c r="AF47" i="72"/>
  <c r="AG47" i="72"/>
  <c r="AH47" i="72"/>
  <c r="AI47" i="72"/>
  <c r="AJ47" i="72"/>
  <c r="Z48" i="72"/>
  <c r="AA48" i="72"/>
  <c r="AB48" i="72"/>
  <c r="AC48" i="72"/>
  <c r="AD48" i="72"/>
  <c r="AE48" i="72"/>
  <c r="AF48" i="72"/>
  <c r="AG48" i="72"/>
  <c r="AH48" i="72"/>
  <c r="AI48" i="72"/>
  <c r="AJ48" i="72"/>
  <c r="Z49" i="72"/>
  <c r="AA49" i="72"/>
  <c r="AB49" i="72"/>
  <c r="AC49" i="72"/>
  <c r="AD49" i="72"/>
  <c r="AE49" i="72"/>
  <c r="AF49" i="72"/>
  <c r="AG49" i="72"/>
  <c r="AH49" i="72"/>
  <c r="AI49" i="72"/>
  <c r="AJ49" i="72"/>
  <c r="Z50" i="72"/>
  <c r="AA50" i="72"/>
  <c r="AB50" i="72"/>
  <c r="AC50" i="72"/>
  <c r="AD50" i="72"/>
  <c r="AE50" i="72"/>
  <c r="AF50" i="72"/>
  <c r="AG50" i="72"/>
  <c r="AH50" i="72"/>
  <c r="AI50" i="72"/>
  <c r="AJ50" i="72"/>
  <c r="Z51" i="72"/>
  <c r="AA51" i="72"/>
  <c r="AB51" i="72"/>
  <c r="AC51" i="72"/>
  <c r="AD51" i="72"/>
  <c r="AE51" i="72"/>
  <c r="AF51" i="72"/>
  <c r="AG51" i="72"/>
  <c r="AH51" i="72"/>
  <c r="AI51" i="72"/>
  <c r="AJ51" i="72"/>
  <c r="Z52" i="72"/>
  <c r="AA52" i="72"/>
  <c r="AB52" i="72"/>
  <c r="AC52" i="72"/>
  <c r="AD52" i="72"/>
  <c r="AE52" i="72"/>
  <c r="AF52" i="72"/>
  <c r="AG52" i="72"/>
  <c r="AH52" i="72"/>
  <c r="AI52" i="72"/>
  <c r="AJ52" i="72"/>
  <c r="Z53" i="72"/>
  <c r="AA53" i="72"/>
  <c r="AB53" i="72"/>
  <c r="AC53" i="72"/>
  <c r="AD53" i="72"/>
  <c r="AE53" i="72"/>
  <c r="AF53" i="72"/>
  <c r="AG53" i="72"/>
  <c r="AH53" i="72"/>
  <c r="AI53" i="72"/>
  <c r="AJ53" i="72"/>
  <c r="Z54" i="72"/>
  <c r="AA54" i="72"/>
  <c r="AB54" i="72"/>
  <c r="AC54" i="72"/>
  <c r="AD54" i="72"/>
  <c r="AE54" i="72"/>
  <c r="AF54" i="72"/>
  <c r="AG54" i="72"/>
  <c r="AH54" i="72"/>
  <c r="AI54" i="72"/>
  <c r="AJ54" i="72"/>
  <c r="Z55" i="72"/>
  <c r="AA55" i="72"/>
  <c r="AB55" i="72"/>
  <c r="AC55" i="72"/>
  <c r="AD55" i="72"/>
  <c r="AE55" i="72"/>
  <c r="AF55" i="72"/>
  <c r="AG55" i="72"/>
  <c r="AH55" i="72"/>
  <c r="AI55" i="72"/>
  <c r="AJ55" i="72"/>
  <c r="Z57" i="72"/>
  <c r="AA57" i="72"/>
  <c r="AB57" i="72"/>
  <c r="AC57" i="72"/>
  <c r="AD57" i="72"/>
  <c r="AE57" i="72"/>
  <c r="AF57" i="72"/>
  <c r="AG57" i="72"/>
  <c r="AH57" i="72"/>
  <c r="AI57" i="72"/>
  <c r="AJ57" i="72"/>
  <c r="Z27" i="72"/>
  <c r="AA27" i="72"/>
  <c r="AB27" i="72"/>
  <c r="AC27" i="72"/>
  <c r="AD27" i="72"/>
  <c r="AE27" i="72"/>
  <c r="AF27" i="72"/>
  <c r="AG27" i="72"/>
  <c r="AH27" i="72"/>
  <c r="AI27" i="72"/>
  <c r="AJ27" i="72"/>
  <c r="Y125" i="72"/>
  <c r="Y123" i="72"/>
  <c r="Y122" i="72"/>
  <c r="Y121" i="72"/>
  <c r="Y120" i="72"/>
  <c r="Y119" i="72"/>
  <c r="Y118" i="72"/>
  <c r="Y117" i="72"/>
  <c r="Y116" i="72"/>
  <c r="Y115" i="72"/>
  <c r="Y114" i="72"/>
  <c r="Y113" i="72"/>
  <c r="Y111" i="72"/>
  <c r="Y110" i="72"/>
  <c r="Y109" i="72"/>
  <c r="Y107" i="72"/>
  <c r="Y106" i="72"/>
  <c r="Y105" i="72"/>
  <c r="Y104" i="72"/>
  <c r="Y103" i="72"/>
  <c r="Y102" i="72"/>
  <c r="Y101" i="72"/>
  <c r="Y100" i="72"/>
  <c r="Y99" i="72"/>
  <c r="Y98" i="72"/>
  <c r="Y97" i="72"/>
  <c r="Y96" i="72"/>
  <c r="Y95" i="72"/>
  <c r="Y94" i="72"/>
  <c r="Y93" i="72"/>
  <c r="Y92" i="72"/>
  <c r="Y91" i="72"/>
  <c r="Y90" i="72"/>
  <c r="Y89" i="72"/>
  <c r="Y88" i="72"/>
  <c r="Y87" i="72"/>
  <c r="Y86" i="72"/>
  <c r="Y85" i="72"/>
  <c r="Y84" i="72"/>
  <c r="Y83" i="72"/>
  <c r="Y82" i="72"/>
  <c r="Y81" i="72"/>
  <c r="Y79" i="72"/>
  <c r="Y78" i="72"/>
  <c r="Y77" i="72"/>
  <c r="Y76" i="72"/>
  <c r="Y75" i="72"/>
  <c r="Y74" i="72"/>
  <c r="Y73" i="72"/>
  <c r="Y72" i="72"/>
  <c r="Y71" i="72"/>
  <c r="Y70" i="72"/>
  <c r="Y69" i="72"/>
  <c r="Y68" i="72"/>
  <c r="Y67" i="72"/>
  <c r="Y66" i="72"/>
  <c r="Y62" i="72"/>
  <c r="Y60" i="72"/>
  <c r="AK60" i="72" s="1"/>
  <c r="Y57" i="72"/>
  <c r="Y55" i="72"/>
  <c r="Y54" i="72"/>
  <c r="Y53" i="72"/>
  <c r="Y52" i="72"/>
  <c r="Y51" i="72"/>
  <c r="Y50" i="72"/>
  <c r="Y49" i="72"/>
  <c r="Y48" i="72"/>
  <c r="Y47" i="72"/>
  <c r="Y46" i="72"/>
  <c r="Y45" i="72"/>
  <c r="Y44" i="72"/>
  <c r="Y43" i="72"/>
  <c r="Y42" i="72"/>
  <c r="Y41" i="72"/>
  <c r="Y40" i="72"/>
  <c r="Y39" i="72"/>
  <c r="Y38" i="72"/>
  <c r="Y37" i="72"/>
  <c r="Y36" i="72"/>
  <c r="Y35" i="72"/>
  <c r="Y34" i="72"/>
  <c r="Y33" i="72"/>
  <c r="Y32" i="72"/>
  <c r="Y31" i="72"/>
  <c r="Y30" i="72"/>
  <c r="Y29" i="72"/>
  <c r="Y27" i="72"/>
  <c r="D16" i="55"/>
  <c r="AK27" i="72" l="1"/>
  <c r="AK57" i="72"/>
  <c r="AK125" i="72"/>
  <c r="AK62" i="72"/>
  <c r="AK104" i="72"/>
  <c r="AK90" i="72"/>
  <c r="AK76" i="72"/>
  <c r="AK118" i="72"/>
  <c r="AK51" i="72"/>
  <c r="AK37" i="72"/>
  <c r="AK44" i="72"/>
  <c r="AK50" i="72"/>
  <c r="AK48" i="72"/>
  <c r="AK42" i="72"/>
  <c r="AK35" i="72"/>
  <c r="AK49" i="72"/>
  <c r="AK47" i="72"/>
  <c r="AK33" i="72"/>
  <c r="AK41" i="72"/>
  <c r="AK55" i="72"/>
  <c r="AK43" i="72"/>
  <c r="AK30" i="72"/>
  <c r="AK36" i="72"/>
  <c r="AK45" i="72"/>
  <c r="AK46" i="72"/>
  <c r="AK53" i="72"/>
  <c r="AK39" i="72"/>
  <c r="AK38" i="72"/>
  <c r="AK52" i="72"/>
  <c r="AK34" i="72"/>
  <c r="AK32" i="72"/>
  <c r="AK40" i="72"/>
  <c r="AK54" i="72"/>
  <c r="AK31" i="72"/>
  <c r="AK29" i="72"/>
  <c r="AK83" i="72"/>
  <c r="AK111" i="72"/>
  <c r="AK84" i="72"/>
  <c r="AK70" i="72"/>
  <c r="AK114" i="72"/>
  <c r="AK72" i="72"/>
  <c r="AK99" i="72"/>
  <c r="AK71" i="72"/>
  <c r="AK69" i="72"/>
  <c r="AK97" i="72"/>
  <c r="AK115" i="72"/>
  <c r="AK101" i="72"/>
  <c r="AK98" i="72"/>
  <c r="AK87" i="72"/>
  <c r="AK73" i="72"/>
  <c r="AK113" i="72"/>
  <c r="AK85" i="72"/>
  <c r="AK91" i="72"/>
  <c r="AK92" i="72"/>
  <c r="AK120" i="72"/>
  <c r="AK107" i="72"/>
  <c r="AK94" i="72"/>
  <c r="AK81" i="72"/>
  <c r="AK95" i="72"/>
  <c r="AK109" i="72"/>
  <c r="AK77" i="72"/>
  <c r="AK105" i="72"/>
  <c r="AK119" i="72"/>
  <c r="AK78" i="72"/>
  <c r="AK106" i="72"/>
  <c r="AK79" i="72"/>
  <c r="AK93" i="72"/>
  <c r="AK121" i="72"/>
  <c r="AK67" i="72"/>
  <c r="AK68" i="72"/>
  <c r="AK82" i="72"/>
  <c r="AK96" i="72"/>
  <c r="AK117" i="72"/>
  <c r="AK116" i="72"/>
  <c r="AK102" i="72"/>
  <c r="AK88" i="72"/>
  <c r="AK75" i="72"/>
  <c r="AK74" i="72"/>
  <c r="AM61" i="42" l="1"/>
  <c r="AM122" i="72" s="1"/>
  <c r="AM91" i="41"/>
  <c r="E42" i="55"/>
  <c r="E16" i="55"/>
  <c r="F9" i="47" l="1"/>
  <c r="G8" i="47"/>
  <c r="AH59" i="40"/>
  <c r="Z49" i="42" l="1"/>
  <c r="Z110" i="72" s="1"/>
  <c r="AK110" i="72" s="1"/>
  <c r="L75" i="72" l="1"/>
  <c r="M75" i="72"/>
  <c r="N75" i="72"/>
  <c r="O75" i="72"/>
  <c r="P75" i="72"/>
  <c r="Q75" i="72"/>
  <c r="R75" i="72"/>
  <c r="S75" i="72"/>
  <c r="T75" i="72"/>
  <c r="U75" i="72"/>
  <c r="V75" i="72"/>
  <c r="L78" i="72"/>
  <c r="M78" i="72"/>
  <c r="N78" i="72"/>
  <c r="O78" i="72"/>
  <c r="P78" i="72"/>
  <c r="Q78" i="72"/>
  <c r="R78" i="72"/>
  <c r="S78" i="72"/>
  <c r="T78" i="72"/>
  <c r="U78" i="72"/>
  <c r="V78" i="72"/>
  <c r="L81" i="72"/>
  <c r="M81" i="72"/>
  <c r="N81" i="72"/>
  <c r="O81" i="72"/>
  <c r="P81" i="72"/>
  <c r="Q81" i="72"/>
  <c r="R81" i="72"/>
  <c r="S81" i="72"/>
  <c r="T81" i="72"/>
  <c r="U81" i="72"/>
  <c r="V81" i="72"/>
  <c r="L83" i="72"/>
  <c r="M83" i="72"/>
  <c r="N83" i="72"/>
  <c r="O83" i="72"/>
  <c r="P83" i="72"/>
  <c r="Q83" i="72"/>
  <c r="R83" i="72"/>
  <c r="S83" i="72"/>
  <c r="T83" i="72"/>
  <c r="U83" i="72"/>
  <c r="V83" i="72"/>
  <c r="L85" i="72"/>
  <c r="M85" i="72"/>
  <c r="N85" i="72"/>
  <c r="O85" i="72"/>
  <c r="P85" i="72"/>
  <c r="Q85" i="72"/>
  <c r="R85" i="72"/>
  <c r="S85" i="72"/>
  <c r="T85" i="72"/>
  <c r="U85" i="72"/>
  <c r="V85" i="72"/>
  <c r="L87" i="72"/>
  <c r="M87" i="72"/>
  <c r="N87" i="72"/>
  <c r="O87" i="72"/>
  <c r="P87" i="72"/>
  <c r="Q87" i="72"/>
  <c r="R87" i="72"/>
  <c r="S87" i="72"/>
  <c r="T87" i="72"/>
  <c r="U87" i="72"/>
  <c r="V87" i="72"/>
  <c r="L88" i="72"/>
  <c r="M88" i="72"/>
  <c r="N88" i="72"/>
  <c r="O88" i="72"/>
  <c r="P88" i="72"/>
  <c r="Q88" i="72"/>
  <c r="R88" i="72"/>
  <c r="S88" i="72"/>
  <c r="T88" i="72"/>
  <c r="U88" i="72"/>
  <c r="V88" i="72"/>
  <c r="L89" i="72"/>
  <c r="M89" i="72"/>
  <c r="N89" i="72"/>
  <c r="O89" i="72"/>
  <c r="P89" i="72"/>
  <c r="Q89" i="72"/>
  <c r="R89" i="72"/>
  <c r="S89" i="72"/>
  <c r="T89" i="72"/>
  <c r="U89" i="72"/>
  <c r="V89" i="72"/>
  <c r="L90" i="72"/>
  <c r="M90" i="72"/>
  <c r="N90" i="72"/>
  <c r="O90" i="72"/>
  <c r="P90" i="72"/>
  <c r="Q90" i="72"/>
  <c r="R90" i="72"/>
  <c r="S90" i="72"/>
  <c r="T90" i="72"/>
  <c r="U90" i="72"/>
  <c r="V90" i="72"/>
  <c r="L91" i="72"/>
  <c r="M91" i="72"/>
  <c r="N91" i="72"/>
  <c r="O91" i="72"/>
  <c r="P91" i="72"/>
  <c r="Q91" i="72"/>
  <c r="R91" i="72"/>
  <c r="S91" i="72"/>
  <c r="T91" i="72"/>
  <c r="U91" i="72"/>
  <c r="V91" i="72"/>
  <c r="L92" i="72"/>
  <c r="M92" i="72"/>
  <c r="N92" i="72"/>
  <c r="O92" i="72"/>
  <c r="P92" i="72"/>
  <c r="Q92" i="72"/>
  <c r="R92" i="72"/>
  <c r="S92" i="72"/>
  <c r="T92" i="72"/>
  <c r="U92" i="72"/>
  <c r="V92" i="72"/>
  <c r="L93" i="72"/>
  <c r="M93" i="72"/>
  <c r="N93" i="72"/>
  <c r="O93" i="72"/>
  <c r="P93" i="72"/>
  <c r="Q93" i="72"/>
  <c r="R93" i="72"/>
  <c r="S93" i="72"/>
  <c r="T93" i="72"/>
  <c r="U93" i="72"/>
  <c r="V93" i="72"/>
  <c r="L95" i="72"/>
  <c r="M95" i="72"/>
  <c r="N95" i="72"/>
  <c r="O95" i="72"/>
  <c r="P95" i="72"/>
  <c r="Q95" i="72"/>
  <c r="R95" i="72"/>
  <c r="S95" i="72"/>
  <c r="T95" i="72"/>
  <c r="U95" i="72"/>
  <c r="V95" i="72"/>
  <c r="L96" i="72"/>
  <c r="M96" i="72"/>
  <c r="N96" i="72"/>
  <c r="O96" i="72"/>
  <c r="P96" i="72"/>
  <c r="Q96" i="72"/>
  <c r="R96" i="72"/>
  <c r="S96" i="72"/>
  <c r="T96" i="72"/>
  <c r="U96" i="72"/>
  <c r="V96" i="72"/>
  <c r="L97" i="72"/>
  <c r="M97" i="72"/>
  <c r="N97" i="72"/>
  <c r="O97" i="72"/>
  <c r="P97" i="72"/>
  <c r="Q97" i="72"/>
  <c r="R97" i="72"/>
  <c r="S97" i="72"/>
  <c r="T97" i="72"/>
  <c r="U97" i="72"/>
  <c r="V97" i="72"/>
  <c r="L98" i="72"/>
  <c r="M98" i="72"/>
  <c r="N98" i="72"/>
  <c r="O98" i="72"/>
  <c r="P98" i="72"/>
  <c r="Q98" i="72"/>
  <c r="R98" i="72"/>
  <c r="S98" i="72"/>
  <c r="T98" i="72"/>
  <c r="U98" i="72"/>
  <c r="V98" i="72"/>
  <c r="L99" i="72"/>
  <c r="M99" i="72"/>
  <c r="N99" i="72"/>
  <c r="O99" i="72"/>
  <c r="P99" i="72"/>
  <c r="Q99" i="72"/>
  <c r="R99" i="72"/>
  <c r="S99" i="72"/>
  <c r="T99" i="72"/>
  <c r="U99" i="72"/>
  <c r="V99" i="72"/>
  <c r="L100" i="72"/>
  <c r="M100" i="72"/>
  <c r="N100" i="72"/>
  <c r="O100" i="72"/>
  <c r="P100" i="72"/>
  <c r="Q100" i="72"/>
  <c r="R100" i="72"/>
  <c r="S100" i="72"/>
  <c r="T100" i="72"/>
  <c r="U100" i="72"/>
  <c r="V100" i="72"/>
  <c r="L101" i="72"/>
  <c r="M101" i="72"/>
  <c r="N101" i="72"/>
  <c r="O101" i="72"/>
  <c r="P101" i="72"/>
  <c r="Q101" i="72"/>
  <c r="R101" i="72"/>
  <c r="S101" i="72"/>
  <c r="T101" i="72"/>
  <c r="U101" i="72"/>
  <c r="V101" i="72"/>
  <c r="L102" i="72"/>
  <c r="M102" i="72"/>
  <c r="N102" i="72"/>
  <c r="O102" i="72"/>
  <c r="P102" i="72"/>
  <c r="Q102" i="72"/>
  <c r="R102" i="72"/>
  <c r="S102" i="72"/>
  <c r="T102" i="72"/>
  <c r="U102" i="72"/>
  <c r="V102" i="72"/>
  <c r="L105" i="72"/>
  <c r="M105" i="72"/>
  <c r="N105" i="72"/>
  <c r="O105" i="72"/>
  <c r="P105" i="72"/>
  <c r="Q105" i="72"/>
  <c r="R105" i="72"/>
  <c r="S105" i="72"/>
  <c r="T105" i="72"/>
  <c r="U105" i="72"/>
  <c r="V105" i="72"/>
  <c r="L106" i="72"/>
  <c r="M106" i="72"/>
  <c r="N106" i="72"/>
  <c r="O106" i="72"/>
  <c r="P106" i="72"/>
  <c r="Q106" i="72"/>
  <c r="R106" i="72"/>
  <c r="S106" i="72"/>
  <c r="T106" i="72"/>
  <c r="U106" i="72"/>
  <c r="V106" i="72"/>
  <c r="L107" i="72"/>
  <c r="M107" i="72"/>
  <c r="N107" i="72"/>
  <c r="O107" i="72"/>
  <c r="P107" i="72"/>
  <c r="Q107" i="72"/>
  <c r="R107" i="72"/>
  <c r="S107" i="72"/>
  <c r="T107" i="72"/>
  <c r="U107" i="72"/>
  <c r="V107" i="72"/>
  <c r="L108" i="72"/>
  <c r="M108" i="72"/>
  <c r="N108" i="72"/>
  <c r="O108" i="72"/>
  <c r="P108" i="72"/>
  <c r="Q108" i="72"/>
  <c r="R108" i="72"/>
  <c r="S108" i="72"/>
  <c r="T108" i="72"/>
  <c r="U108" i="72"/>
  <c r="V108" i="72"/>
  <c r="L109" i="72"/>
  <c r="M109" i="72"/>
  <c r="N109" i="72"/>
  <c r="O109" i="72"/>
  <c r="P109" i="72"/>
  <c r="Q109" i="72"/>
  <c r="R109" i="72"/>
  <c r="S109" i="72"/>
  <c r="T109" i="72"/>
  <c r="U109" i="72"/>
  <c r="V109" i="72"/>
  <c r="L110" i="72"/>
  <c r="M110" i="72"/>
  <c r="N110" i="72"/>
  <c r="O110" i="72"/>
  <c r="P110" i="72"/>
  <c r="Q110" i="72"/>
  <c r="R110" i="72"/>
  <c r="S110" i="72"/>
  <c r="T110" i="72"/>
  <c r="U110" i="72"/>
  <c r="V110" i="72"/>
  <c r="L111" i="72"/>
  <c r="M111" i="72"/>
  <c r="N111" i="72"/>
  <c r="O111" i="72"/>
  <c r="P111" i="72"/>
  <c r="Q111" i="72"/>
  <c r="R111" i="72"/>
  <c r="S111" i="72"/>
  <c r="T111" i="72"/>
  <c r="U111" i="72"/>
  <c r="V111" i="72"/>
  <c r="L113" i="72"/>
  <c r="M113" i="72"/>
  <c r="N113" i="72"/>
  <c r="O113" i="72"/>
  <c r="P113" i="72"/>
  <c r="Q113" i="72"/>
  <c r="R113" i="72"/>
  <c r="S113" i="72"/>
  <c r="T113" i="72"/>
  <c r="U113" i="72"/>
  <c r="V113" i="72"/>
  <c r="L114" i="72"/>
  <c r="M114" i="72"/>
  <c r="N114" i="72"/>
  <c r="O114" i="72"/>
  <c r="P114" i="72"/>
  <c r="Q114" i="72"/>
  <c r="R114" i="72"/>
  <c r="S114" i="72"/>
  <c r="T114" i="72"/>
  <c r="U114" i="72"/>
  <c r="V114" i="72"/>
  <c r="L115" i="72"/>
  <c r="M115" i="72"/>
  <c r="N115" i="72"/>
  <c r="O115" i="72"/>
  <c r="P115" i="72"/>
  <c r="Q115" i="72"/>
  <c r="R115" i="72"/>
  <c r="S115" i="72"/>
  <c r="T115" i="72"/>
  <c r="U115" i="72"/>
  <c r="V115" i="72"/>
  <c r="L116" i="72"/>
  <c r="M116" i="72"/>
  <c r="N116" i="72"/>
  <c r="O116" i="72"/>
  <c r="P116" i="72"/>
  <c r="Q116" i="72"/>
  <c r="R116" i="72"/>
  <c r="S116" i="72"/>
  <c r="T116" i="72"/>
  <c r="U116" i="72"/>
  <c r="V116" i="72"/>
  <c r="L117" i="72"/>
  <c r="M117" i="72"/>
  <c r="N117" i="72"/>
  <c r="O117" i="72"/>
  <c r="P117" i="72"/>
  <c r="Q117" i="72"/>
  <c r="R117" i="72"/>
  <c r="S117" i="72"/>
  <c r="T117" i="72"/>
  <c r="U117" i="72"/>
  <c r="V117" i="72"/>
  <c r="L118" i="72"/>
  <c r="M118" i="72"/>
  <c r="N118" i="72"/>
  <c r="O118" i="72"/>
  <c r="P118" i="72"/>
  <c r="Q118" i="72"/>
  <c r="R118" i="72"/>
  <c r="S118" i="72"/>
  <c r="T118" i="72"/>
  <c r="U118" i="72"/>
  <c r="V118" i="72"/>
  <c r="L119" i="72"/>
  <c r="M119" i="72"/>
  <c r="N119" i="72"/>
  <c r="O119" i="72"/>
  <c r="P119" i="72"/>
  <c r="Q119" i="72"/>
  <c r="R119" i="72"/>
  <c r="S119" i="72"/>
  <c r="T119" i="72"/>
  <c r="U119" i="72"/>
  <c r="V119" i="72"/>
  <c r="L120" i="72"/>
  <c r="M120" i="72"/>
  <c r="N120" i="72"/>
  <c r="O120" i="72"/>
  <c r="P120" i="72"/>
  <c r="Q120" i="72"/>
  <c r="R120" i="72"/>
  <c r="S120" i="72"/>
  <c r="T120" i="72"/>
  <c r="U120" i="72"/>
  <c r="V120" i="72"/>
  <c r="L121" i="72"/>
  <c r="M121" i="72"/>
  <c r="N121" i="72"/>
  <c r="O121" i="72"/>
  <c r="P121" i="72"/>
  <c r="Q121" i="72"/>
  <c r="R121" i="72"/>
  <c r="S121" i="72"/>
  <c r="T121" i="72"/>
  <c r="U121" i="72"/>
  <c r="V121" i="72"/>
  <c r="L122" i="72"/>
  <c r="M122" i="72"/>
  <c r="N122" i="72"/>
  <c r="O122" i="72"/>
  <c r="P122" i="72"/>
  <c r="Q122" i="72"/>
  <c r="R122" i="72"/>
  <c r="S122" i="72"/>
  <c r="T122" i="72"/>
  <c r="U122" i="72"/>
  <c r="V122" i="72"/>
  <c r="K75" i="72"/>
  <c r="K78" i="72"/>
  <c r="K81" i="72"/>
  <c r="K83" i="72"/>
  <c r="K85" i="72"/>
  <c r="K87" i="72"/>
  <c r="K88" i="72"/>
  <c r="K89" i="72"/>
  <c r="K90" i="72"/>
  <c r="K91" i="72"/>
  <c r="K92" i="72"/>
  <c r="K93" i="72"/>
  <c r="K95" i="72"/>
  <c r="K96" i="72"/>
  <c r="K97" i="72"/>
  <c r="K98" i="72"/>
  <c r="K99" i="72"/>
  <c r="K100" i="72"/>
  <c r="K101" i="72"/>
  <c r="K102" i="72"/>
  <c r="K105" i="72"/>
  <c r="K106" i="72"/>
  <c r="K107" i="72"/>
  <c r="K108" i="72"/>
  <c r="K109" i="72"/>
  <c r="K110" i="72"/>
  <c r="K111" i="72"/>
  <c r="K113" i="72"/>
  <c r="K114" i="72"/>
  <c r="K115" i="72"/>
  <c r="K116" i="72"/>
  <c r="K117" i="72"/>
  <c r="K118" i="72"/>
  <c r="K119" i="72"/>
  <c r="K120" i="72"/>
  <c r="K121" i="72"/>
  <c r="K122" i="72"/>
  <c r="W61" i="72"/>
  <c r="AS61" i="72" s="1"/>
  <c r="L38" i="72"/>
  <c r="M38" i="72"/>
  <c r="N38" i="72"/>
  <c r="O38" i="72"/>
  <c r="P38" i="72"/>
  <c r="Q38" i="72"/>
  <c r="R38" i="72"/>
  <c r="S38" i="72"/>
  <c r="T38" i="72"/>
  <c r="U38" i="72"/>
  <c r="V38" i="72"/>
  <c r="L41" i="72"/>
  <c r="M41" i="72"/>
  <c r="N41" i="72"/>
  <c r="O41" i="72"/>
  <c r="P41" i="72"/>
  <c r="Q41" i="72"/>
  <c r="R41" i="72"/>
  <c r="S41" i="72"/>
  <c r="T41" i="72"/>
  <c r="U41" i="72"/>
  <c r="V41" i="72"/>
  <c r="L42" i="72"/>
  <c r="M42" i="72"/>
  <c r="N42" i="72"/>
  <c r="O42" i="72"/>
  <c r="P42" i="72"/>
  <c r="Q42" i="72"/>
  <c r="R42" i="72"/>
  <c r="S42" i="72"/>
  <c r="T42" i="72"/>
  <c r="U42" i="72"/>
  <c r="V42" i="72"/>
  <c r="L43" i="72"/>
  <c r="M43" i="72"/>
  <c r="N43" i="72"/>
  <c r="O43" i="72"/>
  <c r="P43" i="72"/>
  <c r="Q43" i="72"/>
  <c r="R43" i="72"/>
  <c r="S43" i="72"/>
  <c r="T43" i="72"/>
  <c r="U43" i="72"/>
  <c r="V43" i="72"/>
  <c r="L45" i="72"/>
  <c r="M45" i="72"/>
  <c r="N45" i="72"/>
  <c r="O45" i="72"/>
  <c r="P45" i="72"/>
  <c r="Q45" i="72"/>
  <c r="R45" i="72"/>
  <c r="S45" i="72"/>
  <c r="T45" i="72"/>
  <c r="U45" i="72"/>
  <c r="V45" i="72"/>
  <c r="L46" i="72"/>
  <c r="M46" i="72"/>
  <c r="N46" i="72"/>
  <c r="O46" i="72"/>
  <c r="P46" i="72"/>
  <c r="Q46" i="72"/>
  <c r="R46" i="72"/>
  <c r="S46" i="72"/>
  <c r="T46" i="72"/>
  <c r="U46" i="72"/>
  <c r="V46" i="72"/>
  <c r="L47" i="72"/>
  <c r="M47" i="72"/>
  <c r="N47" i="72"/>
  <c r="O47" i="72"/>
  <c r="P47" i="72"/>
  <c r="Q47" i="72"/>
  <c r="R47" i="72"/>
  <c r="S47" i="72"/>
  <c r="T47" i="72"/>
  <c r="U47" i="72"/>
  <c r="V47" i="72"/>
  <c r="L50" i="72"/>
  <c r="M50" i="72"/>
  <c r="N50" i="72"/>
  <c r="O50" i="72"/>
  <c r="P50" i="72"/>
  <c r="Q50" i="72"/>
  <c r="R50" i="72"/>
  <c r="S50" i="72"/>
  <c r="T50" i="72"/>
  <c r="U50" i="72"/>
  <c r="V50" i="72"/>
  <c r="K38" i="72"/>
  <c r="K41" i="72"/>
  <c r="K42" i="72"/>
  <c r="K43" i="72"/>
  <c r="K45" i="72"/>
  <c r="K46" i="72"/>
  <c r="K47" i="72"/>
  <c r="K50" i="72"/>
  <c r="AO125" i="72"/>
  <c r="AM125" i="72"/>
  <c r="W125" i="72"/>
  <c r="V125" i="72"/>
  <c r="U125" i="72"/>
  <c r="T125" i="72"/>
  <c r="S125" i="72"/>
  <c r="R125" i="72"/>
  <c r="Q125" i="72"/>
  <c r="P125" i="72"/>
  <c r="O125" i="72"/>
  <c r="N125" i="72"/>
  <c r="M125" i="72"/>
  <c r="L125" i="72"/>
  <c r="K125" i="72"/>
  <c r="G124" i="72"/>
  <c r="G123" i="72"/>
  <c r="G121" i="72"/>
  <c r="G120" i="72"/>
  <c r="G119" i="72"/>
  <c r="G118" i="72"/>
  <c r="G117" i="72"/>
  <c r="G116" i="72"/>
  <c r="G115" i="72"/>
  <c r="G114" i="72"/>
  <c r="G113" i="72"/>
  <c r="G110" i="72"/>
  <c r="G109" i="72"/>
  <c r="G107" i="72"/>
  <c r="G106" i="72"/>
  <c r="G105" i="72"/>
  <c r="G102" i="72"/>
  <c r="G101" i="72"/>
  <c r="G100" i="72"/>
  <c r="G99" i="72"/>
  <c r="G98" i="72"/>
  <c r="G96" i="72"/>
  <c r="G95" i="72"/>
  <c r="G94" i="72"/>
  <c r="G93" i="72"/>
  <c r="G92" i="72"/>
  <c r="G90" i="72"/>
  <c r="G89" i="72"/>
  <c r="G88" i="72"/>
  <c r="G87" i="72"/>
  <c r="G86" i="72"/>
  <c r="G84" i="72"/>
  <c r="G83" i="72"/>
  <c r="G80" i="72"/>
  <c r="G79" i="72"/>
  <c r="G78" i="72"/>
  <c r="G77" i="72"/>
  <c r="AS63" i="72"/>
  <c r="AR63" i="72"/>
  <c r="AO62" i="72"/>
  <c r="AM62" i="72"/>
  <c r="AC64" i="72"/>
  <c r="AA64" i="72"/>
  <c r="Z64" i="72"/>
  <c r="W62" i="72"/>
  <c r="V62" i="72"/>
  <c r="U62" i="72"/>
  <c r="T62" i="72"/>
  <c r="S62" i="72"/>
  <c r="R62" i="72"/>
  <c r="Q62" i="72"/>
  <c r="P62" i="72"/>
  <c r="O62" i="72"/>
  <c r="N62" i="72"/>
  <c r="M62" i="72"/>
  <c r="L62" i="72"/>
  <c r="K62" i="72"/>
  <c r="AO61" i="72"/>
  <c r="AM61" i="72"/>
  <c r="AK64" i="72"/>
  <c r="AJ64" i="72"/>
  <c r="AI64" i="72"/>
  <c r="Y64" i="72"/>
  <c r="W57" i="72"/>
  <c r="V57" i="72"/>
  <c r="U57" i="72"/>
  <c r="T57" i="72"/>
  <c r="S57" i="72"/>
  <c r="R57" i="72"/>
  <c r="Q57" i="72"/>
  <c r="P57" i="72"/>
  <c r="O57" i="72"/>
  <c r="N57" i="72"/>
  <c r="M57" i="72"/>
  <c r="L57" i="72"/>
  <c r="K5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L10" i="42"/>
  <c r="L71" i="72" s="1"/>
  <c r="M10" i="42"/>
  <c r="M71" i="72" s="1"/>
  <c r="N10" i="42"/>
  <c r="N71" i="72" s="1"/>
  <c r="O10" i="42"/>
  <c r="O71" i="72" s="1"/>
  <c r="P10" i="42"/>
  <c r="P71" i="72" s="1"/>
  <c r="Q10" i="42"/>
  <c r="Q71" i="72" s="1"/>
  <c r="R10" i="42"/>
  <c r="R71" i="72" s="1"/>
  <c r="S10" i="42"/>
  <c r="S71" i="72" s="1"/>
  <c r="T10" i="42"/>
  <c r="T71" i="72" s="1"/>
  <c r="U10" i="42"/>
  <c r="U71" i="72" s="1"/>
  <c r="V10" i="42"/>
  <c r="V71" i="72" s="1"/>
  <c r="K10" i="42"/>
  <c r="L77" i="41"/>
  <c r="L34" i="72" s="1"/>
  <c r="M77" i="41"/>
  <c r="M34" i="72" s="1"/>
  <c r="N77" i="41"/>
  <c r="N34" i="72" s="1"/>
  <c r="O77" i="41"/>
  <c r="O34" i="72" s="1"/>
  <c r="P77" i="41"/>
  <c r="P34" i="72" s="1"/>
  <c r="Q77" i="41"/>
  <c r="Q34" i="72" s="1"/>
  <c r="R77" i="41"/>
  <c r="R34" i="72" s="1"/>
  <c r="S77" i="41"/>
  <c r="S34" i="72" s="1"/>
  <c r="T77" i="41"/>
  <c r="T34" i="72" s="1"/>
  <c r="U77" i="41"/>
  <c r="U34" i="72" s="1"/>
  <c r="V77" i="41"/>
  <c r="V34" i="72" s="1"/>
  <c r="K77" i="41"/>
  <c r="K34" i="72" s="1"/>
  <c r="L33" i="41"/>
  <c r="M33" i="41"/>
  <c r="N33" i="41"/>
  <c r="O33" i="41"/>
  <c r="P33" i="41"/>
  <c r="Q33" i="41"/>
  <c r="R33" i="41"/>
  <c r="S33" i="41"/>
  <c r="T33" i="41"/>
  <c r="U33" i="41"/>
  <c r="V33" i="41"/>
  <c r="K33" i="41"/>
  <c r="K71" i="72" l="1"/>
  <c r="W10" i="42"/>
  <c r="AM64" i="72"/>
  <c r="AO64" i="72"/>
  <c r="W47" i="72"/>
  <c r="AR47" i="72" s="1"/>
  <c r="W46" i="72"/>
  <c r="AS46" i="72" s="1"/>
  <c r="W45" i="72"/>
  <c r="AR45" i="72" s="1"/>
  <c r="W43" i="72"/>
  <c r="AS43" i="72" s="1"/>
  <c r="W50" i="72"/>
  <c r="AS50" i="72" s="1"/>
  <c r="W42" i="72"/>
  <c r="AR42" i="72" s="1"/>
  <c r="W41" i="72"/>
  <c r="AS41" i="72" s="1"/>
  <c r="W38" i="72"/>
  <c r="AS38" i="72" s="1"/>
  <c r="W34" i="72"/>
  <c r="AR34" i="72" s="1"/>
  <c r="W116" i="72"/>
  <c r="AS116" i="72" s="1"/>
  <c r="W99" i="72"/>
  <c r="AR99" i="72" s="1"/>
  <c r="W83" i="72"/>
  <c r="AS83" i="72" s="1"/>
  <c r="AR62" i="72"/>
  <c r="AR125" i="72"/>
  <c r="AD64" i="72"/>
  <c r="AS62" i="72"/>
  <c r="AB64" i="72"/>
  <c r="AE64" i="72"/>
  <c r="AG64" i="72"/>
  <c r="AS57" i="72"/>
  <c r="AF64" i="72"/>
  <c r="AS27" i="72"/>
  <c r="W115" i="72"/>
  <c r="AS115" i="72" s="1"/>
  <c r="W98" i="72"/>
  <c r="AR98" i="72" s="1"/>
  <c r="W81" i="72"/>
  <c r="AR81" i="72" s="1"/>
  <c r="W93" i="72"/>
  <c r="AS93" i="72" s="1"/>
  <c r="W114" i="72"/>
  <c r="AS114" i="72" s="1"/>
  <c r="W97" i="72"/>
  <c r="AS97" i="72" s="1"/>
  <c r="W78" i="72"/>
  <c r="AR78" i="72" s="1"/>
  <c r="W109" i="72"/>
  <c r="AS109" i="72" s="1"/>
  <c r="W92" i="72"/>
  <c r="AS92" i="72" s="1"/>
  <c r="W113" i="72"/>
  <c r="AS113" i="72" s="1"/>
  <c r="W96" i="72"/>
  <c r="AS96" i="72" s="1"/>
  <c r="W75" i="72"/>
  <c r="AR75" i="72" s="1"/>
  <c r="W108" i="72"/>
  <c r="W91" i="72"/>
  <c r="AS91" i="72" s="1"/>
  <c r="W110" i="72"/>
  <c r="AR110" i="72" s="1"/>
  <c r="W111" i="72"/>
  <c r="AS111" i="72" s="1"/>
  <c r="W95" i="72"/>
  <c r="AS95" i="72" s="1"/>
  <c r="W121" i="72"/>
  <c r="AR121" i="72" s="1"/>
  <c r="W106" i="72"/>
  <c r="AR106" i="72" s="1"/>
  <c r="W89" i="72"/>
  <c r="W122" i="72"/>
  <c r="W117" i="72"/>
  <c r="AR117" i="72" s="1"/>
  <c r="W107" i="72"/>
  <c r="AS107" i="72" s="1"/>
  <c r="W100" i="72"/>
  <c r="W90" i="72"/>
  <c r="AR90" i="72" s="1"/>
  <c r="W120" i="72"/>
  <c r="AR120" i="72" s="1"/>
  <c r="W105" i="72"/>
  <c r="AR105" i="72" s="1"/>
  <c r="W88" i="72"/>
  <c r="AS88" i="72" s="1"/>
  <c r="W119" i="72"/>
  <c r="AS119" i="72" s="1"/>
  <c r="W102" i="72"/>
  <c r="AS102" i="72" s="1"/>
  <c r="W87" i="72"/>
  <c r="AS87" i="72" s="1"/>
  <c r="W118" i="72"/>
  <c r="AS118" i="72" s="1"/>
  <c r="W101" i="72"/>
  <c r="AR101" i="72" s="1"/>
  <c r="W85" i="72"/>
  <c r="AS85" i="72" s="1"/>
  <c r="W71" i="72"/>
  <c r="AS71" i="72" s="1"/>
  <c r="AR83" i="72"/>
  <c r="AS125" i="72"/>
  <c r="AH64" i="72"/>
  <c r="AR61" i="72"/>
  <c r="AR102" i="72"/>
  <c r="AR57" i="72"/>
  <c r="AR27" i="72"/>
  <c r="AS45" i="72" l="1"/>
  <c r="AS99" i="72"/>
  <c r="AS75" i="72"/>
  <c r="AS110" i="72"/>
  <c r="AR116" i="72"/>
  <c r="AS98" i="72"/>
  <c r="AR38" i="72"/>
  <c r="AS42" i="72"/>
  <c r="AR50" i="72"/>
  <c r="AR43" i="72"/>
  <c r="AR46" i="72"/>
  <c r="AR41" i="72"/>
  <c r="AS47" i="72"/>
  <c r="AS34" i="72"/>
  <c r="AR87" i="72"/>
  <c r="AR85" i="72"/>
  <c r="AR93" i="72"/>
  <c r="AR88" i="72"/>
  <c r="AS121" i="72"/>
  <c r="AS117" i="72"/>
  <c r="AR95" i="72"/>
  <c r="AS106" i="72"/>
  <c r="AS78" i="72"/>
  <c r="AR119" i="72"/>
  <c r="AR97" i="72"/>
  <c r="AR111" i="72"/>
  <c r="AR118" i="72"/>
  <c r="AR115" i="72"/>
  <c r="AR114" i="72"/>
  <c r="AS81" i="72"/>
  <c r="AR91" i="72"/>
  <c r="AS105" i="72"/>
  <c r="AR107" i="72"/>
  <c r="AR96" i="72"/>
  <c r="AR109" i="72"/>
  <c r="AS90" i="72"/>
  <c r="AR113" i="72"/>
  <c r="AR71" i="72"/>
  <c r="AS120" i="72"/>
  <c r="AR92" i="72"/>
  <c r="AS101" i="72"/>
  <c r="I80" i="43" l="1"/>
  <c r="J80" i="43"/>
  <c r="K80" i="43"/>
  <c r="L80" i="43"/>
  <c r="M80" i="43"/>
  <c r="N80" i="43"/>
  <c r="O80" i="43"/>
  <c r="P80" i="43"/>
  <c r="Q80" i="43"/>
  <c r="R80" i="43"/>
  <c r="S80" i="43"/>
  <c r="T42" i="43"/>
  <c r="AI66" i="72" l="1"/>
  <c r="AJ66" i="72"/>
  <c r="AH66" i="72"/>
  <c r="AK66" i="72" l="1"/>
  <c r="F17" i="55" l="1"/>
  <c r="AD153" i="67" l="1"/>
  <c r="AD154" i="67"/>
  <c r="AD155" i="67"/>
  <c r="AD156" i="67"/>
  <c r="AD157" i="67"/>
  <c r="AD158" i="67"/>
  <c r="AD159" i="67"/>
  <c r="AD160" i="67"/>
  <c r="AD161" i="67"/>
  <c r="AD162" i="67"/>
  <c r="AD163" i="67"/>
  <c r="AD164" i="67"/>
  <c r="AD165" i="67"/>
  <c r="AD166" i="67"/>
  <c r="AD167" i="67"/>
  <c r="AD168" i="67"/>
  <c r="AD169" i="67"/>
  <c r="AD170" i="67"/>
  <c r="AD171" i="67"/>
  <c r="AD172" i="67"/>
  <c r="AD173" i="67"/>
  <c r="AD174" i="67"/>
  <c r="AD175" i="67"/>
  <c r="AD176" i="67"/>
  <c r="AD177" i="67"/>
  <c r="AD178" i="67"/>
  <c r="AD179" i="67"/>
  <c r="AD180" i="67"/>
  <c r="AD181" i="67"/>
  <c r="AD182" i="67"/>
  <c r="AD183" i="67"/>
  <c r="AD184" i="67"/>
  <c r="AD185" i="67"/>
  <c r="AD186" i="67"/>
  <c r="AD187" i="67"/>
  <c r="AD188" i="67"/>
  <c r="AD189" i="67"/>
  <c r="AD190" i="67"/>
  <c r="AD191" i="67"/>
  <c r="AD192" i="67"/>
  <c r="AD193" i="67"/>
  <c r="AD194" i="67"/>
  <c r="AD195" i="67"/>
  <c r="AD196" i="67"/>
  <c r="AD197" i="67"/>
  <c r="AD198" i="67"/>
  <c r="AD199" i="67"/>
  <c r="AD200" i="67"/>
  <c r="AD201" i="67"/>
  <c r="AD202" i="67"/>
  <c r="AD203" i="67"/>
  <c r="AD204" i="67"/>
  <c r="AD205" i="67"/>
  <c r="AD206" i="67"/>
  <c r="AD207" i="67"/>
  <c r="AD208" i="67"/>
  <c r="AD209" i="67"/>
  <c r="AD210" i="67"/>
  <c r="AD211" i="67"/>
  <c r="AD212" i="67"/>
  <c r="AD213" i="67"/>
  <c r="AD214" i="67"/>
  <c r="AD215" i="67"/>
  <c r="AD216" i="67"/>
  <c r="AD217" i="67"/>
  <c r="AD218" i="67"/>
  <c r="AD219" i="67"/>
  <c r="AD220" i="67"/>
  <c r="AD221" i="67"/>
  <c r="AD222" i="67"/>
  <c r="AD223" i="67"/>
  <c r="AD224" i="67"/>
  <c r="AD225" i="67"/>
  <c r="AD226" i="67"/>
  <c r="AD227" i="67"/>
  <c r="AD228" i="67"/>
  <c r="AD230" i="67"/>
  <c r="AD231" i="67"/>
  <c r="AD232" i="67"/>
  <c r="AD233" i="67"/>
  <c r="AD234" i="67"/>
  <c r="AD235" i="67"/>
  <c r="AD236" i="67"/>
  <c r="AD237" i="67"/>
  <c r="AD238" i="67"/>
  <c r="AD136" i="67"/>
  <c r="AD137" i="67"/>
  <c r="AD138" i="67"/>
  <c r="AD139" i="67"/>
  <c r="AD140" i="67"/>
  <c r="AD141" i="67"/>
  <c r="AD142" i="67"/>
  <c r="AD143" i="67"/>
  <c r="AD144" i="67"/>
  <c r="AD145" i="67"/>
  <c r="AD146" i="67"/>
  <c r="AD147" i="67"/>
  <c r="AD148" i="67"/>
  <c r="AD149" i="67"/>
  <c r="AD150" i="67"/>
  <c r="AD132" i="67"/>
  <c r="AD121" i="67"/>
  <c r="AD122" i="67"/>
  <c r="AD123" i="67"/>
  <c r="AD124" i="67"/>
  <c r="AD125" i="67"/>
  <c r="AD126" i="67"/>
  <c r="AD127" i="67"/>
  <c r="AD128" i="67"/>
  <c r="AD129" i="67"/>
  <c r="AD130" i="67"/>
  <c r="AD131" i="67"/>
  <c r="L11" i="41"/>
  <c r="L12" i="72" s="1"/>
  <c r="M11" i="41"/>
  <c r="M12" i="72" s="1"/>
  <c r="N11" i="41"/>
  <c r="N12" i="72" s="1"/>
  <c r="O11" i="41"/>
  <c r="O12" i="72" s="1"/>
  <c r="P11" i="41"/>
  <c r="P12" i="72" s="1"/>
  <c r="Q11" i="41"/>
  <c r="Q12" i="72" s="1"/>
  <c r="R11" i="41"/>
  <c r="R12" i="72" s="1"/>
  <c r="S11" i="41"/>
  <c r="S12" i="72" s="1"/>
  <c r="T11" i="41"/>
  <c r="T12" i="72" s="1"/>
  <c r="U11" i="41"/>
  <c r="U12" i="72" s="1"/>
  <c r="V11" i="41"/>
  <c r="V12" i="72" s="1"/>
  <c r="K11" i="41"/>
  <c r="K12" i="72" s="1"/>
  <c r="W12" i="72" l="1"/>
  <c r="T69" i="43"/>
  <c r="T70" i="43"/>
  <c r="T58" i="43" s="1"/>
  <c r="H57" i="43"/>
  <c r="AQ66" i="42"/>
  <c r="AR66" i="42"/>
  <c r="AQ105" i="41"/>
  <c r="AR105" i="41"/>
  <c r="AS102" i="69"/>
  <c r="AS103" i="69"/>
  <c r="AS104" i="69"/>
  <c r="AS105" i="69"/>
  <c r="AS108" i="69"/>
  <c r="AS109" i="69"/>
  <c r="AS110" i="69"/>
  <c r="AS111" i="69"/>
  <c r="AS112" i="69"/>
  <c r="AR9" i="69"/>
  <c r="AR10" i="69"/>
  <c r="AR11" i="69"/>
  <c r="AR12" i="69"/>
  <c r="AR13" i="69"/>
  <c r="AR14" i="69"/>
  <c r="AR15" i="69"/>
  <c r="AR16" i="69"/>
  <c r="AR17" i="69"/>
  <c r="AR18" i="69"/>
  <c r="AR19" i="69"/>
  <c r="AR20" i="69"/>
  <c r="AR21" i="69"/>
  <c r="AR22" i="69"/>
  <c r="AR23" i="69"/>
  <c r="AR24" i="69"/>
  <c r="AR25" i="69"/>
  <c r="AR26" i="69"/>
  <c r="AR27" i="69"/>
  <c r="AR28" i="69"/>
  <c r="AR29" i="69"/>
  <c r="AR30" i="69"/>
  <c r="AR31" i="69"/>
  <c r="AR32" i="69"/>
  <c r="AR33" i="69"/>
  <c r="AR34" i="69"/>
  <c r="AR35" i="69"/>
  <c r="AR36" i="69"/>
  <c r="AR37" i="69"/>
  <c r="AR38" i="69"/>
  <c r="AR39" i="69"/>
  <c r="AR40" i="69"/>
  <c r="AR41" i="69"/>
  <c r="AR42" i="69"/>
  <c r="AR43" i="69"/>
  <c r="AR44" i="69"/>
  <c r="AR45" i="69"/>
  <c r="AR46" i="69"/>
  <c r="AR47" i="69"/>
  <c r="AR48" i="69"/>
  <c r="AR49" i="69"/>
  <c r="AR50" i="69"/>
  <c r="AR51" i="69"/>
  <c r="AR52" i="69"/>
  <c r="AR53" i="69"/>
  <c r="AR54" i="69"/>
  <c r="AR55" i="69"/>
  <c r="AR56" i="69"/>
  <c r="AR58" i="69"/>
  <c r="AR59" i="69"/>
  <c r="AR60" i="69"/>
  <c r="AR61" i="69"/>
  <c r="AR62" i="69"/>
  <c r="AR63" i="69"/>
  <c r="AR64" i="69"/>
  <c r="AR65" i="69"/>
  <c r="AR66" i="69"/>
  <c r="AR67" i="69"/>
  <c r="AR68" i="69"/>
  <c r="AR69" i="69"/>
  <c r="AR70" i="69"/>
  <c r="AR71" i="69"/>
  <c r="AR72" i="69"/>
  <c r="AR73" i="69"/>
  <c r="AR74" i="69"/>
  <c r="AR75" i="69"/>
  <c r="AR76" i="69"/>
  <c r="AR77" i="69"/>
  <c r="AR78" i="69"/>
  <c r="AR79" i="69"/>
  <c r="AR80" i="69"/>
  <c r="AR81" i="69"/>
  <c r="AR82" i="69"/>
  <c r="AR83" i="69"/>
  <c r="AR84" i="69"/>
  <c r="AR85" i="69"/>
  <c r="AR86" i="69"/>
  <c r="AR87" i="69"/>
  <c r="AR88" i="69"/>
  <c r="AR89" i="69"/>
  <c r="AR90" i="69"/>
  <c r="AR91" i="69"/>
  <c r="AR92" i="69"/>
  <c r="AR93" i="69"/>
  <c r="AR94" i="69"/>
  <c r="AR95" i="69"/>
  <c r="AR96" i="69"/>
  <c r="AR97" i="69"/>
  <c r="AR98" i="69"/>
  <c r="AR99" i="69"/>
  <c r="AR100" i="69"/>
  <c r="AR101" i="69"/>
  <c r="AR102" i="69"/>
  <c r="AR103" i="69"/>
  <c r="AR104" i="69"/>
  <c r="AR105" i="69"/>
  <c r="AR106" i="69"/>
  <c r="AS106" i="69" s="1"/>
  <c r="AR107" i="69"/>
  <c r="AS107" i="69" s="1"/>
  <c r="AE57" i="69"/>
  <c r="AC57" i="69"/>
  <c r="AQ57" i="69" l="1"/>
  <c r="AN57" i="69"/>
  <c r="AH57" i="69"/>
  <c r="AG57" i="69"/>
  <c r="AL57" i="69"/>
  <c r="AP57" i="69"/>
  <c r="AJ57" i="69"/>
  <c r="AK57" i="69"/>
  <c r="AO57" i="69"/>
  <c r="AI57" i="69"/>
  <c r="AM57" i="69"/>
  <c r="AF57" i="69"/>
  <c r="AR57" i="69" l="1"/>
  <c r="AS57" i="69" s="1"/>
  <c r="R165" i="63" l="1"/>
  <c r="R166" i="63"/>
  <c r="R167" i="63"/>
  <c r="R168" i="63"/>
  <c r="R169" i="63"/>
  <c r="R170" i="63"/>
  <c r="R171" i="63"/>
  <c r="R153" i="63"/>
  <c r="R154" i="63"/>
  <c r="R155" i="63"/>
  <c r="R156" i="63"/>
  <c r="R157" i="63"/>
  <c r="R158" i="63"/>
  <c r="R159" i="63"/>
  <c r="R142" i="63"/>
  <c r="R143" i="63"/>
  <c r="R144" i="63"/>
  <c r="R145" i="63"/>
  <c r="R146" i="63"/>
  <c r="R147" i="63"/>
  <c r="R34" i="63"/>
  <c r="R35" i="63"/>
  <c r="R36" i="63"/>
  <c r="R37" i="63"/>
  <c r="R38" i="63"/>
  <c r="R39" i="63"/>
  <c r="R22" i="63"/>
  <c r="R23" i="63"/>
  <c r="R24" i="63"/>
  <c r="R25" i="63"/>
  <c r="R26" i="63"/>
  <c r="R27" i="63"/>
  <c r="R9" i="63"/>
  <c r="R10" i="63"/>
  <c r="R11" i="63"/>
  <c r="R12" i="63"/>
  <c r="R13" i="63"/>
  <c r="R14" i="63"/>
  <c r="R15" i="63"/>
  <c r="J57" i="43" l="1"/>
  <c r="AO91" i="41" l="1"/>
  <c r="AO63" i="42"/>
  <c r="AO124" i="72" s="1"/>
  <c r="AM63" i="42"/>
  <c r="V64" i="42"/>
  <c r="V65" i="42"/>
  <c r="V38" i="41"/>
  <c r="V82" i="41"/>
  <c r="V39" i="72" s="1"/>
  <c r="V83" i="41"/>
  <c r="V40" i="72" s="1"/>
  <c r="V87" i="41"/>
  <c r="V44" i="72" s="1"/>
  <c r="V91" i="41"/>
  <c r="V48" i="72" s="1"/>
  <c r="V92" i="41"/>
  <c r="V49" i="72" s="1"/>
  <c r="V94" i="41"/>
  <c r="V51" i="72" s="1"/>
  <c r="V95" i="41"/>
  <c r="V52" i="72" s="1"/>
  <c r="V96" i="41"/>
  <c r="V53" i="72" s="1"/>
  <c r="V97" i="41"/>
  <c r="V54" i="72" s="1"/>
  <c r="V98" i="41"/>
  <c r="V55" i="72" s="1"/>
  <c r="Y105" i="69"/>
  <c r="Y106" i="69"/>
  <c r="Y107" i="69"/>
  <c r="J105" i="69"/>
  <c r="L105" i="69" s="1"/>
  <c r="J107" i="69"/>
  <c r="L107" i="69" s="1"/>
  <c r="J106" i="69"/>
  <c r="L106" i="69" s="1"/>
  <c r="R105" i="69"/>
  <c r="R106" i="69"/>
  <c r="R107" i="69"/>
  <c r="AD105" i="69"/>
  <c r="AD106" i="69"/>
  <c r="AD107" i="69"/>
  <c r="V102" i="41"/>
  <c r="V103" i="41"/>
  <c r="AM124" i="72" l="1"/>
  <c r="AO99" i="41"/>
  <c r="AG63" i="42"/>
  <c r="AF63" i="42"/>
  <c r="AC63" i="42"/>
  <c r="AA63" i="42"/>
  <c r="AJ63" i="42"/>
  <c r="AI63" i="42"/>
  <c r="AH63" i="42"/>
  <c r="AE63" i="42"/>
  <c r="AB63" i="42"/>
  <c r="AD63" i="42"/>
  <c r="Z63" i="42"/>
  <c r="AK65" i="42"/>
  <c r="AK64" i="42"/>
  <c r="V63" i="42"/>
  <c r="V124" i="72" s="1"/>
  <c r="Y63" i="42"/>
  <c r="AK102" i="41"/>
  <c r="E80" i="43"/>
  <c r="F80" i="43"/>
  <c r="G80" i="43"/>
  <c r="W81" i="41"/>
  <c r="W84" i="41"/>
  <c r="W85" i="41"/>
  <c r="W86" i="41"/>
  <c r="W88" i="41"/>
  <c r="W89" i="41"/>
  <c r="W90" i="41"/>
  <c r="W93" i="41"/>
  <c r="W37" i="41"/>
  <c r="W39" i="41"/>
  <c r="W46" i="41"/>
  <c r="L64" i="64"/>
  <c r="L60" i="64"/>
  <c r="D56" i="55"/>
  <c r="D60" i="55" s="1"/>
  <c r="D56" i="48"/>
  <c r="D60" i="48" s="1"/>
  <c r="D48" i="48"/>
  <c r="D46" i="48"/>
  <c r="D45" i="48"/>
  <c r="D44" i="48"/>
  <c r="D42" i="48"/>
  <c r="D37" i="48"/>
  <c r="D36" i="48"/>
  <c r="D35" i="48"/>
  <c r="D34" i="48"/>
  <c r="D18" i="48"/>
  <c r="D17" i="48"/>
  <c r="D16" i="48"/>
  <c r="D13" i="48"/>
  <c r="D12" i="48"/>
  <c r="D8" i="48"/>
  <c r="G204" i="37"/>
  <c r="G200" i="37"/>
  <c r="D31" i="55" l="1"/>
  <c r="AO56" i="72"/>
  <c r="AO28" i="72" s="1"/>
  <c r="AO71" i="41"/>
  <c r="AC124" i="72"/>
  <c r="AF124" i="72"/>
  <c r="Y124" i="72"/>
  <c r="AG124" i="72"/>
  <c r="Z124" i="72"/>
  <c r="AD124" i="72"/>
  <c r="AE124" i="72"/>
  <c r="AH124" i="72"/>
  <c r="AJ124" i="72"/>
  <c r="AB124" i="72"/>
  <c r="AI124" i="72"/>
  <c r="AA124" i="72"/>
  <c r="AM99" i="41"/>
  <c r="AJ99" i="41"/>
  <c r="AE99" i="41"/>
  <c r="AA99" i="41"/>
  <c r="AD99" i="41"/>
  <c r="AI99" i="41"/>
  <c r="AH99" i="41"/>
  <c r="Z99" i="41"/>
  <c r="AB99" i="41"/>
  <c r="AK100" i="41"/>
  <c r="AC99" i="41"/>
  <c r="AK103" i="41"/>
  <c r="AF99" i="41"/>
  <c r="AK101" i="41"/>
  <c r="Y99" i="41"/>
  <c r="V43" i="42"/>
  <c r="V104" i="72" s="1"/>
  <c r="Y104" i="69"/>
  <c r="P104" i="69"/>
  <c r="L104" i="69"/>
  <c r="R104" i="69"/>
  <c r="AD104" i="69"/>
  <c r="L103" i="69"/>
  <c r="P103" i="69"/>
  <c r="AB56" i="72" l="1"/>
  <c r="AB28" i="72" s="1"/>
  <c r="AB71" i="41"/>
  <c r="AA56" i="72"/>
  <c r="AA28" i="72" s="1"/>
  <c r="AA71" i="41"/>
  <c r="AF56" i="72"/>
  <c r="AF28" i="72" s="1"/>
  <c r="AF71" i="41"/>
  <c r="Z56" i="72"/>
  <c r="Z28" i="72" s="1"/>
  <c r="Z71" i="41"/>
  <c r="AH56" i="72"/>
  <c r="AH28" i="72" s="1"/>
  <c r="AH71" i="41"/>
  <c r="AI56" i="72"/>
  <c r="AI28" i="72" s="1"/>
  <c r="AI71" i="41"/>
  <c r="AD56" i="72"/>
  <c r="AD28" i="72" s="1"/>
  <c r="AD71" i="41"/>
  <c r="AE56" i="72"/>
  <c r="AE28" i="72" s="1"/>
  <c r="AE71" i="41"/>
  <c r="AJ56" i="72"/>
  <c r="AJ28" i="72" s="1"/>
  <c r="AJ71" i="41"/>
  <c r="AC56" i="72"/>
  <c r="AC28" i="72" s="1"/>
  <c r="AC71" i="41"/>
  <c r="Y56" i="72"/>
  <c r="Y71" i="41"/>
  <c r="AM56" i="72"/>
  <c r="AM28" i="72" s="1"/>
  <c r="AM71" i="41"/>
  <c r="AK124" i="72"/>
  <c r="AM163" i="41"/>
  <c r="E31" i="55"/>
  <c r="U43" i="42"/>
  <c r="U104" i="72" s="1"/>
  <c r="U38" i="41"/>
  <c r="U95" i="41"/>
  <c r="U52" i="72" s="1"/>
  <c r="U83" i="41"/>
  <c r="U40" i="72" s="1"/>
  <c r="U96" i="41"/>
  <c r="U53" i="72" s="1"/>
  <c r="U94" i="41"/>
  <c r="U51" i="72" s="1"/>
  <c r="U98" i="41"/>
  <c r="U55" i="72" s="1"/>
  <c r="U82" i="41"/>
  <c r="U39" i="72" s="1"/>
  <c r="U92" i="41"/>
  <c r="U49" i="72" s="1"/>
  <c r="U87" i="41"/>
  <c r="U44" i="72" s="1"/>
  <c r="U97" i="41"/>
  <c r="U54" i="72" s="1"/>
  <c r="U91" i="41"/>
  <c r="U48" i="72" s="1"/>
  <c r="AK104" i="41"/>
  <c r="AG99" i="41"/>
  <c r="Y28" i="72" l="1"/>
  <c r="AG56" i="72"/>
  <c r="AG28" i="72" s="1"/>
  <c r="AG71" i="41"/>
  <c r="AK56" i="72" l="1"/>
  <c r="AK28" i="72" s="1"/>
  <c r="F34" i="55"/>
  <c r="F11" i="55"/>
  <c r="F10" i="55"/>
  <c r="F7" i="55"/>
  <c r="F6" i="55"/>
  <c r="F5" i="55"/>
  <c r="AO28" i="41"/>
  <c r="AO47" i="42"/>
  <c r="AO25" i="42"/>
  <c r="AO42" i="42"/>
  <c r="AO51" i="42"/>
  <c r="AO112" i="72" s="1"/>
  <c r="AO16" i="42"/>
  <c r="AO77" i="72" s="1"/>
  <c r="D41" i="55"/>
  <c r="AO19" i="42"/>
  <c r="AO79" i="41"/>
  <c r="AO77" i="41"/>
  <c r="AO74" i="41"/>
  <c r="AO73" i="41"/>
  <c r="AO72" i="41"/>
  <c r="AO35" i="41"/>
  <c r="AO33" i="41"/>
  <c r="AO30" i="41"/>
  <c r="AO29" i="41"/>
  <c r="D17" i="55"/>
  <c r="E195" i="37"/>
  <c r="E197" i="37" s="1"/>
  <c r="D29" i="55"/>
  <c r="D29" i="48" s="1"/>
  <c r="D34" i="55"/>
  <c r="D11" i="55"/>
  <c r="D11" i="48" s="1"/>
  <c r="D10" i="55"/>
  <c r="D10" i="48" s="1"/>
  <c r="D7" i="55"/>
  <c r="D7" i="48" s="1"/>
  <c r="D6" i="55"/>
  <c r="D6" i="48" s="1"/>
  <c r="D5" i="55"/>
  <c r="D5" i="48" s="1"/>
  <c r="E204" i="37"/>
  <c r="F204" i="37"/>
  <c r="F201" i="37"/>
  <c r="E201" i="37"/>
  <c r="E200" i="37"/>
  <c r="E202" i="37" s="1"/>
  <c r="F196" i="37"/>
  <c r="G196" i="37"/>
  <c r="E196" i="37"/>
  <c r="F195" i="37"/>
  <c r="F197" i="37" s="1"/>
  <c r="G195" i="37"/>
  <c r="E198" i="37"/>
  <c r="F198" i="37"/>
  <c r="AJ59" i="40"/>
  <c r="AJ45" i="40"/>
  <c r="AM88" i="41"/>
  <c r="E44" i="55"/>
  <c r="E39" i="55"/>
  <c r="E28" i="55"/>
  <c r="E83" i="37"/>
  <c r="E84" i="37"/>
  <c r="E85" i="37"/>
  <c r="E86" i="37"/>
  <c r="E87" i="37"/>
  <c r="E88" i="37"/>
  <c r="E89" i="37"/>
  <c r="E90" i="37"/>
  <c r="E91" i="37"/>
  <c r="E92" i="37"/>
  <c r="E93" i="37"/>
  <c r="E94" i="37"/>
  <c r="E95" i="37"/>
  <c r="E96" i="37"/>
  <c r="E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82" i="37"/>
  <c r="AH45" i="40"/>
  <c r="E11" i="55"/>
  <c r="E7" i="55"/>
  <c r="F57" i="43"/>
  <c r="D9" i="55" l="1"/>
  <c r="D9" i="48" s="1"/>
  <c r="D41" i="48"/>
  <c r="D51" i="55"/>
  <c r="AO103" i="72"/>
  <c r="AO86" i="72"/>
  <c r="AO108" i="72"/>
  <c r="AO80" i="72"/>
  <c r="AO126" i="72" s="1"/>
  <c r="E203" i="37"/>
  <c r="E205" i="37" s="1"/>
  <c r="E199" i="37"/>
  <c r="AO68" i="42"/>
  <c r="D40" i="55"/>
  <c r="D40" i="48" s="1"/>
  <c r="E29" i="55"/>
  <c r="D28" i="55"/>
  <c r="D39" i="55"/>
  <c r="D19" i="55"/>
  <c r="D19" i="48" s="1"/>
  <c r="F199" i="37"/>
  <c r="E52" i="43"/>
  <c r="F52" i="43"/>
  <c r="D38" i="55" l="1"/>
  <c r="D38" i="48" s="1"/>
  <c r="D39" i="48"/>
  <c r="D28" i="48"/>
  <c r="F76" i="43"/>
  <c r="F74" i="43"/>
  <c r="F72" i="43"/>
  <c r="E76" i="43"/>
  <c r="E74" i="43"/>
  <c r="E72" i="43"/>
  <c r="F67" i="43"/>
  <c r="E67" i="43"/>
  <c r="E57" i="43"/>
  <c r="F43" i="43"/>
  <c r="E43" i="43"/>
  <c r="F39" i="43"/>
  <c r="E39" i="43"/>
  <c r="F37" i="43"/>
  <c r="F35" i="43"/>
  <c r="F33" i="43"/>
  <c r="F31" i="43"/>
  <c r="F28" i="43"/>
  <c r="F26" i="43"/>
  <c r="F24" i="43"/>
  <c r="E37" i="43"/>
  <c r="E35" i="43"/>
  <c r="E33" i="43"/>
  <c r="E31" i="43"/>
  <c r="E28" i="43"/>
  <c r="E26" i="43"/>
  <c r="E24" i="43"/>
  <c r="F22" i="43"/>
  <c r="E22" i="43"/>
  <c r="F17" i="43"/>
  <c r="E17" i="43"/>
  <c r="F9" i="43"/>
  <c r="E9" i="43"/>
  <c r="F10" i="39"/>
  <c r="E10" i="39"/>
  <c r="F39" i="39"/>
  <c r="F38" i="39"/>
  <c r="F31" i="39"/>
  <c r="E31" i="39"/>
  <c r="E28" i="39"/>
  <c r="E25" i="39"/>
  <c r="F8" i="39"/>
  <c r="F9" i="39"/>
  <c r="F7" i="39"/>
  <c r="E8" i="39"/>
  <c r="E9" i="39"/>
  <c r="E7" i="39"/>
  <c r="F32" i="39"/>
  <c r="F29" i="39"/>
  <c r="F28" i="39" s="1"/>
  <c r="F26" i="39"/>
  <c r="F25" i="39" s="1"/>
  <c r="F15" i="39"/>
  <c r="F40" i="39"/>
  <c r="F13" i="39"/>
  <c r="F14" i="39"/>
  <c r="E29" i="39"/>
  <c r="E26" i="39"/>
  <c r="E42" i="39"/>
  <c r="E39" i="39"/>
  <c r="E38" i="39"/>
  <c r="E34" i="39"/>
  <c r="E14" i="39"/>
  <c r="E13" i="39"/>
  <c r="F16" i="39"/>
  <c r="F47" i="39" s="1"/>
  <c r="E16" i="39"/>
  <c r="F50" i="39"/>
  <c r="E50" i="39"/>
  <c r="E47" i="39"/>
  <c r="E189" i="37"/>
  <c r="E188" i="37"/>
  <c r="E187" i="37"/>
  <c r="E155" i="37"/>
  <c r="E157" i="37" s="1"/>
  <c r="E154" i="37"/>
  <c r="E148" i="37"/>
  <c r="E147" i="37"/>
  <c r="F191" i="37"/>
  <c r="E191" i="37"/>
  <c r="F157" i="37"/>
  <c r="F188" i="37"/>
  <c r="F189" i="37"/>
  <c r="F187" i="37"/>
  <c r="G187" i="37"/>
  <c r="F155" i="37"/>
  <c r="F154" i="37"/>
  <c r="F148" i="37"/>
  <c r="F147" i="37"/>
  <c r="E150" i="37"/>
  <c r="F150" i="37"/>
  <c r="F39" i="37"/>
  <c r="F40" i="37" s="1"/>
  <c r="F38" i="37"/>
  <c r="F37" i="37"/>
  <c r="F34" i="37"/>
  <c r="F32" i="37"/>
  <c r="F31" i="37"/>
  <c r="F29" i="37"/>
  <c r="F28" i="37"/>
  <c r="F26" i="37"/>
  <c r="F25" i="37"/>
  <c r="F76" i="37"/>
  <c r="F67" i="37"/>
  <c r="F20" i="37"/>
  <c r="F19" i="37"/>
  <c r="F18" i="37"/>
  <c r="F75" i="37" s="1"/>
  <c r="F15" i="37"/>
  <c r="F13" i="37"/>
  <c r="F12" i="37"/>
  <c r="F10" i="37"/>
  <c r="F9" i="37"/>
  <c r="F21" i="37" s="1"/>
  <c r="F7" i="37"/>
  <c r="F6" i="37"/>
  <c r="E25" i="37"/>
  <c r="E26" i="37"/>
  <c r="E7" i="37"/>
  <c r="E6" i="37"/>
  <c r="E39" i="37"/>
  <c r="E38" i="37"/>
  <c r="E37" i="37"/>
  <c r="E34" i="37"/>
  <c r="E32" i="37"/>
  <c r="E31" i="37"/>
  <c r="E30" i="37"/>
  <c r="E29" i="37"/>
  <c r="E28" i="37"/>
  <c r="E20" i="37"/>
  <c r="E19" i="37"/>
  <c r="E18" i="37"/>
  <c r="E15" i="37"/>
  <c r="E13" i="37"/>
  <c r="E12" i="37"/>
  <c r="E11" i="37"/>
  <c r="E10" i="37"/>
  <c r="E9" i="37"/>
  <c r="E40" i="37"/>
  <c r="E21" i="37"/>
  <c r="F97" i="37"/>
  <c r="E97" i="37"/>
  <c r="E64" i="37"/>
  <c r="F64" i="37"/>
  <c r="E65" i="37"/>
  <c r="F65" i="37"/>
  <c r="E66" i="37"/>
  <c r="F66" i="37"/>
  <c r="E67" i="37"/>
  <c r="E68" i="37"/>
  <c r="F68" i="37"/>
  <c r="E69" i="37"/>
  <c r="F69" i="37"/>
  <c r="E70" i="37"/>
  <c r="F70" i="37"/>
  <c r="E71" i="37"/>
  <c r="F71" i="37"/>
  <c r="E72" i="37"/>
  <c r="F72" i="37"/>
  <c r="E73" i="37"/>
  <c r="F73" i="37"/>
  <c r="E74" i="37"/>
  <c r="F74" i="37"/>
  <c r="E75" i="37"/>
  <c r="E76" i="37"/>
  <c r="E77" i="37"/>
  <c r="E63" i="37"/>
  <c r="G6" i="37"/>
  <c r="AM47" i="42"/>
  <c r="AM41" i="42"/>
  <c r="AM25" i="42"/>
  <c r="AM20" i="42"/>
  <c r="AM43" i="42"/>
  <c r="AM51" i="42"/>
  <c r="AM19" i="42"/>
  <c r="AK5" i="42"/>
  <c r="K74" i="64" l="1"/>
  <c r="K91" i="64"/>
  <c r="K107" i="64"/>
  <c r="K66" i="64"/>
  <c r="K44" i="64"/>
  <c r="K78" i="64"/>
  <c r="K33" i="64"/>
  <c r="K114" i="64"/>
  <c r="K36" i="64"/>
  <c r="K117" i="64"/>
  <c r="K118" i="64"/>
  <c r="K88" i="64"/>
  <c r="K25" i="64"/>
  <c r="K72" i="64"/>
  <c r="K41" i="64"/>
  <c r="K75" i="64"/>
  <c r="K92" i="64"/>
  <c r="K109" i="64"/>
  <c r="K60" i="64"/>
  <c r="K64" i="64" s="1"/>
  <c r="K46" i="64"/>
  <c r="K96" i="64"/>
  <c r="K82" i="64"/>
  <c r="K115" i="64"/>
  <c r="K53" i="64"/>
  <c r="K55" i="64"/>
  <c r="K38" i="64"/>
  <c r="K70" i="64"/>
  <c r="K39" i="64"/>
  <c r="K71" i="64"/>
  <c r="K40" i="64"/>
  <c r="K105" i="64"/>
  <c r="K76" i="64"/>
  <c r="K93" i="64"/>
  <c r="K110" i="64"/>
  <c r="K31" i="64"/>
  <c r="K47" i="64"/>
  <c r="K113" i="64"/>
  <c r="K34" i="64"/>
  <c r="K83" i="64"/>
  <c r="K116" i="64"/>
  <c r="K68" i="64"/>
  <c r="K69" i="64"/>
  <c r="K101" i="64"/>
  <c r="K16" i="64"/>
  <c r="K120" i="64"/>
  <c r="K89" i="64"/>
  <c r="K77" i="64"/>
  <c r="K94" i="64"/>
  <c r="K111" i="64"/>
  <c r="K32" i="64"/>
  <c r="K49" i="64"/>
  <c r="K95" i="64"/>
  <c r="K50" i="64"/>
  <c r="K79" i="64"/>
  <c r="K51" i="64"/>
  <c r="K97" i="64"/>
  <c r="K35" i="64"/>
  <c r="K67" i="64"/>
  <c r="K98" i="64"/>
  <c r="K54" i="64"/>
  <c r="K84" i="64"/>
  <c r="K37" i="64"/>
  <c r="K100" i="64"/>
  <c r="K29" i="64"/>
  <c r="K87" i="64"/>
  <c r="K121" i="64"/>
  <c r="K73" i="64"/>
  <c r="K90" i="64"/>
  <c r="K106" i="64"/>
  <c r="K123" i="64"/>
  <c r="K42" i="64"/>
  <c r="K99" i="64"/>
  <c r="K85" i="64"/>
  <c r="K119" i="64"/>
  <c r="K103" i="64"/>
  <c r="K48" i="64"/>
  <c r="K45" i="64"/>
  <c r="K56" i="64"/>
  <c r="J69" i="64"/>
  <c r="J85" i="64"/>
  <c r="J100" i="64"/>
  <c r="J117" i="64"/>
  <c r="J38" i="64"/>
  <c r="J16" i="64"/>
  <c r="J90" i="64"/>
  <c r="J74" i="64"/>
  <c r="J45" i="64"/>
  <c r="J107" i="64"/>
  <c r="J109" i="64"/>
  <c r="J78" i="64"/>
  <c r="J110" i="64"/>
  <c r="J111" i="64"/>
  <c r="J81" i="64"/>
  <c r="J35" i="64"/>
  <c r="J70" i="64"/>
  <c r="J87" i="64"/>
  <c r="J101" i="64"/>
  <c r="J118" i="64"/>
  <c r="J39" i="64"/>
  <c r="J25" i="64"/>
  <c r="J44" i="64"/>
  <c r="J91" i="64"/>
  <c r="J123" i="64"/>
  <c r="J60" i="64"/>
  <c r="J64" i="64" s="1"/>
  <c r="J96" i="64"/>
  <c r="J51" i="64"/>
  <c r="J52" i="64"/>
  <c r="J83" i="64"/>
  <c r="J53" i="64"/>
  <c r="J71" i="64"/>
  <c r="J88" i="64"/>
  <c r="J102" i="64"/>
  <c r="J119" i="64"/>
  <c r="J41" i="64"/>
  <c r="J73" i="64"/>
  <c r="J121" i="64"/>
  <c r="J106" i="64"/>
  <c r="J75" i="64"/>
  <c r="J76" i="64"/>
  <c r="J47" i="64"/>
  <c r="J94" i="64"/>
  <c r="J95" i="64"/>
  <c r="J82" i="64"/>
  <c r="J33" i="64"/>
  <c r="J98" i="64"/>
  <c r="J72" i="64"/>
  <c r="J89" i="64"/>
  <c r="J104" i="64"/>
  <c r="J120" i="64"/>
  <c r="J42" i="64"/>
  <c r="J105" i="64"/>
  <c r="J122" i="64"/>
  <c r="J92" i="64"/>
  <c r="J46" i="64"/>
  <c r="J93" i="64"/>
  <c r="J49" i="64"/>
  <c r="J50" i="64"/>
  <c r="J113" i="64"/>
  <c r="J97" i="64"/>
  <c r="J115" i="64"/>
  <c r="J68" i="64"/>
  <c r="J84" i="64"/>
  <c r="J99" i="64"/>
  <c r="J116" i="64"/>
  <c r="J37" i="64"/>
  <c r="J54" i="64"/>
  <c r="J124" i="64"/>
  <c r="J66" i="64"/>
  <c r="J79" i="64"/>
  <c r="J32" i="64"/>
  <c r="J114" i="64"/>
  <c r="J67" i="64"/>
  <c r="J31" i="64"/>
  <c r="J80" i="64"/>
  <c r="J77" i="64"/>
  <c r="J103" i="64"/>
  <c r="J56" i="64"/>
  <c r="J108" i="64"/>
  <c r="J34" i="64"/>
  <c r="J112" i="64"/>
  <c r="J86" i="64"/>
  <c r="J29" i="64"/>
  <c r="J36" i="64"/>
  <c r="K122" i="64"/>
  <c r="K112" i="64"/>
  <c r="AM112" i="72"/>
  <c r="K104" i="64"/>
  <c r="AM104" i="72"/>
  <c r="K86" i="64"/>
  <c r="AM86" i="72"/>
  <c r="K81" i="64"/>
  <c r="AM81" i="72"/>
  <c r="K102" i="64"/>
  <c r="AM102" i="72"/>
  <c r="AM80" i="72"/>
  <c r="AM68" i="42"/>
  <c r="K108" i="64"/>
  <c r="AM108" i="72"/>
  <c r="E51" i="43"/>
  <c r="E78" i="43" s="1"/>
  <c r="L66" i="64"/>
  <c r="K80" i="64"/>
  <c r="E40" i="55"/>
  <c r="K124" i="64"/>
  <c r="E41" i="55"/>
  <c r="E51" i="55" s="1"/>
  <c r="F51" i="43"/>
  <c r="F78" i="43" s="1"/>
  <c r="F42" i="39"/>
  <c r="F34" i="39" s="1"/>
  <c r="F77" i="37"/>
  <c r="F63" i="37"/>
  <c r="F78" i="37" s="1"/>
  <c r="E78" i="37"/>
  <c r="J126" i="64" l="1"/>
  <c r="E79" i="43"/>
  <c r="E56" i="39"/>
  <c r="E55" i="39" s="1"/>
  <c r="F79" i="43"/>
  <c r="F56" i="39"/>
  <c r="AM126" i="72"/>
  <c r="K126" i="64"/>
  <c r="AB62" i="42"/>
  <c r="AB123" i="72" s="1"/>
  <c r="AK123" i="72" s="1"/>
  <c r="AA61" i="42"/>
  <c r="AA122" i="72" s="1"/>
  <c r="AF47" i="42"/>
  <c r="AF108" i="72" s="1"/>
  <c r="AC90" i="41"/>
  <c r="Z90" i="41"/>
  <c r="AF86" i="41"/>
  <c r="AD86" i="41"/>
  <c r="AC86" i="41"/>
  <c r="AA86" i="41"/>
  <c r="Z86" i="41"/>
  <c r="AF61" i="42"/>
  <c r="AF122" i="72" s="1"/>
  <c r="AD28" i="42"/>
  <c r="AD89" i="72" s="1"/>
  <c r="AK89" i="72" s="1"/>
  <c r="AD61" i="42"/>
  <c r="AD122" i="72" s="1"/>
  <c r="AC61" i="42"/>
  <c r="AC122" i="72" s="1"/>
  <c r="AB61" i="42"/>
  <c r="AB122" i="72" s="1"/>
  <c r="AJ42" i="42"/>
  <c r="AI42" i="42"/>
  <c r="AH42" i="42"/>
  <c r="AG42" i="42"/>
  <c r="AJ51" i="42"/>
  <c r="AJ112" i="72" s="1"/>
  <c r="AI51" i="42"/>
  <c r="AI112" i="72" s="1"/>
  <c r="AH51" i="42"/>
  <c r="AH112" i="72" s="1"/>
  <c r="AG51" i="42"/>
  <c r="AG112" i="72" s="1"/>
  <c r="AF51" i="42"/>
  <c r="AF112" i="72" s="1"/>
  <c r="AE51" i="42"/>
  <c r="AE112" i="72" s="1"/>
  <c r="AD51" i="42"/>
  <c r="AD112" i="72" s="1"/>
  <c r="AC51" i="42"/>
  <c r="AC112" i="72" s="1"/>
  <c r="AB51" i="42"/>
  <c r="AA51" i="42"/>
  <c r="AA112" i="72" s="1"/>
  <c r="Z51" i="42"/>
  <c r="Z112" i="72" s="1"/>
  <c r="Y51" i="42"/>
  <c r="Y112" i="72" s="1"/>
  <c r="AE19" i="42"/>
  <c r="AD19" i="42"/>
  <c r="AC19" i="42"/>
  <c r="AF42" i="42"/>
  <c r="AS89" i="72" l="1"/>
  <c r="AR89" i="72"/>
  <c r="AH103" i="72"/>
  <c r="AH126" i="72" s="1"/>
  <c r="AH68" i="42"/>
  <c r="AC80" i="72"/>
  <c r="AK122" i="72"/>
  <c r="AF103" i="72"/>
  <c r="AF68" i="42"/>
  <c r="AD80" i="72"/>
  <c r="AD126" i="72" s="1"/>
  <c r="AD68" i="42"/>
  <c r="AI103" i="72"/>
  <c r="AI126" i="72" s="1"/>
  <c r="AI68" i="42"/>
  <c r="AG103" i="72"/>
  <c r="AG126" i="72" s="1"/>
  <c r="AG68" i="42"/>
  <c r="AE80" i="72"/>
  <c r="AE126" i="72" s="1"/>
  <c r="AE68" i="42"/>
  <c r="AJ103" i="72"/>
  <c r="AJ126" i="72" s="1"/>
  <c r="AJ68" i="42"/>
  <c r="AB112" i="72"/>
  <c r="AB126" i="72" s="1"/>
  <c r="AB68" i="42"/>
  <c r="Z25" i="42"/>
  <c r="Y19" i="42"/>
  <c r="V51" i="42"/>
  <c r="V112" i="72" s="1"/>
  <c r="AD103" i="69"/>
  <c r="Y103" i="69"/>
  <c r="L102" i="69"/>
  <c r="P102" i="69"/>
  <c r="V62" i="42"/>
  <c r="V123" i="72" s="1"/>
  <c r="V42" i="42"/>
  <c r="V103" i="72" s="1"/>
  <c r="V33" i="42"/>
  <c r="V94" i="72" s="1"/>
  <c r="V25" i="42"/>
  <c r="V86" i="72" s="1"/>
  <c r="V21" i="42"/>
  <c r="V82" i="72" s="1"/>
  <c r="V19" i="42"/>
  <c r="V80" i="72" s="1"/>
  <c r="V18" i="42"/>
  <c r="V79" i="72" s="1"/>
  <c r="Y102" i="69"/>
  <c r="R102" i="69"/>
  <c r="AD102" i="69"/>
  <c r="Y80" i="72" l="1"/>
  <c r="Z86" i="72"/>
  <c r="Z68" i="42"/>
  <c r="AR122" i="72"/>
  <c r="AS122" i="72"/>
  <c r="AK112" i="72"/>
  <c r="AK103" i="72"/>
  <c r="AF126" i="72"/>
  <c r="V16" i="42"/>
  <c r="V77" i="72" s="1"/>
  <c r="V15" i="42"/>
  <c r="AM95" i="41"/>
  <c r="K52" i="64" s="1"/>
  <c r="AM86" i="41"/>
  <c r="K43" i="64" s="1"/>
  <c r="AO5" i="62"/>
  <c r="AO86" i="41"/>
  <c r="J43" i="64" s="1"/>
  <c r="J48" i="64"/>
  <c r="AO83" i="41"/>
  <c r="J40" i="64" s="1"/>
  <c r="AO42" i="41"/>
  <c r="AE98" i="41"/>
  <c r="AK99" i="41"/>
  <c r="F31" i="55" s="1"/>
  <c r="L46" i="65"/>
  <c r="M46" i="65" s="1"/>
  <c r="Z94" i="41"/>
  <c r="AA38" i="41"/>
  <c r="Z27" i="41"/>
  <c r="AA27" i="41"/>
  <c r="AB27" i="41"/>
  <c r="AC27" i="41"/>
  <c r="AD27" i="41"/>
  <c r="AE27" i="41"/>
  <c r="AF27" i="41"/>
  <c r="AG27" i="41"/>
  <c r="Y27" i="41"/>
  <c r="AG95" i="41"/>
  <c r="AK46" i="41"/>
  <c r="AG98" i="41"/>
  <c r="AF98" i="41"/>
  <c r="AD98" i="41"/>
  <c r="AB98" i="41"/>
  <c r="AK90" i="41"/>
  <c r="AF83" i="41"/>
  <c r="AE83" i="41"/>
  <c r="AK86" i="72" l="1"/>
  <c r="Z126" i="72"/>
  <c r="AK80" i="72"/>
  <c r="V76" i="72"/>
  <c r="J55" i="64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7" i="69"/>
  <c r="P88" i="69"/>
  <c r="P89" i="69"/>
  <c r="P90" i="69"/>
  <c r="P91" i="69"/>
  <c r="P92" i="69"/>
  <c r="P93" i="69"/>
  <c r="P94" i="69"/>
  <c r="P95" i="69"/>
  <c r="P96" i="69"/>
  <c r="P97" i="69"/>
  <c r="P98" i="69"/>
  <c r="P99" i="69"/>
  <c r="P100" i="69"/>
  <c r="P101" i="69"/>
  <c r="P58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1" i="69"/>
  <c r="P42" i="69"/>
  <c r="P43" i="69"/>
  <c r="P44" i="69"/>
  <c r="P45" i="69"/>
  <c r="P46" i="69"/>
  <c r="P47" i="69"/>
  <c r="P48" i="69"/>
  <c r="P49" i="69"/>
  <c r="P50" i="69"/>
  <c r="P51" i="69"/>
  <c r="P52" i="69"/>
  <c r="P53" i="69"/>
  <c r="P54" i="69"/>
  <c r="P55" i="69"/>
  <c r="P56" i="69"/>
  <c r="P9" i="69"/>
  <c r="Y100" i="69"/>
  <c r="Y101" i="69"/>
  <c r="L100" i="69"/>
  <c r="L101" i="69"/>
  <c r="AD100" i="69"/>
  <c r="D31" i="48" l="1"/>
  <c r="D51" i="48"/>
  <c r="Y59" i="69"/>
  <c r="Y60" i="69"/>
  <c r="Y61" i="69"/>
  <c r="Y62" i="69"/>
  <c r="Y63" i="69"/>
  <c r="Y64" i="69"/>
  <c r="Y65" i="69"/>
  <c r="Y66" i="69"/>
  <c r="Y67" i="69"/>
  <c r="Y68" i="69"/>
  <c r="Y69" i="69"/>
  <c r="Y70" i="69"/>
  <c r="Y71" i="69"/>
  <c r="Y72" i="69"/>
  <c r="Y73" i="69"/>
  <c r="Y74" i="69"/>
  <c r="Y75" i="69"/>
  <c r="Y76" i="69"/>
  <c r="Y77" i="69"/>
  <c r="Y78" i="69"/>
  <c r="Y79" i="69"/>
  <c r="Y80" i="69"/>
  <c r="Y81" i="69"/>
  <c r="Y82" i="69"/>
  <c r="Y83" i="69"/>
  <c r="Y84" i="69"/>
  <c r="Y85" i="69"/>
  <c r="Y86" i="69"/>
  <c r="Y87" i="69"/>
  <c r="Y88" i="69"/>
  <c r="Y89" i="69"/>
  <c r="Y90" i="69"/>
  <c r="Y91" i="69"/>
  <c r="Y92" i="69"/>
  <c r="Y93" i="69"/>
  <c r="Y94" i="69"/>
  <c r="Y95" i="69"/>
  <c r="Y96" i="69"/>
  <c r="Y97" i="69"/>
  <c r="Y98" i="69"/>
  <c r="Y99" i="69"/>
  <c r="Y58" i="69"/>
  <c r="Y10" i="69"/>
  <c r="Y11" i="69"/>
  <c r="Y12" i="69"/>
  <c r="Y13" i="69"/>
  <c r="Y14" i="69"/>
  <c r="Y15" i="69"/>
  <c r="Y16" i="69"/>
  <c r="Y17" i="69"/>
  <c r="Y18" i="69"/>
  <c r="Y19" i="69"/>
  <c r="Y20" i="69"/>
  <c r="Y21" i="69"/>
  <c r="Y22" i="69"/>
  <c r="Y23" i="69"/>
  <c r="Y24" i="69"/>
  <c r="Y25" i="69"/>
  <c r="Y26" i="69"/>
  <c r="Y27" i="69"/>
  <c r="Y28" i="69"/>
  <c r="Y29" i="69"/>
  <c r="Y30" i="69"/>
  <c r="Y31" i="69"/>
  <c r="Y32" i="69"/>
  <c r="Y33" i="69"/>
  <c r="Y34" i="69"/>
  <c r="Y35" i="69"/>
  <c r="Y36" i="69"/>
  <c r="Y37" i="69"/>
  <c r="Y38" i="69"/>
  <c r="Y39" i="69"/>
  <c r="Y40" i="69"/>
  <c r="Y41" i="69"/>
  <c r="Y42" i="69"/>
  <c r="Y43" i="69"/>
  <c r="Y44" i="69"/>
  <c r="Y45" i="69"/>
  <c r="Y46" i="69"/>
  <c r="Y47" i="69"/>
  <c r="Y48" i="69"/>
  <c r="Y49" i="69"/>
  <c r="Y50" i="69"/>
  <c r="Y51" i="69"/>
  <c r="Y52" i="69"/>
  <c r="Y53" i="69"/>
  <c r="Y54" i="69"/>
  <c r="Y55" i="69"/>
  <c r="Y56" i="69"/>
  <c r="Y9" i="69"/>
  <c r="AQ113" i="69" l="1"/>
  <c r="AG113" i="69"/>
  <c r="AL113" i="69"/>
  <c r="AK113" i="69"/>
  <c r="AR113" i="69"/>
  <c r="AP113" i="69"/>
  <c r="AF113" i="69"/>
  <c r="AC113" i="69"/>
  <c r="AH113" i="69"/>
  <c r="AI113" i="69"/>
  <c r="AE113" i="69"/>
  <c r="AJ113" i="69"/>
  <c r="AO113" i="69"/>
  <c r="AN113" i="69"/>
  <c r="AM113" i="69"/>
  <c r="AE114" i="69"/>
  <c r="AG114" i="69"/>
  <c r="AG115" i="69"/>
  <c r="AI115" i="69"/>
  <c r="AM114" i="69"/>
  <c r="AR114" i="69"/>
  <c r="AL115" i="69"/>
  <c r="AI114" i="69"/>
  <c r="AP114" i="69"/>
  <c r="AL114" i="69"/>
  <c r="AO114" i="69"/>
  <c r="AF115" i="69"/>
  <c r="AQ114" i="69"/>
  <c r="AF114" i="69"/>
  <c r="AJ114" i="69"/>
  <c r="AC115" i="69"/>
  <c r="AK115" i="69"/>
  <c r="AH115" i="69"/>
  <c r="AN114" i="69"/>
  <c r="AJ115" i="69"/>
  <c r="AR115" i="69"/>
  <c r="AE115" i="69"/>
  <c r="AH114" i="69"/>
  <c r="AP115" i="69"/>
  <c r="AK114" i="69"/>
  <c r="AM115" i="69"/>
  <c r="AN115" i="69"/>
  <c r="AQ115" i="69"/>
  <c r="AO115" i="69"/>
  <c r="AC114" i="69"/>
  <c r="Y6" i="41"/>
  <c r="Z6" i="41"/>
  <c r="Z7" i="72" s="1"/>
  <c r="AA6" i="41"/>
  <c r="AA7" i="72" s="1"/>
  <c r="AB6" i="41"/>
  <c r="AB7" i="72" s="1"/>
  <c r="AC6" i="41"/>
  <c r="AC7" i="72" s="1"/>
  <c r="AD6" i="41"/>
  <c r="AD7" i="72" s="1"/>
  <c r="AE6" i="41"/>
  <c r="AE7" i="72" s="1"/>
  <c r="AF6" i="41"/>
  <c r="AF7" i="72" s="1"/>
  <c r="AG6" i="41"/>
  <c r="AG7" i="72" s="1"/>
  <c r="Y7" i="41"/>
  <c r="Y8" i="72" s="1"/>
  <c r="Z7" i="41"/>
  <c r="Z8" i="72" s="1"/>
  <c r="AA7" i="41"/>
  <c r="AA8" i="72" s="1"/>
  <c r="AB7" i="41"/>
  <c r="AB8" i="72" s="1"/>
  <c r="AC7" i="41"/>
  <c r="AC8" i="72" s="1"/>
  <c r="AD7" i="41"/>
  <c r="AD8" i="72" s="1"/>
  <c r="AE7" i="41"/>
  <c r="AE8" i="72" s="1"/>
  <c r="AF7" i="41"/>
  <c r="AF8" i="72" s="1"/>
  <c r="AG7" i="41"/>
  <c r="AG8" i="72" s="1"/>
  <c r="Y13" i="41"/>
  <c r="Y14" i="72" s="1"/>
  <c r="Z13" i="41"/>
  <c r="Z14" i="72" s="1"/>
  <c r="AA13" i="41"/>
  <c r="AA14" i="72" s="1"/>
  <c r="AB13" i="41"/>
  <c r="AB14" i="72" s="1"/>
  <c r="AC13" i="41"/>
  <c r="AC14" i="72" s="1"/>
  <c r="AD13" i="41"/>
  <c r="AD14" i="72" s="1"/>
  <c r="AE13" i="41"/>
  <c r="AE14" i="72" s="1"/>
  <c r="AF13" i="41"/>
  <c r="AF14" i="72" s="1"/>
  <c r="AG13" i="41"/>
  <c r="AG14" i="72" s="1"/>
  <c r="Y11" i="41"/>
  <c r="Y12" i="72" s="1"/>
  <c r="Z11" i="41"/>
  <c r="Z12" i="72" s="1"/>
  <c r="AA11" i="41"/>
  <c r="AA12" i="72" s="1"/>
  <c r="AB11" i="41"/>
  <c r="AB12" i="72" s="1"/>
  <c r="AC11" i="41"/>
  <c r="AC12" i="72" s="1"/>
  <c r="AD11" i="41"/>
  <c r="AD12" i="72" s="1"/>
  <c r="AE11" i="41"/>
  <c r="AE12" i="72" s="1"/>
  <c r="AF11" i="41"/>
  <c r="AF12" i="72" s="1"/>
  <c r="AG11" i="41"/>
  <c r="AG12" i="72" s="1"/>
  <c r="Y16" i="41"/>
  <c r="Y17" i="72" s="1"/>
  <c r="Z16" i="41"/>
  <c r="Z17" i="72" s="1"/>
  <c r="AA16" i="41"/>
  <c r="AA17" i="72" s="1"/>
  <c r="AB16" i="41"/>
  <c r="AB17" i="72" s="1"/>
  <c r="AC16" i="41"/>
  <c r="AC17" i="72" s="1"/>
  <c r="AD16" i="41"/>
  <c r="AD17" i="72" s="1"/>
  <c r="AE16" i="41"/>
  <c r="AE17" i="72" s="1"/>
  <c r="AF16" i="41"/>
  <c r="AF17" i="72" s="1"/>
  <c r="AG16" i="41"/>
  <c r="AG17" i="72" s="1"/>
  <c r="Y7" i="72" l="1"/>
  <c r="AF8" i="69"/>
  <c r="AD99" i="69" l="1"/>
  <c r="L99" i="69"/>
  <c r="AD98" i="69"/>
  <c r="L98" i="69"/>
  <c r="AD97" i="69"/>
  <c r="L97" i="69"/>
  <c r="L96" i="69"/>
  <c r="AD96" i="69"/>
  <c r="AD95" i="69"/>
  <c r="L95" i="69"/>
  <c r="AD94" i="69"/>
  <c r="L94" i="69"/>
  <c r="AD93" i="69"/>
  <c r="L93" i="69"/>
  <c r="AD92" i="69"/>
  <c r="L92" i="69"/>
  <c r="AD91" i="69"/>
  <c r="L91" i="69"/>
  <c r="AD90" i="69"/>
  <c r="L90" i="69"/>
  <c r="AD89" i="69"/>
  <c r="L89" i="69"/>
  <c r="AD88" i="69"/>
  <c r="L88" i="69"/>
  <c r="AD87" i="69"/>
  <c r="L87" i="69"/>
  <c r="AD86" i="69"/>
  <c r="L86" i="69"/>
  <c r="AD85" i="69"/>
  <c r="L85" i="69"/>
  <c r="AD84" i="69"/>
  <c r="L84" i="69"/>
  <c r="AD83" i="69"/>
  <c r="L83" i="69"/>
  <c r="AD82" i="69"/>
  <c r="L82" i="69"/>
  <c r="AD81" i="69"/>
  <c r="L81" i="69"/>
  <c r="K8" i="65" l="1"/>
  <c r="AF42" i="65"/>
  <c r="AH42" i="65"/>
  <c r="AI42" i="65"/>
  <c r="AJ42" i="65"/>
  <c r="AK42" i="65"/>
  <c r="AL42" i="65"/>
  <c r="AM42" i="65"/>
  <c r="AN42" i="65"/>
  <c r="AO42" i="65"/>
  <c r="AP42" i="65"/>
  <c r="AQ42" i="65"/>
  <c r="V100" i="41" s="1"/>
  <c r="AD34" i="65"/>
  <c r="AD35" i="65"/>
  <c r="AD36" i="65"/>
  <c r="AD37" i="65"/>
  <c r="AD38" i="65"/>
  <c r="AD39" i="65"/>
  <c r="AD40" i="65"/>
  <c r="AD41" i="65"/>
  <c r="AE42" i="65"/>
  <c r="AC42" i="65"/>
  <c r="J42" i="65"/>
  <c r="L42" i="65" s="1"/>
  <c r="M42" i="65" s="1"/>
  <c r="AF33" i="65"/>
  <c r="AG33" i="65"/>
  <c r="AH33" i="65"/>
  <c r="AI33" i="65"/>
  <c r="AJ33" i="65"/>
  <c r="AK33" i="65"/>
  <c r="AL33" i="65"/>
  <c r="AM33" i="65"/>
  <c r="AN33" i="65"/>
  <c r="AO33" i="65"/>
  <c r="AP33" i="65"/>
  <c r="AQ33" i="65"/>
  <c r="V104" i="41" s="1"/>
  <c r="AE33" i="65"/>
  <c r="AC33" i="65"/>
  <c r="J33" i="65"/>
  <c r="L33" i="65" s="1"/>
  <c r="M33" i="65" s="1"/>
  <c r="L34" i="65"/>
  <c r="M34" i="65" s="1"/>
  <c r="L35" i="65"/>
  <c r="M35" i="65" s="1"/>
  <c r="AR34" i="65"/>
  <c r="AS34" i="65" s="1"/>
  <c r="AR35" i="65"/>
  <c r="AS35" i="65" s="1"/>
  <c r="L36" i="65"/>
  <c r="M36" i="65" s="1"/>
  <c r="L37" i="65"/>
  <c r="M37" i="65" s="1"/>
  <c r="L38" i="65"/>
  <c r="M38" i="65" s="1"/>
  <c r="AR36" i="65"/>
  <c r="AS36" i="65" s="1"/>
  <c r="AR37" i="65"/>
  <c r="AS37" i="65" s="1"/>
  <c r="AR38" i="65"/>
  <c r="AS38" i="65" s="1"/>
  <c r="L39" i="65"/>
  <c r="M39" i="65" s="1"/>
  <c r="L40" i="65"/>
  <c r="M40" i="65" s="1"/>
  <c r="L41" i="65"/>
  <c r="M41" i="65" s="1"/>
  <c r="AR39" i="65"/>
  <c r="AS39" i="65" s="1"/>
  <c r="AR40" i="65"/>
  <c r="AS40" i="65" s="1"/>
  <c r="AR41" i="65"/>
  <c r="AS41" i="65" s="1"/>
  <c r="L43" i="65"/>
  <c r="M43" i="65" s="1"/>
  <c r="L44" i="65"/>
  <c r="M44" i="65" s="1"/>
  <c r="AD43" i="65"/>
  <c r="AD44" i="65"/>
  <c r="AR43" i="65"/>
  <c r="AS43" i="65" s="1"/>
  <c r="AR44" i="65"/>
  <c r="AS44" i="65" s="1"/>
  <c r="L31" i="65"/>
  <c r="M31" i="65" s="1"/>
  <c r="AD31" i="65"/>
  <c r="AR31" i="65"/>
  <c r="AS31" i="65" s="1"/>
  <c r="L32" i="65"/>
  <c r="M32" i="65" s="1"/>
  <c r="L45" i="65"/>
  <c r="M45" i="65" s="1"/>
  <c r="AD32" i="65"/>
  <c r="AD45" i="65"/>
  <c r="AR32" i="65"/>
  <c r="AS32" i="65" s="1"/>
  <c r="AR45" i="65"/>
  <c r="AS45" i="65" s="1"/>
  <c r="AD46" i="65"/>
  <c r="AR46" i="65"/>
  <c r="AS46" i="65" s="1"/>
  <c r="L49" i="65"/>
  <c r="M49" i="65" s="1"/>
  <c r="AD49" i="65"/>
  <c r="AR49" i="65"/>
  <c r="L80" i="69"/>
  <c r="AD80" i="69"/>
  <c r="AD115" i="69" s="1"/>
  <c r="AD59" i="69"/>
  <c r="AD60" i="69"/>
  <c r="AD61" i="69"/>
  <c r="AD62" i="69"/>
  <c r="AD63" i="69"/>
  <c r="AD64" i="69"/>
  <c r="AD65" i="69"/>
  <c r="AD66" i="69"/>
  <c r="AD67" i="69"/>
  <c r="AD68" i="69"/>
  <c r="AD69" i="69"/>
  <c r="AD70" i="69"/>
  <c r="AD71" i="69"/>
  <c r="AD72" i="69"/>
  <c r="AD73" i="69"/>
  <c r="AD74" i="69"/>
  <c r="AD75" i="69"/>
  <c r="AD76" i="69"/>
  <c r="AD77" i="69"/>
  <c r="AD78" i="69"/>
  <c r="AD79" i="69"/>
  <c r="AD58" i="69"/>
  <c r="L67" i="69"/>
  <c r="L68" i="69"/>
  <c r="L69" i="69"/>
  <c r="L70" i="69"/>
  <c r="L71" i="69"/>
  <c r="L72" i="69"/>
  <c r="L73" i="69"/>
  <c r="L74" i="69"/>
  <c r="L75" i="69"/>
  <c r="L76" i="69"/>
  <c r="L77" i="69"/>
  <c r="L78" i="69"/>
  <c r="L79" i="69"/>
  <c r="AQ8" i="69"/>
  <c r="AP8" i="69"/>
  <c r="AO8" i="69"/>
  <c r="AN8" i="69"/>
  <c r="AM8" i="69"/>
  <c r="AL8" i="69"/>
  <c r="AK8" i="69"/>
  <c r="AJ8" i="69"/>
  <c r="AI8" i="69"/>
  <c r="AH8" i="69"/>
  <c r="AG8" i="69"/>
  <c r="AD10" i="69"/>
  <c r="AD11" i="69"/>
  <c r="AD12" i="69"/>
  <c r="AD13" i="69"/>
  <c r="AD14" i="69"/>
  <c r="AD15" i="69"/>
  <c r="AD16" i="69"/>
  <c r="AD17" i="69"/>
  <c r="AD18" i="69"/>
  <c r="AD19" i="69"/>
  <c r="AD20" i="69"/>
  <c r="AD21" i="69"/>
  <c r="AD22" i="69"/>
  <c r="AD23" i="69"/>
  <c r="AD24" i="69"/>
  <c r="AD25" i="69"/>
  <c r="AD26" i="69"/>
  <c r="AD27" i="69"/>
  <c r="AD28" i="69"/>
  <c r="AD29" i="69"/>
  <c r="AD30" i="69"/>
  <c r="AD31" i="69"/>
  <c r="AD32" i="69"/>
  <c r="AD33" i="69"/>
  <c r="AD34" i="69"/>
  <c r="AD35" i="69"/>
  <c r="AD36" i="69"/>
  <c r="AD37" i="69"/>
  <c r="AD38" i="69"/>
  <c r="AD39" i="69"/>
  <c r="AD40" i="69"/>
  <c r="AD41" i="69"/>
  <c r="AD42" i="69"/>
  <c r="AD43" i="69"/>
  <c r="AD44" i="69"/>
  <c r="AD45" i="69"/>
  <c r="AD46" i="69"/>
  <c r="AD47" i="69"/>
  <c r="AD48" i="69"/>
  <c r="AD49" i="69"/>
  <c r="AD50" i="69"/>
  <c r="AD51" i="69"/>
  <c r="AD52" i="69"/>
  <c r="AD53" i="69"/>
  <c r="AD54" i="69"/>
  <c r="AD55" i="69"/>
  <c r="AD56" i="69"/>
  <c r="AD9" i="69"/>
  <c r="AE8" i="69"/>
  <c r="AC8" i="69"/>
  <c r="R8" i="69"/>
  <c r="L9" i="69"/>
  <c r="L10" i="69"/>
  <c r="L11" i="69"/>
  <c r="L12" i="69"/>
  <c r="L13" i="69"/>
  <c r="L14" i="69"/>
  <c r="L15" i="69"/>
  <c r="L1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6" i="69"/>
  <c r="L37" i="69"/>
  <c r="L38" i="69"/>
  <c r="L39" i="69"/>
  <c r="L40" i="69"/>
  <c r="L41" i="69"/>
  <c r="L42" i="69"/>
  <c r="L43" i="69"/>
  <c r="L44" i="69"/>
  <c r="L45" i="69"/>
  <c r="L46" i="69"/>
  <c r="L47" i="69"/>
  <c r="L48" i="69"/>
  <c r="L49" i="69"/>
  <c r="L50" i="69"/>
  <c r="L51" i="69"/>
  <c r="L52" i="69"/>
  <c r="L53" i="69"/>
  <c r="L54" i="69"/>
  <c r="L55" i="69"/>
  <c r="L56" i="69"/>
  <c r="L57" i="69"/>
  <c r="L58" i="69"/>
  <c r="L59" i="69"/>
  <c r="L60" i="69"/>
  <c r="L61" i="69"/>
  <c r="L62" i="69"/>
  <c r="L63" i="69"/>
  <c r="L64" i="69"/>
  <c r="L65" i="69"/>
  <c r="L66" i="69"/>
  <c r="AD50" i="65"/>
  <c r="M50" i="65" l="1"/>
  <c r="AD113" i="69"/>
  <c r="AD114" i="69"/>
  <c r="AR8" i="69"/>
  <c r="AD57" i="69"/>
  <c r="AR42" i="65"/>
  <c r="AS42" i="65" s="1"/>
  <c r="AD42" i="65"/>
  <c r="AR33" i="65"/>
  <c r="AD33" i="65"/>
  <c r="AD8" i="69"/>
  <c r="L8" i="69"/>
  <c r="AS33" i="65" l="1"/>
  <c r="AD29" i="65"/>
  <c r="L29" i="65"/>
  <c r="M29" i="65" s="1"/>
  <c r="L28" i="65" l="1"/>
  <c r="M28" i="65" s="1"/>
  <c r="AR28" i="65"/>
  <c r="AS28" i="65" s="1"/>
  <c r="AD28" i="65"/>
  <c r="AF21" i="65"/>
  <c r="AG21" i="65"/>
  <c r="AH21" i="65"/>
  <c r="AI21" i="65"/>
  <c r="AJ21" i="65"/>
  <c r="AK21" i="65"/>
  <c r="AL21" i="65"/>
  <c r="AM21" i="65"/>
  <c r="AN21" i="65"/>
  <c r="AN8" i="65" s="1"/>
  <c r="AO21" i="65"/>
  <c r="AO8" i="65" s="1"/>
  <c r="AP21" i="65"/>
  <c r="AP8" i="65" s="1"/>
  <c r="AQ21" i="65"/>
  <c r="AE21" i="65"/>
  <c r="AC21" i="65"/>
  <c r="AR26" i="65"/>
  <c r="AS26" i="65" s="1"/>
  <c r="AD26" i="65"/>
  <c r="AR25" i="65"/>
  <c r="AS25" i="65" s="1"/>
  <c r="AD25" i="65"/>
  <c r="AR24" i="65"/>
  <c r="AS24" i="65" s="1"/>
  <c r="AD24" i="65"/>
  <c r="AR23" i="65"/>
  <c r="AS23" i="65" s="1"/>
  <c r="AD23" i="65"/>
  <c r="AR22" i="65"/>
  <c r="AS22" i="65" s="1"/>
  <c r="AD22" i="65"/>
  <c r="AG15" i="65"/>
  <c r="AH15" i="65"/>
  <c r="AI15" i="65"/>
  <c r="AJ15" i="65"/>
  <c r="AK15" i="65"/>
  <c r="AL15" i="65"/>
  <c r="AM15" i="65"/>
  <c r="AN15" i="65"/>
  <c r="AO15" i="65"/>
  <c r="AP15" i="65"/>
  <c r="AQ15" i="65"/>
  <c r="AF15" i="65"/>
  <c r="AE15" i="65"/>
  <c r="AC15" i="65"/>
  <c r="AC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10" i="65"/>
  <c r="AR11" i="65"/>
  <c r="AS11" i="65" s="1"/>
  <c r="AR12" i="65"/>
  <c r="AS12" i="65" s="1"/>
  <c r="AR13" i="65"/>
  <c r="AS13" i="65" s="1"/>
  <c r="AR14" i="65"/>
  <c r="AS14" i="65" s="1"/>
  <c r="AR16" i="65"/>
  <c r="AS16" i="65" s="1"/>
  <c r="AR17" i="65"/>
  <c r="AS17" i="65" s="1"/>
  <c r="AR18" i="65"/>
  <c r="AS18" i="65" s="1"/>
  <c r="AR19" i="65"/>
  <c r="AS19" i="65" s="1"/>
  <c r="AR20" i="65"/>
  <c r="AS20" i="65" s="1"/>
  <c r="AR27" i="65"/>
  <c r="AS27" i="65" s="1"/>
  <c r="AR30" i="65"/>
  <c r="AS30" i="65" s="1"/>
  <c r="AR52" i="65"/>
  <c r="AF8" i="65" l="1"/>
  <c r="AE8" i="65"/>
  <c r="AG8" i="65"/>
  <c r="AC8" i="65"/>
  <c r="AJ8" i="65"/>
  <c r="AI8" i="65"/>
  <c r="AH8" i="65"/>
  <c r="AM8" i="65"/>
  <c r="AL8" i="65"/>
  <c r="AK8" i="65"/>
  <c r="AQ8" i="65"/>
  <c r="AL53" i="65"/>
  <c r="AF53" i="65"/>
  <c r="AR50" i="65"/>
  <c r="V101" i="41"/>
  <c r="AC53" i="65"/>
  <c r="AD21" i="65"/>
  <c r="AR21" i="65"/>
  <c r="AR15" i="65"/>
  <c r="AS15" i="65" s="1"/>
  <c r="AR9" i="65"/>
  <c r="AS10" i="65"/>
  <c r="AR8" i="65" l="1"/>
  <c r="AS8" i="65" s="1"/>
  <c r="AS21" i="65"/>
  <c r="V99" i="41"/>
  <c r="V56" i="72" s="1"/>
  <c r="R31" i="55"/>
  <c r="L10" i="65"/>
  <c r="M10" i="65" s="1"/>
  <c r="L11" i="65"/>
  <c r="M11" i="65" s="1"/>
  <c r="L12" i="65"/>
  <c r="M12" i="65" s="1"/>
  <c r="L13" i="65"/>
  <c r="M13" i="65" s="1"/>
  <c r="L14" i="65"/>
  <c r="M14" i="65" s="1"/>
  <c r="L16" i="65"/>
  <c r="M16" i="65" s="1"/>
  <c r="L17" i="65"/>
  <c r="M17" i="65" s="1"/>
  <c r="L18" i="65"/>
  <c r="M18" i="65" s="1"/>
  <c r="L19" i="65"/>
  <c r="M19" i="65" s="1"/>
  <c r="L20" i="65"/>
  <c r="M20" i="65" s="1"/>
  <c r="L22" i="65"/>
  <c r="M22" i="65" s="1"/>
  <c r="L23" i="65"/>
  <c r="M23" i="65" s="1"/>
  <c r="L24" i="65"/>
  <c r="M24" i="65" s="1"/>
  <c r="L25" i="65"/>
  <c r="M25" i="65" s="1"/>
  <c r="L26" i="65"/>
  <c r="M26" i="65" s="1"/>
  <c r="L27" i="65"/>
  <c r="M27" i="65" s="1"/>
  <c r="L30" i="65"/>
  <c r="M30" i="65" s="1"/>
  <c r="L21" i="65" l="1"/>
  <c r="L15" i="65"/>
  <c r="L9" i="65"/>
  <c r="AD10" i="65"/>
  <c r="AD11" i="65"/>
  <c r="AD12" i="65"/>
  <c r="AD13" i="65"/>
  <c r="AD14" i="65"/>
  <c r="AD15" i="65"/>
  <c r="AD16" i="65"/>
  <c r="AD17" i="65"/>
  <c r="AD18" i="65"/>
  <c r="AD19" i="65"/>
  <c r="AD20" i="65"/>
  <c r="AD27" i="65"/>
  <c r="AD30" i="65"/>
  <c r="R200" i="63"/>
  <c r="R201" i="63"/>
  <c r="R202" i="63"/>
  <c r="R203" i="63"/>
  <c r="R204" i="63"/>
  <c r="R205" i="63"/>
  <c r="R206" i="63"/>
  <c r="R207" i="63"/>
  <c r="R208" i="63"/>
  <c r="R176" i="63"/>
  <c r="R177" i="63"/>
  <c r="R178" i="63"/>
  <c r="R179" i="63"/>
  <c r="R180" i="63"/>
  <c r="R181" i="63"/>
  <c r="R182" i="63"/>
  <c r="R183" i="63"/>
  <c r="R184" i="63"/>
  <c r="R174" i="63" l="1"/>
  <c r="R198" i="63"/>
  <c r="L8" i="65"/>
  <c r="M8" i="65" s="1"/>
  <c r="M9" i="65"/>
  <c r="J15" i="65"/>
  <c r="M15" i="65"/>
  <c r="J21" i="65"/>
  <c r="M21" i="65"/>
  <c r="J9" i="65"/>
  <c r="AD9" i="65"/>
  <c r="AD8" i="65" s="1"/>
  <c r="G124" i="64" l="1"/>
  <c r="G123" i="64"/>
  <c r="G121" i="64"/>
  <c r="G120" i="64"/>
  <c r="G119" i="64"/>
  <c r="G118" i="64"/>
  <c r="G117" i="64"/>
  <c r="G116" i="64"/>
  <c r="G115" i="64"/>
  <c r="G114" i="64"/>
  <c r="G113" i="64"/>
  <c r="G110" i="64"/>
  <c r="G109" i="64"/>
  <c r="G107" i="64"/>
  <c r="G106" i="64"/>
  <c r="G105" i="64"/>
  <c r="G102" i="64"/>
  <c r="G101" i="64"/>
  <c r="G100" i="64"/>
  <c r="G99" i="64"/>
  <c r="G98" i="64"/>
  <c r="G96" i="64"/>
  <c r="G95" i="64"/>
  <c r="G94" i="64"/>
  <c r="G93" i="64"/>
  <c r="G92" i="64"/>
  <c r="G90" i="64"/>
  <c r="G89" i="64"/>
  <c r="G88" i="64"/>
  <c r="G87" i="64"/>
  <c r="G86" i="64"/>
  <c r="G84" i="64"/>
  <c r="G83" i="64"/>
  <c r="G80" i="64"/>
  <c r="G79" i="64"/>
  <c r="G78" i="64"/>
  <c r="G77" i="64"/>
  <c r="AA39" i="42" l="1"/>
  <c r="AC47" i="42"/>
  <c r="Y47" i="42"/>
  <c r="Y108" i="72" l="1"/>
  <c r="Y68" i="42"/>
  <c r="AC108" i="72"/>
  <c r="AC126" i="72" s="1"/>
  <c r="AC68" i="42"/>
  <c r="AA100" i="72"/>
  <c r="AA68" i="42"/>
  <c r="L23" i="42"/>
  <c r="L84" i="72" s="1"/>
  <c r="M23" i="42"/>
  <c r="M84" i="72" s="1"/>
  <c r="N23" i="42"/>
  <c r="N84" i="72" s="1"/>
  <c r="O23" i="42"/>
  <c r="O84" i="72" s="1"/>
  <c r="P23" i="42"/>
  <c r="P84" i="72" s="1"/>
  <c r="Q23" i="42"/>
  <c r="Q84" i="72" s="1"/>
  <c r="R23" i="42"/>
  <c r="R84" i="72" s="1"/>
  <c r="S23" i="42"/>
  <c r="S84" i="72" s="1"/>
  <c r="T23" i="42"/>
  <c r="T84" i="72" s="1"/>
  <c r="U23" i="42"/>
  <c r="U84" i="72" s="1"/>
  <c r="V23" i="42"/>
  <c r="K23" i="42"/>
  <c r="K84" i="72" s="1"/>
  <c r="AK97" i="41"/>
  <c r="AK100" i="72" l="1"/>
  <c r="AA126" i="72"/>
  <c r="R40" i="55"/>
  <c r="V84" i="72"/>
  <c r="W84" i="72" s="1"/>
  <c r="AK108" i="72"/>
  <c r="Y126" i="72"/>
  <c r="AK63" i="42"/>
  <c r="AK62" i="42"/>
  <c r="L123" i="64" s="1"/>
  <c r="AK61" i="42"/>
  <c r="L122" i="64" s="1"/>
  <c r="AK60" i="42"/>
  <c r="AK59" i="42"/>
  <c r="AK58" i="42"/>
  <c r="AK57" i="42"/>
  <c r="L118" i="64" s="1"/>
  <c r="AK56" i="42"/>
  <c r="AK55" i="42"/>
  <c r="AK54" i="42"/>
  <c r="AK53" i="42"/>
  <c r="AK52" i="42"/>
  <c r="AK51" i="42"/>
  <c r="L112" i="64" s="1"/>
  <c r="AK50" i="42"/>
  <c r="L111" i="64" s="1"/>
  <c r="AK49" i="42"/>
  <c r="AK48" i="42"/>
  <c r="L109" i="64" s="1"/>
  <c r="AK46" i="42"/>
  <c r="L107" i="64" s="1"/>
  <c r="AK45" i="42"/>
  <c r="L106" i="64" s="1"/>
  <c r="AK44" i="42"/>
  <c r="AK43" i="42"/>
  <c r="L104" i="64" s="1"/>
  <c r="AK42" i="42"/>
  <c r="L103" i="64" s="1"/>
  <c r="AK41" i="42"/>
  <c r="L102" i="64" s="1"/>
  <c r="AK40" i="42"/>
  <c r="L101" i="64" s="1"/>
  <c r="AK39" i="42"/>
  <c r="L100" i="64" s="1"/>
  <c r="AK38" i="42"/>
  <c r="AK37" i="42"/>
  <c r="L98" i="64" s="1"/>
  <c r="AK36" i="42"/>
  <c r="AK35" i="42"/>
  <c r="L96" i="64" s="1"/>
  <c r="AK34" i="42"/>
  <c r="AK33" i="42"/>
  <c r="L94" i="64" s="1"/>
  <c r="AK32" i="42"/>
  <c r="AK31" i="42"/>
  <c r="AK30" i="42"/>
  <c r="L91" i="64" s="1"/>
  <c r="AK29" i="42"/>
  <c r="L90" i="64" s="1"/>
  <c r="AK28" i="42"/>
  <c r="L89" i="64" s="1"/>
  <c r="AK27" i="42"/>
  <c r="L88" i="64" s="1"/>
  <c r="AK26" i="42"/>
  <c r="AK25" i="42"/>
  <c r="L86" i="64" s="1"/>
  <c r="AK24" i="42"/>
  <c r="AK23" i="42"/>
  <c r="L84" i="64" s="1"/>
  <c r="AK22" i="42"/>
  <c r="AK21" i="42"/>
  <c r="L82" i="64" s="1"/>
  <c r="AK20" i="42"/>
  <c r="AK19" i="42"/>
  <c r="L80" i="64" s="1"/>
  <c r="AK18" i="42"/>
  <c r="L79" i="64" s="1"/>
  <c r="AK17" i="42"/>
  <c r="AK16" i="42"/>
  <c r="L77" i="64" s="1"/>
  <c r="AK15" i="42"/>
  <c r="AK14" i="42"/>
  <c r="AK13" i="42"/>
  <c r="L74" i="64" s="1"/>
  <c r="AK12" i="42"/>
  <c r="L73" i="64" s="1"/>
  <c r="AK11" i="42"/>
  <c r="L72" i="64" s="1"/>
  <c r="AK10" i="42"/>
  <c r="L71" i="64" s="1"/>
  <c r="AK9" i="42"/>
  <c r="L70" i="64" s="1"/>
  <c r="AK8" i="42"/>
  <c r="L69" i="64" s="1"/>
  <c r="AK7" i="42"/>
  <c r="L68" i="64" s="1"/>
  <c r="AK6" i="42"/>
  <c r="W14" i="42"/>
  <c r="AM5" i="62"/>
  <c r="S225" i="63" l="1"/>
  <c r="AS84" i="72"/>
  <c r="AR84" i="72"/>
  <c r="AS108" i="72"/>
  <c r="AR108" i="72"/>
  <c r="AR100" i="72"/>
  <c r="AS100" i="72"/>
  <c r="AK126" i="72"/>
  <c r="L124" i="64"/>
  <c r="F41" i="55"/>
  <c r="L117" i="64"/>
  <c r="L113" i="64"/>
  <c r="L114" i="64"/>
  <c r="L93" i="64"/>
  <c r="L119" i="64"/>
  <c r="L99" i="64"/>
  <c r="AR14" i="42"/>
  <c r="L75" i="64"/>
  <c r="L76" i="64"/>
  <c r="L78" i="64"/>
  <c r="L92" i="64"/>
  <c r="L105" i="64"/>
  <c r="L120" i="64"/>
  <c r="L81" i="64"/>
  <c r="L121" i="64"/>
  <c r="L87" i="64"/>
  <c r="L115" i="64"/>
  <c r="L116" i="64"/>
  <c r="L67" i="64"/>
  <c r="F39" i="55"/>
  <c r="L97" i="64"/>
  <c r="L110" i="64"/>
  <c r="L95" i="64"/>
  <c r="L83" i="64"/>
  <c r="L85" i="64"/>
  <c r="AQ14" i="42"/>
  <c r="AO14" i="62" l="1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AK13" i="62"/>
  <c r="AR13" i="62" s="1"/>
  <c r="AK12" i="62"/>
  <c r="AK14" i="62" s="1"/>
  <c r="AO8" i="62"/>
  <c r="D24" i="55" s="1"/>
  <c r="AM8" i="62"/>
  <c r="E24" i="55" s="1"/>
  <c r="E23" i="55" s="1"/>
  <c r="AJ8" i="62"/>
  <c r="AI8" i="62"/>
  <c r="AH8" i="62"/>
  <c r="AG8" i="62"/>
  <c r="AF8" i="62"/>
  <c r="AE8" i="62"/>
  <c r="AD8" i="62"/>
  <c r="AC8" i="62"/>
  <c r="AB8" i="62"/>
  <c r="AA8" i="62"/>
  <c r="Z8" i="62"/>
  <c r="Y8" i="62"/>
  <c r="AR7" i="62"/>
  <c r="AQ7" i="62"/>
  <c r="AK6" i="62"/>
  <c r="AK5" i="62"/>
  <c r="Z24" i="41"/>
  <c r="Z25" i="72" s="1"/>
  <c r="AA24" i="41"/>
  <c r="AA25" i="72" s="1"/>
  <c r="AB24" i="41"/>
  <c r="AB25" i="72" s="1"/>
  <c r="AC24" i="41"/>
  <c r="AC25" i="72" s="1"/>
  <c r="AD24" i="41"/>
  <c r="AD25" i="72" s="1"/>
  <c r="AE24" i="41"/>
  <c r="AE25" i="72" s="1"/>
  <c r="AF24" i="41"/>
  <c r="AF25" i="72" s="1"/>
  <c r="AG24" i="41"/>
  <c r="AG25" i="72" s="1"/>
  <c r="AH24" i="41"/>
  <c r="AH25" i="72" s="1"/>
  <c r="AI24" i="41"/>
  <c r="AI25" i="72" s="1"/>
  <c r="AJ24" i="41"/>
  <c r="AJ25" i="72" s="1"/>
  <c r="Y24" i="41"/>
  <c r="Y25" i="72" s="1"/>
  <c r="L24" i="41"/>
  <c r="L25" i="72" s="1"/>
  <c r="M24" i="41"/>
  <c r="M25" i="72" s="1"/>
  <c r="N24" i="41"/>
  <c r="N25" i="72" s="1"/>
  <c r="O24" i="41"/>
  <c r="O25" i="72" s="1"/>
  <c r="P24" i="41"/>
  <c r="P25" i="72" s="1"/>
  <c r="Q24" i="41"/>
  <c r="Q25" i="72" s="1"/>
  <c r="R24" i="41"/>
  <c r="R25" i="72" s="1"/>
  <c r="S24" i="41"/>
  <c r="S25" i="72" s="1"/>
  <c r="T24" i="41"/>
  <c r="T25" i="72" s="1"/>
  <c r="U24" i="41"/>
  <c r="U25" i="72" s="1"/>
  <c r="V24" i="41"/>
  <c r="V25" i="72" s="1"/>
  <c r="K24" i="41"/>
  <c r="K25" i="72" s="1"/>
  <c r="Z15" i="41"/>
  <c r="Z16" i="72" s="1"/>
  <c r="AA15" i="41"/>
  <c r="AA16" i="72" s="1"/>
  <c r="AB15" i="41"/>
  <c r="AB16" i="72" s="1"/>
  <c r="AC15" i="41"/>
  <c r="AC16" i="72" s="1"/>
  <c r="AD15" i="41"/>
  <c r="AD16" i="72" s="1"/>
  <c r="AE15" i="41"/>
  <c r="AE16" i="72" s="1"/>
  <c r="AF15" i="41"/>
  <c r="AF16" i="72" s="1"/>
  <c r="AG15" i="41"/>
  <c r="AG16" i="72" s="1"/>
  <c r="AH15" i="41"/>
  <c r="AH16" i="72" s="1"/>
  <c r="AI15" i="41"/>
  <c r="AI16" i="72" s="1"/>
  <c r="AJ15" i="41"/>
  <c r="AJ16" i="72" s="1"/>
  <c r="Y15" i="41"/>
  <c r="Y16" i="72" s="1"/>
  <c r="L15" i="41"/>
  <c r="L16" i="72" s="1"/>
  <c r="M15" i="41"/>
  <c r="M16" i="72" s="1"/>
  <c r="N15" i="41"/>
  <c r="N16" i="72" s="1"/>
  <c r="O15" i="41"/>
  <c r="O16" i="72" s="1"/>
  <c r="P15" i="41"/>
  <c r="P16" i="72" s="1"/>
  <c r="Q15" i="41"/>
  <c r="Q16" i="72" s="1"/>
  <c r="R15" i="41"/>
  <c r="R16" i="72" s="1"/>
  <c r="S15" i="41"/>
  <c r="S16" i="72" s="1"/>
  <c r="T15" i="41"/>
  <c r="T16" i="72" s="1"/>
  <c r="U15" i="41"/>
  <c r="U16" i="72" s="1"/>
  <c r="V15" i="41"/>
  <c r="V16" i="72" s="1"/>
  <c r="K15" i="41"/>
  <c r="K16" i="72" s="1"/>
  <c r="AR161" i="41"/>
  <c r="AQ161" i="41"/>
  <c r="AK160" i="41"/>
  <c r="W160" i="41"/>
  <c r="AK159" i="41"/>
  <c r="W159" i="41"/>
  <c r="W158" i="41"/>
  <c r="AK157" i="41"/>
  <c r="W157" i="41"/>
  <c r="AK156" i="41"/>
  <c r="L54" i="64" s="1"/>
  <c r="W156" i="41"/>
  <c r="AK155" i="41"/>
  <c r="W155" i="41"/>
  <c r="AK154" i="41"/>
  <c r="W154" i="41"/>
  <c r="W153" i="41"/>
  <c r="AK152" i="41"/>
  <c r="W152" i="41"/>
  <c r="W151" i="41"/>
  <c r="AK150" i="41"/>
  <c r="W150" i="41"/>
  <c r="AK149" i="41"/>
  <c r="L47" i="64" s="1"/>
  <c r="W149" i="41"/>
  <c r="AK148" i="41"/>
  <c r="W148" i="41"/>
  <c r="AK147" i="41"/>
  <c r="W147" i="41"/>
  <c r="AK146" i="41"/>
  <c r="W146" i="41"/>
  <c r="AK145" i="41"/>
  <c r="W145" i="41"/>
  <c r="W144" i="41"/>
  <c r="AK143" i="41"/>
  <c r="W143" i="41"/>
  <c r="W142" i="41"/>
  <c r="AK141" i="41"/>
  <c r="W141" i="41"/>
  <c r="AK140" i="41"/>
  <c r="L38" i="64" s="1"/>
  <c r="W140" i="41"/>
  <c r="AK139" i="41"/>
  <c r="W139" i="41"/>
  <c r="AK138" i="41"/>
  <c r="W138" i="41"/>
  <c r="AR138" i="41" s="1"/>
  <c r="AK137" i="41"/>
  <c r="W137" i="41"/>
  <c r="AK136" i="41"/>
  <c r="W136" i="41"/>
  <c r="AK135" i="41"/>
  <c r="W135" i="41"/>
  <c r="AK134" i="41"/>
  <c r="W134" i="41"/>
  <c r="AK133" i="41"/>
  <c r="W133" i="41"/>
  <c r="AO132" i="41"/>
  <c r="J30" i="64" s="1"/>
  <c r="J28" i="64" s="1"/>
  <c r="AM132" i="41"/>
  <c r="K30" i="64" s="1"/>
  <c r="K28" i="64" s="1"/>
  <c r="AJ132" i="41"/>
  <c r="AI132" i="41"/>
  <c r="AH132" i="41"/>
  <c r="AG132" i="41"/>
  <c r="AF132" i="41"/>
  <c r="AE132" i="41"/>
  <c r="AD132" i="41"/>
  <c r="AC132" i="41"/>
  <c r="AB132" i="41"/>
  <c r="AA132" i="41"/>
  <c r="Z132" i="41"/>
  <c r="Z162" i="41" s="1"/>
  <c r="Y132" i="41"/>
  <c r="V132" i="41"/>
  <c r="U132" i="41"/>
  <c r="T132" i="41"/>
  <c r="S132" i="41"/>
  <c r="R132" i="41"/>
  <c r="Q132" i="41"/>
  <c r="P132" i="41"/>
  <c r="O132" i="41"/>
  <c r="N132" i="41"/>
  <c r="M132" i="41"/>
  <c r="L132" i="41"/>
  <c r="L162" i="41" s="1"/>
  <c r="K132" i="41"/>
  <c r="K162" i="41" s="1"/>
  <c r="J132" i="41"/>
  <c r="AR131" i="41"/>
  <c r="AQ131" i="41"/>
  <c r="AK130" i="41"/>
  <c r="W130" i="41"/>
  <c r="W129" i="41"/>
  <c r="AR129" i="41" s="1"/>
  <c r="AK128" i="41"/>
  <c r="W128" i="41"/>
  <c r="AK127" i="41"/>
  <c r="W127" i="41"/>
  <c r="AK126" i="41"/>
  <c r="W126" i="41"/>
  <c r="AK125" i="41"/>
  <c r="W125" i="41"/>
  <c r="AR124" i="41"/>
  <c r="AQ124" i="41"/>
  <c r="AK123" i="41"/>
  <c r="W123" i="41"/>
  <c r="W122" i="41"/>
  <c r="AR122" i="41" s="1"/>
  <c r="AK121" i="41"/>
  <c r="W121" i="41"/>
  <c r="W120" i="41"/>
  <c r="AQ120" i="41" s="1"/>
  <c r="AK119" i="41"/>
  <c r="W119" i="41"/>
  <c r="AK118" i="41"/>
  <c r="W118" i="41"/>
  <c r="AR118" i="41" s="1"/>
  <c r="AK117" i="41"/>
  <c r="W117" i="41"/>
  <c r="AK116" i="41"/>
  <c r="W116" i="41"/>
  <c r="AK115" i="41"/>
  <c r="W115" i="41"/>
  <c r="AK114" i="41"/>
  <c r="W114" i="41"/>
  <c r="AK113" i="41"/>
  <c r="W113" i="41"/>
  <c r="AK112" i="41"/>
  <c r="W112" i="41"/>
  <c r="AK111" i="41"/>
  <c r="W111" i="41"/>
  <c r="AR111" i="41" s="1"/>
  <c r="AO110" i="41"/>
  <c r="AM110" i="41"/>
  <c r="AJ110" i="41"/>
  <c r="AI110" i="41"/>
  <c r="AH110" i="41"/>
  <c r="AG110" i="41"/>
  <c r="AF110" i="41"/>
  <c r="AE110" i="41"/>
  <c r="AD110" i="41"/>
  <c r="AC110" i="41"/>
  <c r="AB110" i="41"/>
  <c r="AA110" i="41"/>
  <c r="Z110" i="41"/>
  <c r="Y110" i="41"/>
  <c r="V110" i="41"/>
  <c r="U110" i="41"/>
  <c r="T110" i="41"/>
  <c r="S110" i="41"/>
  <c r="R110" i="41"/>
  <c r="Q110" i="41"/>
  <c r="P110" i="41"/>
  <c r="O110" i="41"/>
  <c r="N110" i="41"/>
  <c r="M110" i="41"/>
  <c r="L110" i="41"/>
  <c r="K110" i="41"/>
  <c r="J110" i="41"/>
  <c r="AR90" i="41"/>
  <c r="AR81" i="41"/>
  <c r="W59" i="41"/>
  <c r="AR59" i="41" s="1"/>
  <c r="W68" i="41"/>
  <c r="AR68" i="41" s="1"/>
  <c r="AR46" i="41"/>
  <c r="AR37" i="41"/>
  <c r="D24" i="48" l="1"/>
  <c r="D23" i="55"/>
  <c r="D23" i="48" s="1"/>
  <c r="AK16" i="72"/>
  <c r="AK25" i="72"/>
  <c r="W25" i="72"/>
  <c r="W16" i="72"/>
  <c r="AR126" i="41"/>
  <c r="AA162" i="41"/>
  <c r="AR141" i="41"/>
  <c r="AR135" i="41"/>
  <c r="AR116" i="41"/>
  <c r="W15" i="41"/>
  <c r="AR115" i="41"/>
  <c r="AB162" i="41"/>
  <c r="M162" i="41"/>
  <c r="AC162" i="41"/>
  <c r="AK15" i="41"/>
  <c r="L16" i="64" s="1"/>
  <c r="W24" i="41"/>
  <c r="AR137" i="41"/>
  <c r="AK24" i="41"/>
  <c r="L25" i="64" s="1"/>
  <c r="AQ156" i="41"/>
  <c r="AR149" i="41"/>
  <c r="AR127" i="41"/>
  <c r="O162" i="41"/>
  <c r="AE162" i="41"/>
  <c r="AQ143" i="41"/>
  <c r="AR151" i="41"/>
  <c r="AQ148" i="41"/>
  <c r="AK132" i="41"/>
  <c r="AR142" i="41"/>
  <c r="AR158" i="41"/>
  <c r="AR152" i="41"/>
  <c r="Q162" i="41"/>
  <c r="AG162" i="41"/>
  <c r="AR153" i="41"/>
  <c r="AR146" i="41"/>
  <c r="AR130" i="41"/>
  <c r="AR112" i="41"/>
  <c r="AR119" i="41"/>
  <c r="N162" i="41"/>
  <c r="AD162" i="41"/>
  <c r="AR143" i="41"/>
  <c r="R162" i="41"/>
  <c r="AH162" i="41"/>
  <c r="S162" i="41"/>
  <c r="AI162" i="41"/>
  <c r="AR145" i="41"/>
  <c r="T162" i="41"/>
  <c r="AJ162" i="41"/>
  <c r="AR120" i="41"/>
  <c r="AQ139" i="41"/>
  <c r="AR154" i="41"/>
  <c r="J162" i="41"/>
  <c r="AR150" i="41"/>
  <c r="AR147" i="41"/>
  <c r="AK110" i="41"/>
  <c r="AR114" i="41"/>
  <c r="P162" i="41"/>
  <c r="AF162" i="41"/>
  <c r="AR136" i="41"/>
  <c r="AQ150" i="41"/>
  <c r="AR157" i="41"/>
  <c r="AR128" i="41"/>
  <c r="AQ158" i="41"/>
  <c r="AQ116" i="41"/>
  <c r="AR123" i="41"/>
  <c r="U162" i="41"/>
  <c r="V162" i="41"/>
  <c r="AO162" i="41"/>
  <c r="AR134" i="41"/>
  <c r="Y162" i="41"/>
  <c r="AR139" i="41"/>
  <c r="AQ154" i="41"/>
  <c r="AR160" i="41"/>
  <c r="AK8" i="62"/>
  <c r="F24" i="55" s="1"/>
  <c r="F23" i="55" s="1"/>
  <c r="AR14" i="62"/>
  <c r="AQ14" i="62"/>
  <c r="AQ12" i="62"/>
  <c r="AR12" i="62"/>
  <c r="AQ13" i="62"/>
  <c r="AQ113" i="41"/>
  <c r="AR144" i="41"/>
  <c r="AQ144" i="41"/>
  <c r="AR125" i="41"/>
  <c r="AQ125" i="41"/>
  <c r="W132" i="41"/>
  <c r="AR133" i="41"/>
  <c r="AQ133" i="41"/>
  <c r="AQ151" i="41"/>
  <c r="AR113" i="41"/>
  <c r="AR140" i="41"/>
  <c r="AQ140" i="41"/>
  <c r="AR159" i="41"/>
  <c r="AQ159" i="41"/>
  <c r="AQ147" i="41"/>
  <c r="AR121" i="41"/>
  <c r="AQ121" i="41"/>
  <c r="AQ128" i="41"/>
  <c r="W110" i="41"/>
  <c r="AQ136" i="41"/>
  <c r="AR155" i="41"/>
  <c r="AQ155" i="41"/>
  <c r="AR117" i="41"/>
  <c r="AQ117" i="41"/>
  <c r="AM162" i="41"/>
  <c r="AQ129" i="41"/>
  <c r="AQ114" i="41"/>
  <c r="AQ137" i="41"/>
  <c r="AR148" i="41"/>
  <c r="AQ152" i="41"/>
  <c r="AQ111" i="41"/>
  <c r="AQ118" i="41"/>
  <c r="AQ122" i="41"/>
  <c r="AQ126" i="41"/>
  <c r="AQ134" i="41"/>
  <c r="AQ141" i="41"/>
  <c r="AQ145" i="41"/>
  <c r="AQ130" i="41"/>
  <c r="AR156" i="41"/>
  <c r="AQ160" i="41"/>
  <c r="AQ115" i="41"/>
  <c r="AQ138" i="41"/>
  <c r="AQ149" i="41"/>
  <c r="AQ153" i="41"/>
  <c r="AQ142" i="41"/>
  <c r="AQ112" i="41"/>
  <c r="AQ119" i="41"/>
  <c r="AQ123" i="41"/>
  <c r="AQ127" i="41"/>
  <c r="AQ135" i="41"/>
  <c r="AQ146" i="41"/>
  <c r="AQ157" i="41"/>
  <c r="AQ90" i="41"/>
  <c r="AQ81" i="41"/>
  <c r="AQ59" i="41"/>
  <c r="AQ68" i="41"/>
  <c r="AQ37" i="41"/>
  <c r="AQ46" i="41"/>
  <c r="AS16" i="72" l="1"/>
  <c r="AR16" i="72"/>
  <c r="AS25" i="72"/>
  <c r="AR25" i="72"/>
  <c r="AR24" i="41"/>
  <c r="AR15" i="41"/>
  <c r="AQ24" i="41"/>
  <c r="AK162" i="41"/>
  <c r="AQ15" i="41"/>
  <c r="AQ132" i="41"/>
  <c r="W162" i="41"/>
  <c r="AR132" i="41"/>
  <c r="AR110" i="41"/>
  <c r="AQ110" i="41"/>
  <c r="AR162" i="41" l="1"/>
  <c r="AQ162" i="41"/>
  <c r="AO25" i="41" l="1"/>
  <c r="AO23" i="41"/>
  <c r="AO22" i="41"/>
  <c r="AO21" i="41"/>
  <c r="AO20" i="41"/>
  <c r="AO19" i="41"/>
  <c r="AO20" i="72" s="1"/>
  <c r="AO18" i="41"/>
  <c r="AO19" i="72" s="1"/>
  <c r="AO17" i="41"/>
  <c r="AO16" i="41"/>
  <c r="AO14" i="41"/>
  <c r="AO13" i="41"/>
  <c r="AO12" i="41"/>
  <c r="AO11" i="41"/>
  <c r="AO10" i="41"/>
  <c r="AO9" i="41"/>
  <c r="AO8" i="41"/>
  <c r="AO7" i="41"/>
  <c r="AO6" i="41"/>
  <c r="AM25" i="41"/>
  <c r="AM23" i="41"/>
  <c r="AM22" i="41"/>
  <c r="AM21" i="41"/>
  <c r="AM20" i="41"/>
  <c r="AM19" i="41"/>
  <c r="AM18" i="41"/>
  <c r="AM19" i="72" s="1"/>
  <c r="AM17" i="41"/>
  <c r="AM16" i="41"/>
  <c r="AM14" i="41"/>
  <c r="AM13" i="41"/>
  <c r="AM12" i="41"/>
  <c r="AM11" i="41"/>
  <c r="AM10" i="41"/>
  <c r="AM9" i="41"/>
  <c r="AM8" i="41"/>
  <c r="AM7" i="41"/>
  <c r="AM6" i="41"/>
  <c r="AM7" i="72" s="1"/>
  <c r="AM27" i="41"/>
  <c r="AK80" i="41"/>
  <c r="L37" i="64" s="1"/>
  <c r="AK82" i="41"/>
  <c r="L39" i="64" s="1"/>
  <c r="AK83" i="41"/>
  <c r="L40" i="64" s="1"/>
  <c r="AK84" i="41"/>
  <c r="AK85" i="41"/>
  <c r="L42" i="64" s="1"/>
  <c r="AK86" i="41"/>
  <c r="L43" i="64" s="1"/>
  <c r="AK87" i="41"/>
  <c r="L44" i="64" s="1"/>
  <c r="AK88" i="41"/>
  <c r="AK89" i="41"/>
  <c r="L46" i="64" s="1"/>
  <c r="AK91" i="41"/>
  <c r="L48" i="64" s="1"/>
  <c r="AK92" i="41"/>
  <c r="L49" i="64" s="1"/>
  <c r="AK93" i="41"/>
  <c r="L50" i="64" s="1"/>
  <c r="AK94" i="41"/>
  <c r="L51" i="64" s="1"/>
  <c r="AK95" i="41"/>
  <c r="L52" i="64" s="1"/>
  <c r="AK96" i="41"/>
  <c r="L53" i="64" s="1"/>
  <c r="AA18" i="41"/>
  <c r="AA19" i="72" s="1"/>
  <c r="AB18" i="41"/>
  <c r="AB19" i="72" s="1"/>
  <c r="AC18" i="41"/>
  <c r="AC19" i="72" s="1"/>
  <c r="AD18" i="41"/>
  <c r="AD19" i="72" s="1"/>
  <c r="AE18" i="41"/>
  <c r="AE19" i="72" s="1"/>
  <c r="AF18" i="41"/>
  <c r="AF19" i="72" s="1"/>
  <c r="Y18" i="41"/>
  <c r="Y19" i="72" s="1"/>
  <c r="Z17" i="41"/>
  <c r="Z18" i="72" s="1"/>
  <c r="AA17" i="41"/>
  <c r="AA18" i="72" s="1"/>
  <c r="AD17" i="41"/>
  <c r="AD18" i="72" s="1"/>
  <c r="AJ25" i="41"/>
  <c r="AJ26" i="72" s="1"/>
  <c r="AI25" i="41"/>
  <c r="AI26" i="72" s="1"/>
  <c r="AH25" i="41"/>
  <c r="AH26" i="72" s="1"/>
  <c r="AG25" i="41"/>
  <c r="AG26" i="72" s="1"/>
  <c r="AF25" i="41"/>
  <c r="AF26" i="72" s="1"/>
  <c r="AE25" i="41"/>
  <c r="AE26" i="72" s="1"/>
  <c r="AD25" i="41"/>
  <c r="AD26" i="72" s="1"/>
  <c r="AC25" i="41"/>
  <c r="AC26" i="72" s="1"/>
  <c r="AB25" i="41"/>
  <c r="AB26" i="72" s="1"/>
  <c r="AA25" i="41"/>
  <c r="AA26" i="72" s="1"/>
  <c r="Z25" i="41"/>
  <c r="Z26" i="72" s="1"/>
  <c r="Y25" i="41"/>
  <c r="Y26" i="72" s="1"/>
  <c r="AJ23" i="41"/>
  <c r="AJ24" i="72" s="1"/>
  <c r="AI23" i="41"/>
  <c r="AI24" i="72" s="1"/>
  <c r="AH23" i="41"/>
  <c r="AH24" i="72" s="1"/>
  <c r="AG23" i="41"/>
  <c r="AG24" i="72" s="1"/>
  <c r="AF23" i="41"/>
  <c r="AF24" i="72" s="1"/>
  <c r="AE23" i="41"/>
  <c r="AE24" i="72" s="1"/>
  <c r="AD23" i="41"/>
  <c r="AD24" i="72" s="1"/>
  <c r="AC23" i="41"/>
  <c r="AC24" i="72" s="1"/>
  <c r="AB23" i="41"/>
  <c r="AB24" i="72" s="1"/>
  <c r="AA23" i="41"/>
  <c r="AA24" i="72" s="1"/>
  <c r="Z23" i="41"/>
  <c r="Z24" i="72" s="1"/>
  <c r="Y23" i="41"/>
  <c r="Y24" i="72" s="1"/>
  <c r="AJ22" i="41"/>
  <c r="AJ23" i="72" s="1"/>
  <c r="AI22" i="41"/>
  <c r="AI23" i="72" s="1"/>
  <c r="AH22" i="41"/>
  <c r="AH23" i="72" s="1"/>
  <c r="AG22" i="41"/>
  <c r="AG23" i="72" s="1"/>
  <c r="AF22" i="41"/>
  <c r="AF23" i="72" s="1"/>
  <c r="AE22" i="41"/>
  <c r="AE23" i="72" s="1"/>
  <c r="AD22" i="41"/>
  <c r="AD23" i="72" s="1"/>
  <c r="AC22" i="41"/>
  <c r="AC23" i="72" s="1"/>
  <c r="AB22" i="41"/>
  <c r="AB23" i="72" s="1"/>
  <c r="AA22" i="41"/>
  <c r="AA23" i="72" s="1"/>
  <c r="Z22" i="41"/>
  <c r="Z23" i="72" s="1"/>
  <c r="Y22" i="41"/>
  <c r="Y23" i="72" s="1"/>
  <c r="AJ21" i="41"/>
  <c r="AJ22" i="72" s="1"/>
  <c r="AI21" i="41"/>
  <c r="AI22" i="72" s="1"/>
  <c r="AH21" i="41"/>
  <c r="AH22" i="72" s="1"/>
  <c r="AG21" i="41"/>
  <c r="AG22" i="72" s="1"/>
  <c r="AF21" i="41"/>
  <c r="AF22" i="72" s="1"/>
  <c r="AE21" i="41"/>
  <c r="AE22" i="72" s="1"/>
  <c r="AD21" i="41"/>
  <c r="AD22" i="72" s="1"/>
  <c r="AC21" i="41"/>
  <c r="AC22" i="72" s="1"/>
  <c r="AB21" i="41"/>
  <c r="AB22" i="72" s="1"/>
  <c r="AA21" i="41"/>
  <c r="AA22" i="72" s="1"/>
  <c r="Z21" i="41"/>
  <c r="Z22" i="72" s="1"/>
  <c r="Y21" i="41"/>
  <c r="Y22" i="72" s="1"/>
  <c r="AJ20" i="41"/>
  <c r="AJ21" i="72" s="1"/>
  <c r="AI20" i="41"/>
  <c r="AI21" i="72" s="1"/>
  <c r="AH20" i="41"/>
  <c r="AH21" i="72" s="1"/>
  <c r="AG20" i="41"/>
  <c r="AG21" i="72" s="1"/>
  <c r="AF20" i="41"/>
  <c r="AF21" i="72" s="1"/>
  <c r="AE20" i="41"/>
  <c r="AE21" i="72" s="1"/>
  <c r="AD20" i="41"/>
  <c r="AD21" i="72" s="1"/>
  <c r="AC20" i="41"/>
  <c r="AC21" i="72" s="1"/>
  <c r="AB20" i="41"/>
  <c r="AB21" i="72" s="1"/>
  <c r="AA20" i="41"/>
  <c r="AA21" i="72" s="1"/>
  <c r="Z20" i="41"/>
  <c r="Z21" i="72" s="1"/>
  <c r="Y20" i="41"/>
  <c r="Y21" i="72" s="1"/>
  <c r="AJ19" i="41"/>
  <c r="AJ20" i="72" s="1"/>
  <c r="AI19" i="41"/>
  <c r="AI20" i="72" s="1"/>
  <c r="AH19" i="41"/>
  <c r="AH20" i="72" s="1"/>
  <c r="AG19" i="41"/>
  <c r="AG20" i="72" s="1"/>
  <c r="AF19" i="41"/>
  <c r="AF20" i="72" s="1"/>
  <c r="AE19" i="41"/>
  <c r="AE20" i="72" s="1"/>
  <c r="AD19" i="41"/>
  <c r="AD20" i="72" s="1"/>
  <c r="AC19" i="41"/>
  <c r="AC20" i="72" s="1"/>
  <c r="AB19" i="41"/>
  <c r="AB20" i="72" s="1"/>
  <c r="AA19" i="41"/>
  <c r="AA20" i="72" s="1"/>
  <c r="Z19" i="41"/>
  <c r="Z20" i="72" s="1"/>
  <c r="Y19" i="41"/>
  <c r="Y20" i="72" s="1"/>
  <c r="AJ18" i="41"/>
  <c r="AJ19" i="72" s="1"/>
  <c r="AI18" i="41"/>
  <c r="AI19" i="72" s="1"/>
  <c r="AH18" i="41"/>
  <c r="AH19" i="72" s="1"/>
  <c r="AG18" i="41"/>
  <c r="AG19" i="72" s="1"/>
  <c r="Z18" i="41"/>
  <c r="Z19" i="72" s="1"/>
  <c r="AJ17" i="41"/>
  <c r="AJ18" i="72" s="1"/>
  <c r="AI17" i="41"/>
  <c r="AI18" i="72" s="1"/>
  <c r="AH17" i="41"/>
  <c r="AH18" i="72" s="1"/>
  <c r="AG17" i="41"/>
  <c r="AG18" i="72" s="1"/>
  <c r="AF17" i="41"/>
  <c r="AF18" i="72" s="1"/>
  <c r="AE17" i="41"/>
  <c r="AE18" i="72" s="1"/>
  <c r="AC17" i="41"/>
  <c r="AC18" i="72" s="1"/>
  <c r="AB17" i="41"/>
  <c r="AB18" i="72" s="1"/>
  <c r="Y17" i="41"/>
  <c r="Y18" i="72" s="1"/>
  <c r="AJ16" i="41"/>
  <c r="AJ17" i="72" s="1"/>
  <c r="AI16" i="41"/>
  <c r="AI17" i="72" s="1"/>
  <c r="AH16" i="41"/>
  <c r="AH17" i="72" s="1"/>
  <c r="AK17" i="72" s="1"/>
  <c r="AH7" i="41"/>
  <c r="AH8" i="72" s="1"/>
  <c r="AI7" i="41"/>
  <c r="AI8" i="72" s="1"/>
  <c r="AJ7" i="41"/>
  <c r="AJ8" i="72" s="1"/>
  <c r="Z8" i="41"/>
  <c r="Z9" i="72" s="1"/>
  <c r="AA8" i="41"/>
  <c r="AA9" i="72" s="1"/>
  <c r="AB8" i="41"/>
  <c r="AB9" i="72" s="1"/>
  <c r="AC8" i="41"/>
  <c r="AC9" i="72" s="1"/>
  <c r="AD8" i="41"/>
  <c r="AD9" i="72" s="1"/>
  <c r="AE8" i="41"/>
  <c r="AE9" i="72" s="1"/>
  <c r="AF8" i="41"/>
  <c r="AF9" i="72" s="1"/>
  <c r="AG8" i="41"/>
  <c r="AG9" i="72" s="1"/>
  <c r="AH8" i="41"/>
  <c r="AH9" i="72" s="1"/>
  <c r="AI8" i="41"/>
  <c r="AI9" i="72" s="1"/>
  <c r="AJ8" i="41"/>
  <c r="AJ9" i="72" s="1"/>
  <c r="Z9" i="41"/>
  <c r="Z10" i="72" s="1"/>
  <c r="AA9" i="41"/>
  <c r="AA10" i="72" s="1"/>
  <c r="AB9" i="41"/>
  <c r="AB10" i="72" s="1"/>
  <c r="AC9" i="41"/>
  <c r="AC10" i="72" s="1"/>
  <c r="AD9" i="41"/>
  <c r="AD10" i="72" s="1"/>
  <c r="AE9" i="41"/>
  <c r="AE10" i="72" s="1"/>
  <c r="AF9" i="41"/>
  <c r="AF10" i="72" s="1"/>
  <c r="AG9" i="41"/>
  <c r="AG10" i="72" s="1"/>
  <c r="AH9" i="41"/>
  <c r="AH10" i="72" s="1"/>
  <c r="AI9" i="41"/>
  <c r="AI10" i="72" s="1"/>
  <c r="AJ9" i="41"/>
  <c r="AJ10" i="72" s="1"/>
  <c r="Z10" i="41"/>
  <c r="Z11" i="72" s="1"/>
  <c r="AA10" i="41"/>
  <c r="AA11" i="72" s="1"/>
  <c r="AB10" i="41"/>
  <c r="AB11" i="72" s="1"/>
  <c r="AC10" i="41"/>
  <c r="AC11" i="72" s="1"/>
  <c r="AD10" i="41"/>
  <c r="AD11" i="72" s="1"/>
  <c r="AE10" i="41"/>
  <c r="AE11" i="72" s="1"/>
  <c r="AF10" i="41"/>
  <c r="AF11" i="72" s="1"/>
  <c r="AG10" i="41"/>
  <c r="AG11" i="72" s="1"/>
  <c r="AH10" i="41"/>
  <c r="AH11" i="72" s="1"/>
  <c r="AI10" i="41"/>
  <c r="AI11" i="72" s="1"/>
  <c r="AJ10" i="41"/>
  <c r="AJ11" i="72" s="1"/>
  <c r="AH11" i="41"/>
  <c r="AH12" i="72" s="1"/>
  <c r="AI11" i="41"/>
  <c r="AI12" i="72" s="1"/>
  <c r="AJ11" i="41"/>
  <c r="AJ12" i="72" s="1"/>
  <c r="Z12" i="41"/>
  <c r="Z13" i="72" s="1"/>
  <c r="AA12" i="41"/>
  <c r="AA13" i="72" s="1"/>
  <c r="AB12" i="41"/>
  <c r="AB13" i="72" s="1"/>
  <c r="AC12" i="41"/>
  <c r="AC13" i="72" s="1"/>
  <c r="AD12" i="41"/>
  <c r="AD13" i="72" s="1"/>
  <c r="AE12" i="41"/>
  <c r="AE13" i="72" s="1"/>
  <c r="AF12" i="41"/>
  <c r="AF13" i="72" s="1"/>
  <c r="AG12" i="41"/>
  <c r="AG13" i="72" s="1"/>
  <c r="AH12" i="41"/>
  <c r="AH13" i="72" s="1"/>
  <c r="AI12" i="41"/>
  <c r="AI13" i="72" s="1"/>
  <c r="AJ12" i="41"/>
  <c r="AJ13" i="72" s="1"/>
  <c r="AH13" i="41"/>
  <c r="AH14" i="72" s="1"/>
  <c r="AI13" i="41"/>
  <c r="AI14" i="72" s="1"/>
  <c r="AJ13" i="41"/>
  <c r="AJ14" i="72" s="1"/>
  <c r="Z14" i="41"/>
  <c r="Z15" i="72" s="1"/>
  <c r="AA14" i="41"/>
  <c r="AA15" i="72" s="1"/>
  <c r="AB14" i="41"/>
  <c r="AB15" i="72" s="1"/>
  <c r="AC14" i="41"/>
  <c r="AC15" i="72" s="1"/>
  <c r="AD14" i="41"/>
  <c r="AD15" i="72" s="1"/>
  <c r="AE14" i="41"/>
  <c r="AE15" i="72" s="1"/>
  <c r="AF14" i="41"/>
  <c r="AF15" i="72" s="1"/>
  <c r="AG14" i="41"/>
  <c r="AG15" i="72" s="1"/>
  <c r="AH14" i="41"/>
  <c r="AH15" i="72" s="1"/>
  <c r="AI14" i="41"/>
  <c r="AI15" i="72" s="1"/>
  <c r="AJ14" i="41"/>
  <c r="AJ15" i="72" s="1"/>
  <c r="Y8" i="41"/>
  <c r="Y9" i="41"/>
  <c r="Y10" i="72" s="1"/>
  <c r="Y10" i="41"/>
  <c r="Y11" i="72" s="1"/>
  <c r="Y12" i="41"/>
  <c r="Y13" i="72" s="1"/>
  <c r="Y14" i="41"/>
  <c r="Y15" i="72" s="1"/>
  <c r="AC6" i="72" l="1"/>
  <c r="AC58" i="72" s="1"/>
  <c r="AC127" i="72" s="1"/>
  <c r="AK26" i="72"/>
  <c r="AA6" i="72"/>
  <c r="AA58" i="72" s="1"/>
  <c r="AA127" i="72" s="1"/>
  <c r="AK23" i="72"/>
  <c r="K15" i="64"/>
  <c r="AM15" i="72"/>
  <c r="J11" i="64"/>
  <c r="AO11" i="72"/>
  <c r="K17" i="64"/>
  <c r="AM17" i="72"/>
  <c r="J12" i="64"/>
  <c r="AO12" i="72"/>
  <c r="AK22" i="72"/>
  <c r="E30" i="55"/>
  <c r="AM18" i="72"/>
  <c r="J13" i="64"/>
  <c r="AO13" i="72"/>
  <c r="J14" i="64"/>
  <c r="AO14" i="72"/>
  <c r="AK15" i="72"/>
  <c r="AK21" i="72"/>
  <c r="E20" i="55"/>
  <c r="AM20" i="72"/>
  <c r="J15" i="64"/>
  <c r="AO15" i="72"/>
  <c r="K21" i="64"/>
  <c r="AM21" i="72"/>
  <c r="J17" i="64"/>
  <c r="AO17" i="72"/>
  <c r="AG6" i="72"/>
  <c r="AG58" i="72" s="1"/>
  <c r="AG127" i="72" s="1"/>
  <c r="AK18" i="72"/>
  <c r="AK20" i="72"/>
  <c r="K22" i="64"/>
  <c r="AM22" i="72"/>
  <c r="D30" i="55"/>
  <c r="AO18" i="72"/>
  <c r="AF6" i="72"/>
  <c r="AF58" i="72" s="1"/>
  <c r="AF127" i="72" s="1"/>
  <c r="K8" i="64"/>
  <c r="AM8" i="72"/>
  <c r="K23" i="64"/>
  <c r="AM23" i="72"/>
  <c r="AK13" i="72"/>
  <c r="AK11" i="72"/>
  <c r="AK12" i="72"/>
  <c r="AE6" i="72"/>
  <c r="AE58" i="72" s="1"/>
  <c r="AE127" i="72" s="1"/>
  <c r="K9" i="64"/>
  <c r="AM9" i="72"/>
  <c r="K24" i="64"/>
  <c r="AM24" i="72"/>
  <c r="AK10" i="72"/>
  <c r="Y9" i="72"/>
  <c r="Y6" i="72" s="1"/>
  <c r="Y58" i="72" s="1"/>
  <c r="Y127" i="72" s="1"/>
  <c r="Y5" i="41"/>
  <c r="Y106" i="41" s="1"/>
  <c r="AD6" i="72"/>
  <c r="AD58" i="72" s="1"/>
  <c r="AD127" i="72" s="1"/>
  <c r="K10" i="64"/>
  <c r="AM10" i="72"/>
  <c r="K26" i="64"/>
  <c r="AM26" i="72"/>
  <c r="J21" i="64"/>
  <c r="AO21" i="72"/>
  <c r="K11" i="64"/>
  <c r="AM11" i="72"/>
  <c r="J7" i="64"/>
  <c r="AO7" i="72"/>
  <c r="J22" i="64"/>
  <c r="AO22" i="72"/>
  <c r="AB6" i="72"/>
  <c r="AB58" i="72" s="1"/>
  <c r="AB127" i="72" s="1"/>
  <c r="AK19" i="72"/>
  <c r="K12" i="64"/>
  <c r="AM12" i="72"/>
  <c r="J8" i="64"/>
  <c r="AO8" i="72"/>
  <c r="J23" i="64"/>
  <c r="AO23" i="72"/>
  <c r="AK24" i="72"/>
  <c r="K13" i="64"/>
  <c r="AM13" i="72"/>
  <c r="J9" i="64"/>
  <c r="AO9" i="72"/>
  <c r="J24" i="64"/>
  <c r="AO24" i="72"/>
  <c r="Z6" i="72"/>
  <c r="Z58" i="72" s="1"/>
  <c r="Z127" i="72" s="1"/>
  <c r="K14" i="64"/>
  <c r="AM14" i="72"/>
  <c r="J10" i="64"/>
  <c r="AO10" i="72"/>
  <c r="J26" i="64"/>
  <c r="AO26" i="72"/>
  <c r="AK14" i="72"/>
  <c r="AK8" i="72"/>
  <c r="L41" i="64"/>
  <c r="AF5" i="41"/>
  <c r="AE5" i="41"/>
  <c r="AB5" i="41"/>
  <c r="Z5" i="41"/>
  <c r="K7" i="64"/>
  <c r="E22" i="55"/>
  <c r="J18" i="64"/>
  <c r="J19" i="64"/>
  <c r="D21" i="55"/>
  <c r="D21" i="48" s="1"/>
  <c r="J20" i="64"/>
  <c r="D20" i="55"/>
  <c r="L56" i="64"/>
  <c r="K20" i="64"/>
  <c r="K18" i="64"/>
  <c r="AH6" i="41"/>
  <c r="AH27" i="41"/>
  <c r="AD5" i="41"/>
  <c r="AC5" i="41"/>
  <c r="AA5" i="41"/>
  <c r="AJ6" i="41"/>
  <c r="AJ27" i="41"/>
  <c r="L45" i="64"/>
  <c r="F29" i="55"/>
  <c r="K19" i="64"/>
  <c r="E21" i="55"/>
  <c r="AI6" i="41"/>
  <c r="AI7" i="72" s="1"/>
  <c r="AI6" i="72" s="1"/>
  <c r="AI58" i="72" s="1"/>
  <c r="AI127" i="72" s="1"/>
  <c r="AI27" i="41"/>
  <c r="AG5" i="41"/>
  <c r="D22" i="55"/>
  <c r="AK14" i="41"/>
  <c r="L15" i="64" s="1"/>
  <c r="AK8" i="41"/>
  <c r="L9" i="64" s="1"/>
  <c r="AK98" i="41"/>
  <c r="AK22" i="41"/>
  <c r="L23" i="64" s="1"/>
  <c r="AK21" i="41"/>
  <c r="L22" i="64" s="1"/>
  <c r="AK23" i="41"/>
  <c r="L24" i="64" s="1"/>
  <c r="AM5" i="41"/>
  <c r="AK25" i="41"/>
  <c r="L26" i="64" s="1"/>
  <c r="AK20" i="41"/>
  <c r="L21" i="64" s="1"/>
  <c r="AK19" i="41"/>
  <c r="AK16" i="41"/>
  <c r="L17" i="64" s="1"/>
  <c r="AK18" i="41"/>
  <c r="AK17" i="41"/>
  <c r="AK9" i="41"/>
  <c r="L10" i="64" s="1"/>
  <c r="AK10" i="41"/>
  <c r="L11" i="64" s="1"/>
  <c r="AK13" i="41"/>
  <c r="L14" i="64" s="1"/>
  <c r="AK12" i="41"/>
  <c r="L13" i="64" s="1"/>
  <c r="AK7" i="41"/>
  <c r="L8" i="64" s="1"/>
  <c r="AK11" i="41"/>
  <c r="L12" i="64" s="1"/>
  <c r="T16" i="39"/>
  <c r="AK79" i="41"/>
  <c r="L36" i="64" s="1"/>
  <c r="AK78" i="41"/>
  <c r="L35" i="64" s="1"/>
  <c r="AK77" i="41"/>
  <c r="L34" i="64" s="1"/>
  <c r="AK76" i="41"/>
  <c r="L33" i="64" s="1"/>
  <c r="AK75" i="41"/>
  <c r="L32" i="64" s="1"/>
  <c r="AK74" i="41"/>
  <c r="L31" i="64" s="1"/>
  <c r="AK73" i="41"/>
  <c r="L30" i="64" s="1"/>
  <c r="AK72" i="41"/>
  <c r="AK70" i="41"/>
  <c r="AQ70" i="41" s="1"/>
  <c r="AK69" i="41"/>
  <c r="AK67" i="41"/>
  <c r="AK66" i="41"/>
  <c r="AK65" i="41"/>
  <c r="AK64" i="41"/>
  <c r="AK63" i="41"/>
  <c r="AK62" i="41"/>
  <c r="AK60" i="41"/>
  <c r="AK58" i="41"/>
  <c r="AK57" i="41"/>
  <c r="AK56" i="41"/>
  <c r="AK55" i="41"/>
  <c r="AK54" i="41"/>
  <c r="AK53" i="41"/>
  <c r="AK52" i="41"/>
  <c r="AK51" i="41"/>
  <c r="AK50" i="41"/>
  <c r="AO49" i="41"/>
  <c r="AM49" i="41"/>
  <c r="AJ49" i="41"/>
  <c r="AI49" i="41"/>
  <c r="AH49" i="41"/>
  <c r="AG49" i="41"/>
  <c r="AF49" i="41"/>
  <c r="AE49" i="41"/>
  <c r="AD49" i="41"/>
  <c r="AC49" i="41"/>
  <c r="AB49" i="41"/>
  <c r="AA49" i="41"/>
  <c r="Z49" i="41"/>
  <c r="Y49" i="41"/>
  <c r="AK48" i="41"/>
  <c r="AR48" i="41" s="1"/>
  <c r="AK47" i="41"/>
  <c r="AK45" i="41"/>
  <c r="AK44" i="41"/>
  <c r="AK43" i="41"/>
  <c r="AK42" i="41"/>
  <c r="AK41" i="41"/>
  <c r="AK40" i="41"/>
  <c r="AK38" i="41"/>
  <c r="AK36" i="41"/>
  <c r="AK35" i="41"/>
  <c r="AK34" i="41"/>
  <c r="AK33" i="41"/>
  <c r="AK32" i="41"/>
  <c r="AK31" i="41"/>
  <c r="AK30" i="41"/>
  <c r="AK29" i="41"/>
  <c r="AK28" i="41"/>
  <c r="AO27" i="41"/>
  <c r="AR26" i="41"/>
  <c r="AQ26" i="41"/>
  <c r="AQ27" i="72" s="1"/>
  <c r="AQ6" i="72" s="1"/>
  <c r="AQ58" i="72" s="1"/>
  <c r="AQ127" i="72" s="1"/>
  <c r="AO5" i="41"/>
  <c r="J6" i="64" l="1"/>
  <c r="AM6" i="72"/>
  <c r="AM58" i="72" s="1"/>
  <c r="AM127" i="72" s="1"/>
  <c r="AK9" i="72"/>
  <c r="AS12" i="72"/>
  <c r="AR12" i="72"/>
  <c r="AO6" i="72"/>
  <c r="AO58" i="72" s="1"/>
  <c r="AO127" i="72" s="1"/>
  <c r="AI5" i="41"/>
  <c r="AK71" i="41"/>
  <c r="S224" i="63"/>
  <c r="E15" i="55"/>
  <c r="E14" i="55" s="1"/>
  <c r="D20" i="48"/>
  <c r="D15" i="55"/>
  <c r="AJ5" i="41"/>
  <c r="AJ106" i="41" s="1"/>
  <c r="AJ7" i="72"/>
  <c r="AJ6" i="72" s="1"/>
  <c r="AJ58" i="72" s="1"/>
  <c r="AJ127" i="72" s="1"/>
  <c r="AH5" i="41"/>
  <c r="AH106" i="41" s="1"/>
  <c r="AH7" i="72"/>
  <c r="F30" i="55"/>
  <c r="J58" i="64"/>
  <c r="J127" i="64" s="1"/>
  <c r="K6" i="64"/>
  <c r="K58" i="64" s="1"/>
  <c r="K127" i="64" s="1"/>
  <c r="AK6" i="41"/>
  <c r="L18" i="64"/>
  <c r="D30" i="48"/>
  <c r="D27" i="55"/>
  <c r="L29" i="64"/>
  <c r="F28" i="55"/>
  <c r="L55" i="64"/>
  <c r="L20" i="64"/>
  <c r="F20" i="55"/>
  <c r="D22" i="48"/>
  <c r="L19" i="64"/>
  <c r="F21" i="55"/>
  <c r="F51" i="55"/>
  <c r="AR70" i="41"/>
  <c r="AQ48" i="41"/>
  <c r="AO106" i="41"/>
  <c r="AM106" i="41"/>
  <c r="AG106" i="41"/>
  <c r="AI106" i="41"/>
  <c r="AF106" i="41"/>
  <c r="Z106" i="41"/>
  <c r="AA106" i="41"/>
  <c r="AB106" i="41"/>
  <c r="AD106" i="41"/>
  <c r="AE106" i="41"/>
  <c r="AC106" i="41"/>
  <c r="AK27" i="41"/>
  <c r="AK49" i="41"/>
  <c r="L7" i="64" l="1"/>
  <c r="L6" i="64" s="1"/>
  <c r="S223" i="63"/>
  <c r="S226" i="63" s="1"/>
  <c r="T227" i="63" s="1"/>
  <c r="T228" i="63" s="1"/>
  <c r="AK5" i="41"/>
  <c r="AK106" i="41" s="1"/>
  <c r="AK7" i="72"/>
  <c r="AH6" i="72"/>
  <c r="AH58" i="72" s="1"/>
  <c r="AH127" i="72" s="1"/>
  <c r="F27" i="55"/>
  <c r="F22" i="55"/>
  <c r="F15" i="55" s="1"/>
  <c r="F15" i="48" s="1"/>
  <c r="L28" i="64"/>
  <c r="D27" i="48"/>
  <c r="D14" i="55"/>
  <c r="D15" i="48"/>
  <c r="AK6" i="72" l="1"/>
  <c r="AK58" i="72" s="1"/>
  <c r="AK127" i="72" s="1"/>
  <c r="D25" i="55"/>
  <c r="D58" i="55" s="1"/>
  <c r="D59" i="55" s="1"/>
  <c r="D14" i="48"/>
  <c r="W61" i="41"/>
  <c r="L17" i="41"/>
  <c r="L18" i="72" s="1"/>
  <c r="M17" i="41"/>
  <c r="M18" i="72" s="1"/>
  <c r="N17" i="41"/>
  <c r="N18" i="72" s="1"/>
  <c r="O17" i="41"/>
  <c r="O18" i="72" s="1"/>
  <c r="P17" i="41"/>
  <c r="P18" i="72" s="1"/>
  <c r="Q17" i="41"/>
  <c r="Q18" i="72" s="1"/>
  <c r="R17" i="41"/>
  <c r="R18" i="72" s="1"/>
  <c r="S17" i="41"/>
  <c r="S18" i="72" s="1"/>
  <c r="T17" i="41"/>
  <c r="T18" i="72" s="1"/>
  <c r="U17" i="41"/>
  <c r="U18" i="72" s="1"/>
  <c r="V17" i="41"/>
  <c r="K17" i="41"/>
  <c r="K18" i="72" s="1"/>
  <c r="R30" i="55" l="1"/>
  <c r="V18" i="72"/>
  <c r="W18" i="72" s="1"/>
  <c r="W17" i="41"/>
  <c r="D26" i="55"/>
  <c r="D26" i="48" s="1"/>
  <c r="D25" i="48"/>
  <c r="D32" i="55"/>
  <c r="D43" i="55" s="1"/>
  <c r="D62" i="55"/>
  <c r="AQ39" i="41"/>
  <c r="AR39" i="41"/>
  <c r="AQ93" i="41"/>
  <c r="AR93" i="41"/>
  <c r="AQ61" i="41"/>
  <c r="AR61" i="41"/>
  <c r="AJ40" i="40"/>
  <c r="AJ39" i="40"/>
  <c r="AJ38" i="40"/>
  <c r="AJ37" i="40"/>
  <c r="AJ36" i="40"/>
  <c r="AJ35" i="40"/>
  <c r="AJ34" i="40"/>
  <c r="AJ33" i="40"/>
  <c r="AJ32" i="40"/>
  <c r="AJ31" i="40"/>
  <c r="AJ30" i="40"/>
  <c r="AJ29" i="40"/>
  <c r="AJ28" i="40"/>
  <c r="AJ27" i="40"/>
  <c r="AJ26" i="40"/>
  <c r="AH27" i="40"/>
  <c r="AH28" i="40"/>
  <c r="AH29" i="40"/>
  <c r="AH30" i="40"/>
  <c r="AH31" i="40"/>
  <c r="AH32" i="40"/>
  <c r="AH33" i="40"/>
  <c r="AH34" i="40"/>
  <c r="AH35" i="40"/>
  <c r="AH36" i="40"/>
  <c r="AH37" i="40"/>
  <c r="AH38" i="40"/>
  <c r="AH39" i="40"/>
  <c r="AH40" i="40"/>
  <c r="AH26" i="40"/>
  <c r="AR18" i="72" l="1"/>
  <c r="AS18" i="72"/>
  <c r="D62" i="48"/>
  <c r="D58" i="48"/>
  <c r="D63" i="55"/>
  <c r="D61" i="55"/>
  <c r="D57" i="55"/>
  <c r="D33" i="55"/>
  <c r="D33" i="48" s="1"/>
  <c r="D32" i="48"/>
  <c r="AJ60" i="40"/>
  <c r="AH60" i="40"/>
  <c r="AF40" i="40"/>
  <c r="AF37" i="40"/>
  <c r="AF31" i="40"/>
  <c r="AF29" i="40"/>
  <c r="AF27" i="40"/>
  <c r="AF28" i="40"/>
  <c r="AF26" i="40"/>
  <c r="AF41" i="40"/>
  <c r="T22" i="40"/>
  <c r="AF22" i="40"/>
  <c r="AD45" i="40"/>
  <c r="AE45" i="40"/>
  <c r="AD46" i="40"/>
  <c r="AE46" i="40"/>
  <c r="AD47" i="40"/>
  <c r="AE47" i="40"/>
  <c r="AD48" i="40"/>
  <c r="AE48" i="40"/>
  <c r="AD49" i="40"/>
  <c r="AE49" i="40"/>
  <c r="AD50" i="40"/>
  <c r="AE50" i="40"/>
  <c r="AD51" i="40"/>
  <c r="AE51" i="40"/>
  <c r="AD52" i="40"/>
  <c r="AE52" i="40"/>
  <c r="AD53" i="40"/>
  <c r="AE53" i="40"/>
  <c r="AD54" i="40"/>
  <c r="AE54" i="40"/>
  <c r="AD55" i="40"/>
  <c r="AE55" i="40"/>
  <c r="AD56" i="40"/>
  <c r="AE56" i="40"/>
  <c r="AD57" i="40"/>
  <c r="AE57" i="40"/>
  <c r="AD58" i="40"/>
  <c r="AE58" i="40"/>
  <c r="AD59" i="40"/>
  <c r="AE59" i="40"/>
  <c r="AC46" i="40"/>
  <c r="AC47" i="40"/>
  <c r="AC48" i="40"/>
  <c r="AC49" i="40"/>
  <c r="AC50" i="40"/>
  <c r="AC51" i="40"/>
  <c r="AC52" i="40"/>
  <c r="AC53" i="40"/>
  <c r="AC54" i="40"/>
  <c r="AC55" i="40"/>
  <c r="AC56" i="40"/>
  <c r="AC57" i="40"/>
  <c r="AC58" i="40"/>
  <c r="AC59" i="40"/>
  <c r="AC45" i="40"/>
  <c r="AD35" i="40"/>
  <c r="AE35" i="40"/>
  <c r="AC35" i="40"/>
  <c r="E10" i="55" l="1"/>
  <c r="F200" i="37"/>
  <c r="F202" i="37" s="1"/>
  <c r="F203" i="37" s="1"/>
  <c r="F205" i="37" s="1"/>
  <c r="D43" i="48"/>
  <c r="D47" i="55"/>
  <c r="D59" i="48"/>
  <c r="D57" i="48"/>
  <c r="D61" i="48"/>
  <c r="D63" i="48"/>
  <c r="U26" i="40"/>
  <c r="V26" i="40"/>
  <c r="W26" i="40"/>
  <c r="X26" i="40"/>
  <c r="Y26" i="40"/>
  <c r="Z26" i="40"/>
  <c r="AA26" i="40"/>
  <c r="AB26" i="40"/>
  <c r="U27" i="40"/>
  <c r="V27" i="40"/>
  <c r="W27" i="40"/>
  <c r="X27" i="40"/>
  <c r="Y27" i="40"/>
  <c r="Z27" i="40"/>
  <c r="AA27" i="40"/>
  <c r="AB27" i="40"/>
  <c r="U28" i="40"/>
  <c r="V28" i="40"/>
  <c r="W28" i="40"/>
  <c r="X28" i="40"/>
  <c r="Y28" i="40"/>
  <c r="Z28" i="40"/>
  <c r="AA28" i="40"/>
  <c r="AB28" i="40"/>
  <c r="U29" i="40"/>
  <c r="V29" i="40"/>
  <c r="W29" i="40"/>
  <c r="X29" i="40"/>
  <c r="Y29" i="40"/>
  <c r="Z29" i="40"/>
  <c r="AA29" i="40"/>
  <c r="AB29" i="40"/>
  <c r="U30" i="40"/>
  <c r="V30" i="40"/>
  <c r="W30" i="40"/>
  <c r="X30" i="40"/>
  <c r="Y30" i="40"/>
  <c r="Z30" i="40"/>
  <c r="AA30" i="40"/>
  <c r="AB30" i="40"/>
  <c r="U31" i="40"/>
  <c r="V31" i="40"/>
  <c r="W31" i="40"/>
  <c r="X31" i="40"/>
  <c r="Y31" i="40"/>
  <c r="Z31" i="40"/>
  <c r="AA31" i="40"/>
  <c r="AB31" i="40"/>
  <c r="U32" i="40"/>
  <c r="V32" i="40"/>
  <c r="W32" i="40"/>
  <c r="X32" i="40"/>
  <c r="Y32" i="40"/>
  <c r="Z32" i="40"/>
  <c r="AA32" i="40"/>
  <c r="AB32" i="40"/>
  <c r="U33" i="40"/>
  <c r="V33" i="40"/>
  <c r="W33" i="40"/>
  <c r="X33" i="40"/>
  <c r="Y33" i="40"/>
  <c r="Z33" i="40"/>
  <c r="AA33" i="40"/>
  <c r="AB33" i="40"/>
  <c r="U34" i="40"/>
  <c r="V34" i="40"/>
  <c r="W34" i="40"/>
  <c r="X34" i="40"/>
  <c r="Y34" i="40"/>
  <c r="Z34" i="40"/>
  <c r="AA34" i="40"/>
  <c r="AB34" i="40"/>
  <c r="U35" i="40"/>
  <c r="V35" i="40"/>
  <c r="W35" i="40"/>
  <c r="X35" i="40"/>
  <c r="Y35" i="40"/>
  <c r="Z35" i="40"/>
  <c r="AA35" i="40"/>
  <c r="AB35" i="40"/>
  <c r="U36" i="40"/>
  <c r="V36" i="40"/>
  <c r="W36" i="40"/>
  <c r="X36" i="40"/>
  <c r="Y36" i="40"/>
  <c r="Z36" i="40"/>
  <c r="AA36" i="40"/>
  <c r="AB36" i="40"/>
  <c r="U37" i="40"/>
  <c r="V37" i="40"/>
  <c r="W37" i="40"/>
  <c r="X37" i="40"/>
  <c r="Y37" i="40"/>
  <c r="Z37" i="40"/>
  <c r="AA37" i="40"/>
  <c r="AB37" i="40"/>
  <c r="U38" i="40"/>
  <c r="V38" i="40"/>
  <c r="W38" i="40"/>
  <c r="X38" i="40"/>
  <c r="Y38" i="40"/>
  <c r="Z38" i="40"/>
  <c r="AA38" i="40"/>
  <c r="AB38" i="40"/>
  <c r="U39" i="40"/>
  <c r="V39" i="40"/>
  <c r="W39" i="40"/>
  <c r="X39" i="40"/>
  <c r="Y39" i="40"/>
  <c r="Z39" i="40"/>
  <c r="AA39" i="40"/>
  <c r="AB39" i="40"/>
  <c r="U40" i="40"/>
  <c r="V40" i="40"/>
  <c r="W40" i="40"/>
  <c r="X40" i="40"/>
  <c r="Y40" i="40"/>
  <c r="Z40" i="40"/>
  <c r="AA40" i="40"/>
  <c r="AB40" i="40"/>
  <c r="T27" i="40"/>
  <c r="T28" i="40"/>
  <c r="T29" i="40"/>
  <c r="T30" i="40"/>
  <c r="T31" i="40"/>
  <c r="T32" i="40"/>
  <c r="T33" i="40"/>
  <c r="T34" i="40"/>
  <c r="T35" i="40"/>
  <c r="T36" i="40"/>
  <c r="T37" i="40"/>
  <c r="T38" i="40"/>
  <c r="T39" i="40"/>
  <c r="T40" i="40"/>
  <c r="T26" i="40"/>
  <c r="D49" i="55" l="1"/>
  <c r="D52" i="55" s="1"/>
  <c r="D47" i="48"/>
  <c r="AF34" i="40"/>
  <c r="AF35" i="40"/>
  <c r="AF30" i="40"/>
  <c r="AF33" i="40"/>
  <c r="AF32" i="40"/>
  <c r="AF39" i="40"/>
  <c r="AF38" i="40"/>
  <c r="AF36" i="40"/>
  <c r="D50" i="55" l="1"/>
  <c r="D50" i="48" s="1"/>
  <c r="D49" i="48"/>
  <c r="AJ119" i="40"/>
  <c r="AH119" i="40"/>
  <c r="AJ100" i="40"/>
  <c r="AH100" i="40"/>
  <c r="AJ80" i="40"/>
  <c r="AH80" i="40"/>
  <c r="AJ22" i="40"/>
  <c r="AJ41" i="40" s="1"/>
  <c r="AH22" i="40"/>
  <c r="AF7" i="40"/>
  <c r="AE119" i="40"/>
  <c r="AD119" i="40"/>
  <c r="AC119" i="40"/>
  <c r="AB119" i="40"/>
  <c r="AA119" i="40"/>
  <c r="Z119" i="40"/>
  <c r="Y119" i="40"/>
  <c r="X119" i="40"/>
  <c r="W119" i="40"/>
  <c r="V119" i="40"/>
  <c r="U119" i="40"/>
  <c r="T119" i="40"/>
  <c r="AF118" i="40"/>
  <c r="AF117" i="40"/>
  <c r="AF116" i="40"/>
  <c r="AF115" i="40"/>
  <c r="AF114" i="40"/>
  <c r="AF113" i="40"/>
  <c r="AF112" i="40"/>
  <c r="AF111" i="40"/>
  <c r="AF110" i="40"/>
  <c r="AF109" i="40"/>
  <c r="AF108" i="40"/>
  <c r="AF107" i="40"/>
  <c r="AF106" i="40"/>
  <c r="AF105" i="40"/>
  <c r="AF104" i="40"/>
  <c r="AM100" i="40"/>
  <c r="AL100" i="40"/>
  <c r="AE80" i="40"/>
  <c r="AD80" i="40"/>
  <c r="AC80" i="40"/>
  <c r="AB80" i="40"/>
  <c r="AA80" i="40"/>
  <c r="Z80" i="40"/>
  <c r="Y80" i="40"/>
  <c r="X80" i="40"/>
  <c r="W80" i="40"/>
  <c r="V80" i="40"/>
  <c r="U80" i="40"/>
  <c r="T80" i="40"/>
  <c r="AM75" i="40"/>
  <c r="AL75" i="40"/>
  <c r="AM74" i="40"/>
  <c r="AL74" i="40"/>
  <c r="AE60" i="40"/>
  <c r="AD60" i="40"/>
  <c r="AC60" i="40"/>
  <c r="AB60" i="40"/>
  <c r="AA60" i="40"/>
  <c r="Z60" i="40"/>
  <c r="Y60" i="40"/>
  <c r="X60" i="40"/>
  <c r="W60" i="40"/>
  <c r="V60" i="40"/>
  <c r="U60" i="40"/>
  <c r="T60" i="40"/>
  <c r="AF59" i="40"/>
  <c r="AF58" i="40"/>
  <c r="AF57" i="40"/>
  <c r="AF56" i="40"/>
  <c r="AF55" i="40"/>
  <c r="AF54" i="40"/>
  <c r="AF53" i="40"/>
  <c r="AF52" i="40"/>
  <c r="AF51" i="40"/>
  <c r="AF50" i="40"/>
  <c r="AF49" i="40"/>
  <c r="AF48" i="40"/>
  <c r="AF47" i="40"/>
  <c r="AF46" i="40"/>
  <c r="AF45" i="40"/>
  <c r="AE22" i="40"/>
  <c r="AE41" i="40" s="1"/>
  <c r="AD22" i="40"/>
  <c r="AD41" i="40" s="1"/>
  <c r="AC22" i="40"/>
  <c r="AC41" i="40" s="1"/>
  <c r="AB22" i="40"/>
  <c r="AA22" i="40"/>
  <c r="Z22" i="40"/>
  <c r="Z41" i="40" s="1"/>
  <c r="Y22" i="40"/>
  <c r="X22" i="40"/>
  <c r="W22" i="40"/>
  <c r="V22" i="40"/>
  <c r="U22" i="40"/>
  <c r="AF21" i="40"/>
  <c r="AF20" i="40"/>
  <c r="AF19" i="40"/>
  <c r="AF18" i="40"/>
  <c r="AF17" i="40"/>
  <c r="AF16" i="40"/>
  <c r="AF15" i="40"/>
  <c r="AF14" i="40"/>
  <c r="AF13" i="40"/>
  <c r="AF12" i="40"/>
  <c r="AF11" i="40"/>
  <c r="AF10" i="40"/>
  <c r="AF9" i="40"/>
  <c r="AF8" i="40"/>
  <c r="AE138" i="40"/>
  <c r="AD138" i="40"/>
  <c r="AC138" i="40"/>
  <c r="AB138" i="40"/>
  <c r="AA138" i="40"/>
  <c r="Z138" i="40"/>
  <c r="Y138" i="40"/>
  <c r="X138" i="40"/>
  <c r="W138" i="40"/>
  <c r="V138" i="40"/>
  <c r="U138" i="40"/>
  <c r="T138" i="40"/>
  <c r="AL137" i="40"/>
  <c r="AL136" i="40"/>
  <c r="AL135" i="40"/>
  <c r="AL134" i="40"/>
  <c r="AL133" i="40"/>
  <c r="AL132" i="40"/>
  <c r="AL131" i="40"/>
  <c r="AL130" i="40"/>
  <c r="AL129" i="40"/>
  <c r="AL128" i="40"/>
  <c r="AL127" i="40"/>
  <c r="AL126" i="40"/>
  <c r="T84" i="43"/>
  <c r="T83" i="43"/>
  <c r="D53" i="55" l="1"/>
  <c r="D53" i="48" s="1"/>
  <c r="D52" i="48"/>
  <c r="AH41" i="40"/>
  <c r="E6" i="55"/>
  <c r="AB41" i="40"/>
  <c r="AA41" i="40"/>
  <c r="Y41" i="40"/>
  <c r="X41" i="40"/>
  <c r="W41" i="40"/>
  <c r="V41" i="40"/>
  <c r="U41" i="40"/>
  <c r="T41" i="40"/>
  <c r="AF80" i="40"/>
  <c r="AF60" i="40"/>
  <c r="AF119" i="40"/>
  <c r="AF138" i="40"/>
  <c r="I57" i="43"/>
  <c r="L57" i="43"/>
  <c r="M57" i="43"/>
  <c r="N57" i="43"/>
  <c r="O57" i="43"/>
  <c r="P57" i="43"/>
  <c r="Q57" i="43"/>
  <c r="R57" i="43"/>
  <c r="S57" i="43"/>
  <c r="H67" i="43"/>
  <c r="I67" i="43"/>
  <c r="J67" i="43"/>
  <c r="K67" i="43"/>
  <c r="L67" i="43"/>
  <c r="M67" i="43"/>
  <c r="N67" i="43"/>
  <c r="O67" i="43"/>
  <c r="P67" i="43"/>
  <c r="Q67" i="43"/>
  <c r="R67" i="43"/>
  <c r="S67" i="43"/>
  <c r="G67" i="43"/>
  <c r="K57" i="43"/>
  <c r="H52" i="43"/>
  <c r="I52" i="43"/>
  <c r="J52" i="43"/>
  <c r="K52" i="43"/>
  <c r="L52" i="43"/>
  <c r="M52" i="43"/>
  <c r="N52" i="43"/>
  <c r="O52" i="43"/>
  <c r="P52" i="43"/>
  <c r="Q52" i="43"/>
  <c r="R52" i="43"/>
  <c r="S52" i="43"/>
  <c r="G52" i="43"/>
  <c r="G55" i="39" l="1"/>
  <c r="AL138" i="40"/>
  <c r="AH138" i="40"/>
  <c r="AJ138" i="40"/>
  <c r="H39" i="43" l="1"/>
  <c r="I39" i="43"/>
  <c r="J39" i="43"/>
  <c r="K39" i="43"/>
  <c r="L39" i="43"/>
  <c r="M39" i="43"/>
  <c r="N39" i="43"/>
  <c r="O39" i="43"/>
  <c r="P39" i="43"/>
  <c r="Q39" i="43"/>
  <c r="R39" i="43"/>
  <c r="S39" i="43"/>
  <c r="G39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G28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G17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G9" i="43"/>
  <c r="F12" i="47" l="1"/>
  <c r="E13" i="47" l="1"/>
  <c r="K6" i="41" l="1"/>
  <c r="K7" i="72" s="1"/>
  <c r="G190" i="37" l="1"/>
  <c r="G148" i="37"/>
  <c r="G147" i="37"/>
  <c r="G150" i="37" s="1"/>
  <c r="G82" i="37"/>
  <c r="G95" i="37"/>
  <c r="G91" i="37"/>
  <c r="G89" i="37"/>
  <c r="G88" i="37"/>
  <c r="G86" i="37"/>
  <c r="G67" i="37"/>
  <c r="G10" i="37"/>
  <c r="G25" i="37"/>
  <c r="G97" i="37" l="1"/>
  <c r="G78" i="37"/>
  <c r="G50" i="39" s="1"/>
  <c r="E108" i="38" l="1"/>
  <c r="E107" i="38"/>
  <c r="R108" i="38"/>
  <c r="R107" i="38"/>
  <c r="R93" i="38"/>
  <c r="R94" i="38"/>
  <c r="R95" i="38"/>
  <c r="R96" i="38"/>
  <c r="R97" i="38"/>
  <c r="R98" i="38"/>
  <c r="R99" i="38"/>
  <c r="R100" i="38"/>
  <c r="R101" i="38"/>
  <c r="R102" i="38"/>
  <c r="R103" i="38"/>
  <c r="R104" i="38"/>
  <c r="R105" i="38"/>
  <c r="R106" i="38"/>
  <c r="R92" i="38"/>
  <c r="R74" i="38"/>
  <c r="R75" i="38"/>
  <c r="R76" i="38"/>
  <c r="R77" i="38"/>
  <c r="R78" i="38"/>
  <c r="R79" i="38"/>
  <c r="R80" i="38"/>
  <c r="R81" i="38"/>
  <c r="R82" i="38"/>
  <c r="R83" i="38"/>
  <c r="R84" i="38"/>
  <c r="R85" i="38"/>
  <c r="R86" i="38"/>
  <c r="R87" i="38"/>
  <c r="R73" i="38"/>
  <c r="R55" i="38"/>
  <c r="R56" i="38"/>
  <c r="R57" i="38"/>
  <c r="R58" i="38"/>
  <c r="R59" i="38"/>
  <c r="R60" i="38"/>
  <c r="R61" i="38"/>
  <c r="R62" i="38"/>
  <c r="R63" i="38"/>
  <c r="R64" i="38"/>
  <c r="R65" i="38"/>
  <c r="R66" i="38"/>
  <c r="R67" i="38"/>
  <c r="R68" i="38"/>
  <c r="R54" i="38"/>
  <c r="R69" i="38" l="1"/>
  <c r="R88" i="38"/>
  <c r="F8" i="47" l="1"/>
  <c r="E7" i="47"/>
  <c r="K20" i="52" l="1"/>
  <c r="T54" i="43"/>
  <c r="T55" i="43"/>
  <c r="F7" i="52"/>
  <c r="F6" i="52"/>
  <c r="J36" i="52"/>
  <c r="K22" i="52"/>
  <c r="K8" i="52"/>
  <c r="H15" i="39" l="1"/>
  <c r="H14" i="39"/>
  <c r="H13" i="39"/>
  <c r="G25" i="39"/>
  <c r="G28" i="39"/>
  <c r="G31" i="39"/>
  <c r="T8" i="39"/>
  <c r="T9" i="39"/>
  <c r="T7" i="39"/>
  <c r="T32" i="39" l="1"/>
  <c r="I29" i="39"/>
  <c r="J29" i="39"/>
  <c r="K29" i="39"/>
  <c r="L29" i="39"/>
  <c r="M29" i="39"/>
  <c r="N29" i="39"/>
  <c r="O29" i="39"/>
  <c r="P29" i="39"/>
  <c r="Q29" i="39"/>
  <c r="R29" i="39"/>
  <c r="S29" i="39"/>
  <c r="H29" i="39"/>
  <c r="T26" i="39"/>
  <c r="G16" i="39"/>
  <c r="G47" i="39" s="1"/>
  <c r="R185" i="63"/>
  <c r="T62" i="43"/>
  <c r="T57" i="43" s="1"/>
  <c r="R173" i="63" s="1"/>
  <c r="T73" i="43"/>
  <c r="T75" i="43"/>
  <c r="T77" i="43"/>
  <c r="T85" i="43"/>
  <c r="T86" i="43"/>
  <c r="T68" i="43"/>
  <c r="T53" i="43"/>
  <c r="T52" i="43" s="1"/>
  <c r="T45" i="43"/>
  <c r="T46" i="43"/>
  <c r="T47" i="43"/>
  <c r="T48" i="43"/>
  <c r="T49" i="43"/>
  <c r="T50" i="43"/>
  <c r="T44" i="43"/>
  <c r="T41" i="43"/>
  <c r="T39" i="43" s="1"/>
  <c r="E9" i="47"/>
  <c r="E8" i="47"/>
  <c r="G18" i="47"/>
  <c r="R48" i="38"/>
  <c r="R49" i="38" s="1"/>
  <c r="E48" i="38"/>
  <c r="R41" i="38"/>
  <c r="R42" i="38"/>
  <c r="R34" i="38"/>
  <c r="R35" i="38"/>
  <c r="R27" i="38"/>
  <c r="T67" i="43" l="1"/>
  <c r="T29" i="39"/>
  <c r="F10" i="47"/>
  <c r="D81" i="52"/>
  <c r="R18" i="38"/>
  <c r="R17" i="38"/>
  <c r="R20" i="38" s="1"/>
  <c r="D42" i="52" s="1"/>
  <c r="R13" i="38"/>
  <c r="R12" i="38"/>
  <c r="R11" i="38"/>
  <c r="R6" i="38"/>
  <c r="R5" i="38"/>
  <c r="R8" i="38" s="1"/>
  <c r="E8" i="38"/>
  <c r="E27" i="52"/>
  <c r="E13" i="52"/>
  <c r="E12" i="47" s="1"/>
  <c r="D14" i="52" l="1"/>
  <c r="R70" i="38"/>
  <c r="R14" i="38"/>
  <c r="D28" i="52" s="1"/>
  <c r="E28" i="52"/>
  <c r="E29" i="52" s="1"/>
  <c r="R28" i="38"/>
  <c r="K21" i="52" l="1"/>
  <c r="B11" i="71"/>
  <c r="B12" i="71" s="1"/>
  <c r="B13" i="71" s="1"/>
  <c r="B14" i="71" s="1"/>
  <c r="B15" i="71" s="1"/>
  <c r="B16" i="71" s="1"/>
  <c r="B17" i="71" s="1"/>
  <c r="B10" i="71"/>
  <c r="G7" i="71"/>
  <c r="G22" i="71" s="1"/>
  <c r="E3" i="71" s="1"/>
  <c r="G3" i="71" s="1"/>
  <c r="BS5" i="71"/>
  <c r="BT5" i="71" s="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B3" i="71"/>
  <c r="G15" i="71" l="1"/>
  <c r="G17" i="71"/>
  <c r="D4" i="71"/>
  <c r="E7" i="71"/>
  <c r="D14" i="71" s="1"/>
  <c r="D16" i="71" s="1"/>
  <c r="G12" i="71"/>
  <c r="D11" i="71"/>
  <c r="D15" i="71" s="1"/>
  <c r="B2" i="71"/>
  <c r="D9" i="71" s="1"/>
  <c r="G14" i="71"/>
  <c r="D2" i="71"/>
  <c r="G19" i="71"/>
  <c r="D10" i="71"/>
  <c r="G16" i="71"/>
  <c r="D3" i="71"/>
  <c r="G8" i="71"/>
  <c r="G13" i="71"/>
  <c r="G20" i="71"/>
  <c r="E4" i="71"/>
  <c r="G9" i="71"/>
  <c r="G18" i="71"/>
  <c r="C5" i="71"/>
  <c r="D8" i="71"/>
  <c r="G11" i="71"/>
  <c r="D13" i="71"/>
  <c r="E8" i="71"/>
  <c r="E9" i="71" s="1"/>
  <c r="E10" i="71" s="1"/>
  <c r="E11" i="71" s="1"/>
  <c r="E12" i="71" s="1"/>
  <c r="G10" i="71"/>
  <c r="G21" i="71"/>
  <c r="D12" i="71" l="1"/>
  <c r="E13" i="71"/>
  <c r="E14" i="71" s="1"/>
  <c r="E15" i="71" s="1"/>
  <c r="E16" i="71" s="1"/>
  <c r="F124" i="40" l="1"/>
  <c r="R124" i="40" l="1"/>
  <c r="O124" i="40"/>
  <c r="Q124" i="40"/>
  <c r="J124" i="40"/>
  <c r="M124" i="40"/>
  <c r="H124" i="40"/>
  <c r="P124" i="40"/>
  <c r="I124" i="40"/>
  <c r="G124" i="40"/>
  <c r="L124" i="40"/>
  <c r="N124" i="40"/>
  <c r="K124" i="40"/>
  <c r="AM124" i="40" l="1"/>
  <c r="AL124" i="40"/>
  <c r="R42" i="48" l="1"/>
  <c r="Q42" i="48"/>
  <c r="P42" i="48"/>
  <c r="O42" i="48"/>
  <c r="N42" i="48"/>
  <c r="M42" i="48"/>
  <c r="L42" i="48"/>
  <c r="K42" i="48"/>
  <c r="J42" i="48"/>
  <c r="I42" i="48"/>
  <c r="H42" i="48"/>
  <c r="G42" i="48"/>
  <c r="E80" i="52"/>
  <c r="E28" i="47" s="1"/>
  <c r="S42" i="48" l="1"/>
  <c r="AF116" i="69"/>
  <c r="AD116" i="69"/>
  <c r="AC116" i="69"/>
  <c r="U51" i="42" l="1"/>
  <c r="U112" i="72" s="1"/>
  <c r="U33" i="42"/>
  <c r="U94" i="72" s="1"/>
  <c r="U42" i="42"/>
  <c r="U103" i="72" s="1"/>
  <c r="U62" i="42"/>
  <c r="U123" i="72" s="1"/>
  <c r="U19" i="42"/>
  <c r="U80" i="72" s="1"/>
  <c r="U18" i="42"/>
  <c r="U79" i="72" s="1"/>
  <c r="U21" i="42"/>
  <c r="U82" i="72" s="1"/>
  <c r="U25" i="42"/>
  <c r="U86" i="72" s="1"/>
  <c r="U16" i="42"/>
  <c r="U77" i="72" s="1"/>
  <c r="U15" i="42"/>
  <c r="AP116" i="69"/>
  <c r="AH116" i="69"/>
  <c r="AJ116" i="69"/>
  <c r="AK116" i="69"/>
  <c r="AL116" i="69"/>
  <c r="AN116" i="69"/>
  <c r="AE116" i="69"/>
  <c r="AI116" i="69"/>
  <c r="AO116" i="69"/>
  <c r="AQ116" i="69"/>
  <c r="AG116" i="69"/>
  <c r="AM116" i="69"/>
  <c r="U76" i="72" l="1"/>
  <c r="K82" i="41"/>
  <c r="K39" i="72" s="1"/>
  <c r="M91" i="41"/>
  <c r="M48" i="72" s="1"/>
  <c r="K38" i="41"/>
  <c r="L82" i="41"/>
  <c r="L39" i="72" s="1"/>
  <c r="K98" i="41"/>
  <c r="K55" i="72" s="1"/>
  <c r="M95" i="41"/>
  <c r="M52" i="72" s="1"/>
  <c r="O92" i="41"/>
  <c r="O49" i="72" s="1"/>
  <c r="T38" i="41"/>
  <c r="O96" i="41"/>
  <c r="O53" i="72" s="1"/>
  <c r="N91" i="41"/>
  <c r="N48" i="72" s="1"/>
  <c r="M38" i="41"/>
  <c r="S94" i="41"/>
  <c r="S51" i="72" s="1"/>
  <c r="S91" i="41"/>
  <c r="S48" i="72" s="1"/>
  <c r="L94" i="41"/>
  <c r="L51" i="72" s="1"/>
  <c r="P98" i="41"/>
  <c r="P55" i="72" s="1"/>
  <c r="L97" i="41"/>
  <c r="L54" i="72" s="1"/>
  <c r="T98" i="41"/>
  <c r="T55" i="72" s="1"/>
  <c r="N38" i="41"/>
  <c r="N92" i="41"/>
  <c r="N49" i="72" s="1"/>
  <c r="S97" i="41"/>
  <c r="S54" i="72" s="1"/>
  <c r="T96" i="41"/>
  <c r="T53" i="72" s="1"/>
  <c r="Q95" i="41"/>
  <c r="Q52" i="72" s="1"/>
  <c r="S38" i="41"/>
  <c r="L91" i="41"/>
  <c r="L48" i="72" s="1"/>
  <c r="M87" i="41"/>
  <c r="M44" i="72" s="1"/>
  <c r="Q94" i="41"/>
  <c r="Q51" i="72" s="1"/>
  <c r="M83" i="41"/>
  <c r="M40" i="72" s="1"/>
  <c r="N83" i="41"/>
  <c r="N40" i="72" s="1"/>
  <c r="M82" i="41"/>
  <c r="M39" i="72" s="1"/>
  <c r="S95" i="41"/>
  <c r="S52" i="72" s="1"/>
  <c r="T95" i="41"/>
  <c r="T52" i="72" s="1"/>
  <c r="S92" i="41"/>
  <c r="S49" i="72" s="1"/>
  <c r="L38" i="41"/>
  <c r="M96" i="41"/>
  <c r="M53" i="72" s="1"/>
  <c r="O97" i="41"/>
  <c r="O54" i="72" s="1"/>
  <c r="L95" i="41"/>
  <c r="L52" i="72" s="1"/>
  <c r="T83" i="41"/>
  <c r="T40" i="72" s="1"/>
  <c r="Q96" i="41"/>
  <c r="Q53" i="72" s="1"/>
  <c r="K87" i="41"/>
  <c r="K44" i="72" s="1"/>
  <c r="O91" i="41"/>
  <c r="O48" i="72" s="1"/>
  <c r="L98" i="41"/>
  <c r="L55" i="72" s="1"/>
  <c r="O87" i="41"/>
  <c r="O44" i="72" s="1"/>
  <c r="P87" i="41"/>
  <c r="P44" i="72" s="1"/>
  <c r="O83" i="41"/>
  <c r="O40" i="72" s="1"/>
  <c r="Q97" i="41"/>
  <c r="Q54" i="72" s="1"/>
  <c r="K97" i="41"/>
  <c r="K54" i="72" s="1"/>
  <c r="T92" i="41"/>
  <c r="T49" i="72" s="1"/>
  <c r="R92" i="41"/>
  <c r="R49" i="72" s="1"/>
  <c r="S87" i="41"/>
  <c r="S44" i="72" s="1"/>
  <c r="Q82" i="41"/>
  <c r="Q39" i="72" s="1"/>
  <c r="R38" i="41"/>
  <c r="T87" i="41"/>
  <c r="T44" i="72" s="1"/>
  <c r="N95" i="41"/>
  <c r="N52" i="72" s="1"/>
  <c r="N94" i="41"/>
  <c r="N51" i="72" s="1"/>
  <c r="Q92" i="41"/>
  <c r="Q49" i="72" s="1"/>
  <c r="L83" i="41"/>
  <c r="L40" i="72" s="1"/>
  <c r="Q91" i="41"/>
  <c r="Q48" i="72" s="1"/>
  <c r="R91" i="41"/>
  <c r="R48" i="72" s="1"/>
  <c r="Q87" i="41"/>
  <c r="Q44" i="72" s="1"/>
  <c r="S98" i="41"/>
  <c r="S55" i="72" s="1"/>
  <c r="R94" i="41"/>
  <c r="R51" i="72" s="1"/>
  <c r="N87" i="41"/>
  <c r="N44" i="72" s="1"/>
  <c r="M98" i="41"/>
  <c r="M55" i="72" s="1"/>
  <c r="P83" i="41"/>
  <c r="P40" i="72" s="1"/>
  <c r="R87" i="41"/>
  <c r="R44" i="72" s="1"/>
  <c r="P82" i="41"/>
  <c r="P39" i="72" s="1"/>
  <c r="L87" i="41"/>
  <c r="L44" i="72" s="1"/>
  <c r="P92" i="41"/>
  <c r="P49" i="72" s="1"/>
  <c r="K96" i="41"/>
  <c r="K53" i="72" s="1"/>
  <c r="P91" i="41"/>
  <c r="P48" i="72" s="1"/>
  <c r="K95" i="41"/>
  <c r="K52" i="72" s="1"/>
  <c r="L96" i="41"/>
  <c r="L53" i="72" s="1"/>
  <c r="K94" i="41"/>
  <c r="K51" i="72" s="1"/>
  <c r="P96" i="41"/>
  <c r="P53" i="72" s="1"/>
  <c r="N82" i="41"/>
  <c r="N39" i="72" s="1"/>
  <c r="Q83" i="41"/>
  <c r="Q40" i="72" s="1"/>
  <c r="M97" i="41"/>
  <c r="M54" i="72" s="1"/>
  <c r="T94" i="41"/>
  <c r="T51" i="72" s="1"/>
  <c r="R97" i="41"/>
  <c r="R54" i="72" s="1"/>
  <c r="T97" i="41"/>
  <c r="T54" i="72" s="1"/>
  <c r="S82" i="41"/>
  <c r="S39" i="72" s="1"/>
  <c r="M92" i="41"/>
  <c r="M49" i="72" s="1"/>
  <c r="N98" i="41"/>
  <c r="N55" i="72" s="1"/>
  <c r="L92" i="41"/>
  <c r="L49" i="72" s="1"/>
  <c r="N97" i="41"/>
  <c r="N54" i="72" s="1"/>
  <c r="S83" i="41"/>
  <c r="S40" i="72" s="1"/>
  <c r="Q98" i="41"/>
  <c r="Q55" i="72" s="1"/>
  <c r="P38" i="41"/>
  <c r="T91" i="41"/>
  <c r="T48" i="72" s="1"/>
  <c r="R83" i="41"/>
  <c r="R40" i="72" s="1"/>
  <c r="O95" i="41"/>
  <c r="O52" i="72" s="1"/>
  <c r="P95" i="41"/>
  <c r="P52" i="72" s="1"/>
  <c r="M94" i="41"/>
  <c r="M51" i="72" s="1"/>
  <c r="K91" i="41"/>
  <c r="K48" i="72" s="1"/>
  <c r="Q38" i="41"/>
  <c r="T82" i="41"/>
  <c r="T39" i="72" s="1"/>
  <c r="K83" i="41"/>
  <c r="K40" i="72" s="1"/>
  <c r="S96" i="41"/>
  <c r="S53" i="72" s="1"/>
  <c r="R95" i="41"/>
  <c r="R52" i="72" s="1"/>
  <c r="O94" i="41"/>
  <c r="O51" i="72" s="1"/>
  <c r="K92" i="41"/>
  <c r="K49" i="72" s="1"/>
  <c r="P94" i="41"/>
  <c r="P51" i="72" s="1"/>
  <c r="R96" i="41"/>
  <c r="R53" i="72" s="1"/>
  <c r="O82" i="41"/>
  <c r="O39" i="72" s="1"/>
  <c r="O38" i="41"/>
  <c r="O98" i="41"/>
  <c r="O55" i="72" s="1"/>
  <c r="R82" i="41"/>
  <c r="R39" i="72" s="1"/>
  <c r="N96" i="41"/>
  <c r="N53" i="72" s="1"/>
  <c r="P97" i="41"/>
  <c r="P54" i="72" s="1"/>
  <c r="R98" i="41"/>
  <c r="R55" i="72" s="1"/>
  <c r="M43" i="42"/>
  <c r="M104" i="72" s="1"/>
  <c r="T43" i="42"/>
  <c r="T104" i="72" s="1"/>
  <c r="K43" i="42"/>
  <c r="K104" i="72" s="1"/>
  <c r="L43" i="42"/>
  <c r="L104" i="72" s="1"/>
  <c r="N43" i="42"/>
  <c r="N104" i="72" s="1"/>
  <c r="S43" i="42"/>
  <c r="S104" i="72" s="1"/>
  <c r="R43" i="42"/>
  <c r="R104" i="72" s="1"/>
  <c r="P43" i="42"/>
  <c r="P104" i="72" s="1"/>
  <c r="O43" i="42"/>
  <c r="O104" i="72" s="1"/>
  <c r="Q43" i="42"/>
  <c r="Q104" i="72" s="1"/>
  <c r="Q30" i="55"/>
  <c r="Q40" i="55"/>
  <c r="K51" i="42"/>
  <c r="K112" i="72" s="1"/>
  <c r="T51" i="42"/>
  <c r="T112" i="72" s="1"/>
  <c r="O51" i="42"/>
  <c r="O112" i="72" s="1"/>
  <c r="Q51" i="42"/>
  <c r="Q112" i="72" s="1"/>
  <c r="L51" i="42"/>
  <c r="L112" i="72" s="1"/>
  <c r="S51" i="42"/>
  <c r="S112" i="72" s="1"/>
  <c r="M51" i="42"/>
  <c r="M112" i="72" s="1"/>
  <c r="N51" i="42"/>
  <c r="N112" i="72" s="1"/>
  <c r="R51" i="42"/>
  <c r="R112" i="72" s="1"/>
  <c r="P51" i="42"/>
  <c r="P112" i="72" s="1"/>
  <c r="P42" i="42"/>
  <c r="P103" i="72" s="1"/>
  <c r="R21" i="42"/>
  <c r="R82" i="72" s="1"/>
  <c r="K19" i="42"/>
  <c r="K80" i="72" s="1"/>
  <c r="N33" i="42"/>
  <c r="N94" i="72" s="1"/>
  <c r="M25" i="42"/>
  <c r="M86" i="72" s="1"/>
  <c r="K21" i="42"/>
  <c r="K82" i="72" s="1"/>
  <c r="K42" i="42"/>
  <c r="K103" i="72" s="1"/>
  <c r="P33" i="42"/>
  <c r="P94" i="72" s="1"/>
  <c r="N62" i="42"/>
  <c r="N123" i="72" s="1"/>
  <c r="R62" i="42"/>
  <c r="R123" i="72" s="1"/>
  <c r="K25" i="42"/>
  <c r="K86" i="72" s="1"/>
  <c r="S33" i="42"/>
  <c r="S94" i="72" s="1"/>
  <c r="T62" i="42"/>
  <c r="T123" i="72" s="1"/>
  <c r="R18" i="42"/>
  <c r="R79" i="72" s="1"/>
  <c r="S25" i="42"/>
  <c r="S86" i="72" s="1"/>
  <c r="S42" i="42"/>
  <c r="S103" i="72" s="1"/>
  <c r="L18" i="42"/>
  <c r="L79" i="72" s="1"/>
  <c r="S19" i="42"/>
  <c r="S80" i="72" s="1"/>
  <c r="O19" i="42"/>
  <c r="O80" i="72" s="1"/>
  <c r="K62" i="42"/>
  <c r="K123" i="72" s="1"/>
  <c r="T25" i="42"/>
  <c r="T86" i="72" s="1"/>
  <c r="O25" i="42"/>
  <c r="O86" i="72" s="1"/>
  <c r="Q62" i="42"/>
  <c r="Q123" i="72" s="1"/>
  <c r="K33" i="42"/>
  <c r="K94" i="72" s="1"/>
  <c r="K18" i="42"/>
  <c r="K79" i="72" s="1"/>
  <c r="M33" i="42"/>
  <c r="M94" i="72" s="1"/>
  <c r="Q42" i="42"/>
  <c r="Q103" i="72" s="1"/>
  <c r="S21" i="42"/>
  <c r="S82" i="72" s="1"/>
  <c r="M62" i="42"/>
  <c r="M123" i="72" s="1"/>
  <c r="Q25" i="42"/>
  <c r="Q86" i="72" s="1"/>
  <c r="O42" i="42"/>
  <c r="O103" i="72" s="1"/>
  <c r="Q33" i="42"/>
  <c r="Q94" i="72" s="1"/>
  <c r="P19" i="42"/>
  <c r="P80" i="72" s="1"/>
  <c r="R33" i="42"/>
  <c r="R94" i="72" s="1"/>
  <c r="P25" i="42"/>
  <c r="P86" i="72" s="1"/>
  <c r="S62" i="42"/>
  <c r="S123" i="72" s="1"/>
  <c r="N42" i="42"/>
  <c r="N103" i="72" s="1"/>
  <c r="Q18" i="42"/>
  <c r="Q79" i="72" s="1"/>
  <c r="N18" i="42"/>
  <c r="N79" i="72" s="1"/>
  <c r="L42" i="42"/>
  <c r="L103" i="72" s="1"/>
  <c r="R25" i="42"/>
  <c r="R86" i="72" s="1"/>
  <c r="R19" i="42"/>
  <c r="R80" i="72" s="1"/>
  <c r="N21" i="42"/>
  <c r="N82" i="72" s="1"/>
  <c r="O62" i="42"/>
  <c r="O123" i="72" s="1"/>
  <c r="P18" i="42"/>
  <c r="P79" i="72" s="1"/>
  <c r="L19" i="42"/>
  <c r="L80" i="72" s="1"/>
  <c r="P21" i="42"/>
  <c r="P82" i="72" s="1"/>
  <c r="L25" i="42"/>
  <c r="L86" i="72" s="1"/>
  <c r="N19" i="42"/>
  <c r="N80" i="72" s="1"/>
  <c r="T33" i="42"/>
  <c r="T94" i="72" s="1"/>
  <c r="Q21" i="42"/>
  <c r="Q82" i="72" s="1"/>
  <c r="O33" i="42"/>
  <c r="O94" i="72" s="1"/>
  <c r="L33" i="42"/>
  <c r="L94" i="72" s="1"/>
  <c r="T21" i="42"/>
  <c r="T82" i="72" s="1"/>
  <c r="L21" i="42"/>
  <c r="L82" i="72" s="1"/>
  <c r="R42" i="42"/>
  <c r="R103" i="72" s="1"/>
  <c r="S18" i="42"/>
  <c r="S79" i="72" s="1"/>
  <c r="M42" i="42"/>
  <c r="M103" i="72" s="1"/>
  <c r="T42" i="42"/>
  <c r="T103" i="72" s="1"/>
  <c r="T18" i="42"/>
  <c r="T79" i="72" s="1"/>
  <c r="Q19" i="42"/>
  <c r="Q80" i="72" s="1"/>
  <c r="P62" i="42"/>
  <c r="P123" i="72" s="1"/>
  <c r="M21" i="42"/>
  <c r="M82" i="72" s="1"/>
  <c r="O18" i="42"/>
  <c r="O79" i="72" s="1"/>
  <c r="N25" i="42"/>
  <c r="N86" i="72" s="1"/>
  <c r="T19" i="42"/>
  <c r="T80" i="72" s="1"/>
  <c r="O21" i="42"/>
  <c r="O82" i="72" s="1"/>
  <c r="M18" i="42"/>
  <c r="M79" i="72" s="1"/>
  <c r="M19" i="42"/>
  <c r="M80" i="72" s="1"/>
  <c r="L62" i="42"/>
  <c r="L123" i="72" s="1"/>
  <c r="K15" i="42"/>
  <c r="S15" i="42"/>
  <c r="O15" i="42"/>
  <c r="P16" i="42"/>
  <c r="P77" i="72" s="1"/>
  <c r="M15" i="42"/>
  <c r="O16" i="42"/>
  <c r="O77" i="72" s="1"/>
  <c r="K16" i="42"/>
  <c r="K77" i="72" s="1"/>
  <c r="N16" i="42"/>
  <c r="N77" i="72" s="1"/>
  <c r="Q16" i="42"/>
  <c r="Q77" i="72" s="1"/>
  <c r="M16" i="42"/>
  <c r="M77" i="72" s="1"/>
  <c r="T16" i="42"/>
  <c r="T77" i="72" s="1"/>
  <c r="Q15" i="42"/>
  <c r="S16" i="42"/>
  <c r="S77" i="72" s="1"/>
  <c r="L15" i="42"/>
  <c r="P15" i="42"/>
  <c r="N15" i="42"/>
  <c r="T15" i="42"/>
  <c r="R15" i="42"/>
  <c r="R16" i="42"/>
  <c r="R77" i="72" s="1"/>
  <c r="L16" i="42"/>
  <c r="L77" i="72" s="1"/>
  <c r="S76" i="72" l="1"/>
  <c r="T76" i="72"/>
  <c r="R76" i="72"/>
  <c r="O76" i="72"/>
  <c r="M76" i="72"/>
  <c r="P76" i="72"/>
  <c r="L76" i="72"/>
  <c r="Q76" i="72"/>
  <c r="N76" i="72"/>
  <c r="K76" i="72"/>
  <c r="W103" i="72"/>
  <c r="AS103" i="72" s="1"/>
  <c r="W123" i="72"/>
  <c r="W82" i="72"/>
  <c r="W79" i="72"/>
  <c r="W86" i="72"/>
  <c r="W77" i="72"/>
  <c r="W112" i="72"/>
  <c r="W94" i="72"/>
  <c r="W80" i="72"/>
  <c r="W104" i="72"/>
  <c r="W44" i="72"/>
  <c r="W48" i="72"/>
  <c r="W54" i="72"/>
  <c r="W49" i="72"/>
  <c r="W51" i="72"/>
  <c r="W55" i="72"/>
  <c r="W40" i="72"/>
  <c r="W53" i="72"/>
  <c r="W52" i="72"/>
  <c r="W39" i="72"/>
  <c r="M30" i="55"/>
  <c r="P30" i="55"/>
  <c r="O30" i="55"/>
  <c r="N30" i="55"/>
  <c r="L30" i="55"/>
  <c r="I30" i="55"/>
  <c r="K30" i="55"/>
  <c r="H30" i="55"/>
  <c r="J30" i="55"/>
  <c r="G30" i="55"/>
  <c r="W96" i="41"/>
  <c r="W98" i="41"/>
  <c r="W95" i="41"/>
  <c r="W87" i="41"/>
  <c r="W83" i="41"/>
  <c r="W94" i="41"/>
  <c r="W91" i="41"/>
  <c r="W82" i="41"/>
  <c r="Y39" i="64" s="1"/>
  <c r="W92" i="41"/>
  <c r="W97" i="41"/>
  <c r="W38" i="41"/>
  <c r="AQ38" i="41" s="1"/>
  <c r="L40" i="55"/>
  <c r="O40" i="55"/>
  <c r="M40" i="55"/>
  <c r="N40" i="55"/>
  <c r="H40" i="55"/>
  <c r="I40" i="55"/>
  <c r="P40" i="55"/>
  <c r="J40" i="55"/>
  <c r="K40" i="55"/>
  <c r="G40" i="55"/>
  <c r="K16" i="41"/>
  <c r="K17" i="72" s="1"/>
  <c r="W43" i="42"/>
  <c r="AC54" i="65"/>
  <c r="AC55" i="65" s="1"/>
  <c r="AQ54" i="65"/>
  <c r="AP54" i="65"/>
  <c r="AO54" i="65"/>
  <c r="AN54" i="65"/>
  <c r="AM54" i="65"/>
  <c r="AL54" i="65"/>
  <c r="AK54" i="65"/>
  <c r="AJ54" i="65"/>
  <c r="AI54" i="65"/>
  <c r="AH54" i="65"/>
  <c r="AG54" i="65"/>
  <c r="AF54" i="65"/>
  <c r="AQ53" i="65"/>
  <c r="AP53" i="65"/>
  <c r="AO53" i="65"/>
  <c r="AN53" i="65"/>
  <c r="AM53" i="65"/>
  <c r="AK53" i="65"/>
  <c r="AJ53" i="65"/>
  <c r="AI53" i="65"/>
  <c r="AH53" i="65"/>
  <c r="AG53" i="65"/>
  <c r="AE53" i="65"/>
  <c r="L14" i="62"/>
  <c r="G50" i="47"/>
  <c r="V14" i="62"/>
  <c r="J14" i="62"/>
  <c r="U14" i="62"/>
  <c r="T14" i="62"/>
  <c r="S14" i="62"/>
  <c r="R14" i="62"/>
  <c r="Q14" i="62"/>
  <c r="P14" i="62"/>
  <c r="O14" i="62"/>
  <c r="N14" i="62"/>
  <c r="M14" i="62"/>
  <c r="K14" i="62"/>
  <c r="W76" i="72" l="1"/>
  <c r="AS76" i="72" s="1"/>
  <c r="AR103" i="72"/>
  <c r="AS79" i="72"/>
  <c r="AR79" i="72"/>
  <c r="AR82" i="72"/>
  <c r="AS82" i="72"/>
  <c r="AS104" i="72"/>
  <c r="AR104" i="72"/>
  <c r="AS80" i="72"/>
  <c r="AR80" i="72"/>
  <c r="AS94" i="72"/>
  <c r="AR94" i="72"/>
  <c r="AS123" i="72"/>
  <c r="AR123" i="72"/>
  <c r="AS112" i="72"/>
  <c r="AR112" i="72"/>
  <c r="AR77" i="72"/>
  <c r="AS77" i="72"/>
  <c r="AS86" i="72"/>
  <c r="AR86" i="72"/>
  <c r="AR52" i="72"/>
  <c r="AS52" i="72"/>
  <c r="AS39" i="72"/>
  <c r="AR39" i="72"/>
  <c r="AS53" i="72"/>
  <c r="AR53" i="72"/>
  <c r="AS40" i="72"/>
  <c r="AR40" i="72"/>
  <c r="AS55" i="72"/>
  <c r="AR55" i="72"/>
  <c r="AS51" i="72"/>
  <c r="AR51" i="72"/>
  <c r="AR49" i="72"/>
  <c r="AS49" i="72"/>
  <c r="AS54" i="72"/>
  <c r="AR54" i="72"/>
  <c r="AS48" i="72"/>
  <c r="AR48" i="72"/>
  <c r="AS44" i="72"/>
  <c r="AR44" i="72"/>
  <c r="AR43" i="42"/>
  <c r="AQ43" i="42"/>
  <c r="AR97" i="41"/>
  <c r="AQ97" i="41"/>
  <c r="AR83" i="41"/>
  <c r="AQ83" i="41"/>
  <c r="AR38" i="41"/>
  <c r="W14" i="62"/>
  <c r="J49" i="41"/>
  <c r="AR76" i="72" l="1"/>
  <c r="AR238" i="67"/>
  <c r="AR237" i="67"/>
  <c r="AR236" i="67"/>
  <c r="AR235" i="67"/>
  <c r="AR234" i="67"/>
  <c r="AR233" i="67"/>
  <c r="AR232" i="67"/>
  <c r="AR231" i="67"/>
  <c r="AR230" i="67"/>
  <c r="AQ229" i="67"/>
  <c r="AP229" i="67"/>
  <c r="AO229" i="67"/>
  <c r="AN229" i="67"/>
  <c r="AM229" i="67"/>
  <c r="AL229" i="67"/>
  <c r="AK229" i="67"/>
  <c r="AJ229" i="67"/>
  <c r="AI229" i="67"/>
  <c r="AH229" i="67"/>
  <c r="AG229" i="67"/>
  <c r="AF229" i="67"/>
  <c r="AR228" i="67"/>
  <c r="AR227" i="67"/>
  <c r="AR226" i="67"/>
  <c r="AR225" i="67"/>
  <c r="AR224" i="67"/>
  <c r="AR223" i="67"/>
  <c r="AR222" i="67"/>
  <c r="AR221" i="67"/>
  <c r="AR220" i="67"/>
  <c r="AR219" i="67"/>
  <c r="AR218" i="67"/>
  <c r="AR217" i="67"/>
  <c r="AR216" i="67"/>
  <c r="AR215" i="67"/>
  <c r="AR214" i="67"/>
  <c r="AR213" i="67"/>
  <c r="AR212" i="67"/>
  <c r="AR211" i="67"/>
  <c r="AR210" i="67"/>
  <c r="AR209" i="67"/>
  <c r="AR208" i="67"/>
  <c r="AR207" i="67"/>
  <c r="AR206" i="67"/>
  <c r="AR205" i="67"/>
  <c r="AR204" i="67"/>
  <c r="AR203" i="67"/>
  <c r="AR202" i="67"/>
  <c r="AR201" i="67"/>
  <c r="AR200" i="67"/>
  <c r="AR199" i="67"/>
  <c r="AR198" i="67"/>
  <c r="AR197" i="67"/>
  <c r="AR196" i="67"/>
  <c r="AR195" i="67"/>
  <c r="AR194" i="67"/>
  <c r="AR193" i="67"/>
  <c r="AR192" i="67"/>
  <c r="AR191" i="67"/>
  <c r="AR190" i="67"/>
  <c r="AR189" i="67"/>
  <c r="AR188" i="67"/>
  <c r="AR187" i="67"/>
  <c r="AR186" i="67"/>
  <c r="AR185" i="67"/>
  <c r="AR184" i="67"/>
  <c r="AR183" i="67"/>
  <c r="AR182" i="67"/>
  <c r="AR181" i="67"/>
  <c r="AR180" i="67"/>
  <c r="AR179" i="67"/>
  <c r="AR178" i="67"/>
  <c r="AR177" i="67"/>
  <c r="AR176" i="67"/>
  <c r="AR175" i="67"/>
  <c r="AR174" i="67"/>
  <c r="AR173" i="67"/>
  <c r="AR172" i="67"/>
  <c r="AR171" i="67"/>
  <c r="AR170" i="67"/>
  <c r="AR169" i="67"/>
  <c r="AR168" i="67"/>
  <c r="AR167" i="67"/>
  <c r="AR166" i="67"/>
  <c r="AR165" i="67"/>
  <c r="AR164" i="67"/>
  <c r="AR163" i="67"/>
  <c r="AR162" i="67"/>
  <c r="AR161" i="67"/>
  <c r="AR160" i="67"/>
  <c r="AR159" i="67"/>
  <c r="AR158" i="67"/>
  <c r="AR157" i="67"/>
  <c r="AR156" i="67"/>
  <c r="AR155" i="67"/>
  <c r="AR154" i="67"/>
  <c r="AR153" i="67"/>
  <c r="AR152" i="67"/>
  <c r="AQ151" i="67"/>
  <c r="AP151" i="67"/>
  <c r="AO151" i="67"/>
  <c r="AN151" i="67"/>
  <c r="AM151" i="67"/>
  <c r="AL151" i="67"/>
  <c r="AK151" i="67"/>
  <c r="AJ151" i="67"/>
  <c r="AI151" i="67"/>
  <c r="AH151" i="67"/>
  <c r="AG151" i="67"/>
  <c r="AF151" i="67"/>
  <c r="AR150" i="67"/>
  <c r="AR149" i="67"/>
  <c r="AR148" i="67"/>
  <c r="AR147" i="67"/>
  <c r="AR146" i="67"/>
  <c r="AR145" i="67"/>
  <c r="AR144" i="67"/>
  <c r="AR143" i="67"/>
  <c r="AR142" i="67"/>
  <c r="AR141" i="67"/>
  <c r="AR140" i="67"/>
  <c r="AR139" i="67"/>
  <c r="AR138" i="67"/>
  <c r="AR137" i="67"/>
  <c r="AR136" i="67"/>
  <c r="AR134" i="67"/>
  <c r="AR132" i="67"/>
  <c r="AR131" i="67"/>
  <c r="AR130" i="67"/>
  <c r="AR129" i="67"/>
  <c r="AR128" i="67"/>
  <c r="AR127" i="67"/>
  <c r="AR126" i="67"/>
  <c r="AR125" i="67"/>
  <c r="AS125" i="67" s="1"/>
  <c r="AT125" i="67" s="1"/>
  <c r="AR124" i="67"/>
  <c r="AR123" i="67"/>
  <c r="AR122" i="67"/>
  <c r="AR121" i="67"/>
  <c r="AR120" i="67"/>
  <c r="AQ119" i="67"/>
  <c r="AP119" i="67"/>
  <c r="AO119" i="67"/>
  <c r="AN119" i="67"/>
  <c r="AM119" i="67"/>
  <c r="AL119" i="67"/>
  <c r="AK119" i="67"/>
  <c r="AJ119" i="67"/>
  <c r="AI119" i="67"/>
  <c r="AH119" i="67"/>
  <c r="AG119" i="67"/>
  <c r="AF119" i="67"/>
  <c r="R229" i="67" l="1"/>
  <c r="Z229" i="67"/>
  <c r="AR151" i="67"/>
  <c r="Y151" i="67"/>
  <c r="T151" i="67"/>
  <c r="X151" i="67"/>
  <c r="AS159" i="67"/>
  <c r="AT159" i="67" s="1"/>
  <c r="AS167" i="67"/>
  <c r="AT167" i="67" s="1"/>
  <c r="AS175" i="67"/>
  <c r="AT175" i="67" s="1"/>
  <c r="AS183" i="67"/>
  <c r="AT183" i="67" s="1"/>
  <c r="AS191" i="67"/>
  <c r="AT191" i="67" s="1"/>
  <c r="AS199" i="67"/>
  <c r="AT199" i="67" s="1"/>
  <c r="U119" i="67"/>
  <c r="AC119" i="67"/>
  <c r="AS226" i="67"/>
  <c r="AT226" i="67" s="1"/>
  <c r="AR229" i="67"/>
  <c r="W229" i="67"/>
  <c r="X229" i="67"/>
  <c r="AS232" i="67"/>
  <c r="AT232" i="67" s="1"/>
  <c r="Y229" i="67"/>
  <c r="AS234" i="67"/>
  <c r="AT234" i="67" s="1"/>
  <c r="W151" i="67"/>
  <c r="R151" i="67"/>
  <c r="Z151" i="67"/>
  <c r="AS153" i="67"/>
  <c r="AT153" i="67" s="1"/>
  <c r="AS156" i="67"/>
  <c r="AT156" i="67" s="1"/>
  <c r="AS161" i="67"/>
  <c r="AT161" i="67" s="1"/>
  <c r="AS164" i="67"/>
  <c r="AT164" i="67" s="1"/>
  <c r="AS169" i="67"/>
  <c r="AT169" i="67" s="1"/>
  <c r="AS172" i="67"/>
  <c r="AT172" i="67" s="1"/>
  <c r="AS180" i="67"/>
  <c r="AT180" i="67" s="1"/>
  <c r="AS188" i="67"/>
  <c r="AT188" i="67" s="1"/>
  <c r="AS196" i="67"/>
  <c r="AT196" i="67" s="1"/>
  <c r="AS204" i="67"/>
  <c r="AT204" i="67" s="1"/>
  <c r="AS211" i="67"/>
  <c r="AT211" i="67" s="1"/>
  <c r="AS214" i="67"/>
  <c r="AT214" i="67" s="1"/>
  <c r="T119" i="67"/>
  <c r="AB119" i="67"/>
  <c r="S151" i="67"/>
  <c r="AA151" i="67"/>
  <c r="AS158" i="67"/>
  <c r="AT158" i="67" s="1"/>
  <c r="AS166" i="67"/>
  <c r="AT166" i="67" s="1"/>
  <c r="AS174" i="67"/>
  <c r="AT174" i="67" s="1"/>
  <c r="AS177" i="67"/>
  <c r="AT177" i="67" s="1"/>
  <c r="AS185" i="67"/>
  <c r="AT185" i="67" s="1"/>
  <c r="AS193" i="67"/>
  <c r="AT193" i="67" s="1"/>
  <c r="AS201" i="67"/>
  <c r="AT201" i="67" s="1"/>
  <c r="AS231" i="67"/>
  <c r="AT231" i="67" s="1"/>
  <c r="V119" i="67"/>
  <c r="AR119" i="67"/>
  <c r="AB151" i="67"/>
  <c r="AS155" i="67"/>
  <c r="AT155" i="67" s="1"/>
  <c r="AC151" i="67"/>
  <c r="AS163" i="67"/>
  <c r="AT163" i="67" s="1"/>
  <c r="AS171" i="67"/>
  <c r="AT171" i="67" s="1"/>
  <c r="AS182" i="67"/>
  <c r="AT182" i="67" s="1"/>
  <c r="AS190" i="67"/>
  <c r="AT190" i="67" s="1"/>
  <c r="AS198" i="67"/>
  <c r="AT198" i="67" s="1"/>
  <c r="AS219" i="67"/>
  <c r="AT219" i="67" s="1"/>
  <c r="AS222" i="67"/>
  <c r="AT222" i="67" s="1"/>
  <c r="S229" i="67"/>
  <c r="AA229" i="67"/>
  <c r="W119" i="67"/>
  <c r="AA119" i="67"/>
  <c r="AS160" i="67"/>
  <c r="AT160" i="67" s="1"/>
  <c r="AS168" i="67"/>
  <c r="AT168" i="67" s="1"/>
  <c r="AS176" i="67"/>
  <c r="AT176" i="67" s="1"/>
  <c r="AS179" i="67"/>
  <c r="AT179" i="67" s="1"/>
  <c r="AS187" i="67"/>
  <c r="AT187" i="67" s="1"/>
  <c r="AS195" i="67"/>
  <c r="AT195" i="67" s="1"/>
  <c r="AS203" i="67"/>
  <c r="AT203" i="67" s="1"/>
  <c r="AS210" i="67"/>
  <c r="AT210" i="67" s="1"/>
  <c r="T229" i="67"/>
  <c r="AB229" i="67"/>
  <c r="AS233" i="67"/>
  <c r="AT233" i="67" s="1"/>
  <c r="AS236" i="67"/>
  <c r="AT236" i="67" s="1"/>
  <c r="AS238" i="67"/>
  <c r="AT238" i="67" s="1"/>
  <c r="Z119" i="67"/>
  <c r="AS184" i="67"/>
  <c r="AT184" i="67" s="1"/>
  <c r="AS192" i="67"/>
  <c r="AT192" i="67" s="1"/>
  <c r="AS200" i="67"/>
  <c r="AT200" i="67" s="1"/>
  <c r="AS227" i="67"/>
  <c r="AT227" i="67" s="1"/>
  <c r="AS154" i="67"/>
  <c r="AT154" i="67" s="1"/>
  <c r="AS157" i="67"/>
  <c r="AT157" i="67" s="1"/>
  <c r="AS162" i="67"/>
  <c r="AT162" i="67" s="1"/>
  <c r="AS165" i="67"/>
  <c r="AT165" i="67" s="1"/>
  <c r="AS170" i="67"/>
  <c r="AT170" i="67" s="1"/>
  <c r="AS173" i="67"/>
  <c r="AT173" i="67" s="1"/>
  <c r="AS181" i="67"/>
  <c r="AT181" i="67" s="1"/>
  <c r="AS189" i="67"/>
  <c r="AT189" i="67" s="1"/>
  <c r="AS197" i="67"/>
  <c r="AT197" i="67" s="1"/>
  <c r="AS218" i="67"/>
  <c r="AT218" i="67" s="1"/>
  <c r="AS235" i="67"/>
  <c r="AT235" i="67" s="1"/>
  <c r="AS178" i="67"/>
  <c r="AT178" i="67" s="1"/>
  <c r="AS186" i="67"/>
  <c r="AT186" i="67" s="1"/>
  <c r="AS194" i="67"/>
  <c r="AT194" i="67" s="1"/>
  <c r="AS202" i="67"/>
  <c r="AT202" i="67" s="1"/>
  <c r="AS206" i="67"/>
  <c r="AT206" i="67" s="1"/>
  <c r="AS237" i="67"/>
  <c r="AT237" i="67" s="1"/>
  <c r="X119" i="67"/>
  <c r="U151" i="67"/>
  <c r="Y119" i="67"/>
  <c r="V151" i="67"/>
  <c r="AD152" i="67"/>
  <c r="AS152" i="67" s="1"/>
  <c r="AT152" i="67" s="1"/>
  <c r="AS209" i="67"/>
  <c r="AT209" i="67" s="1"/>
  <c r="AS217" i="67"/>
  <c r="AT217" i="67" s="1"/>
  <c r="AS225" i="67"/>
  <c r="AT225" i="67" s="1"/>
  <c r="AS208" i="67"/>
  <c r="AT208" i="67" s="1"/>
  <c r="AS216" i="67"/>
  <c r="AT216" i="67" s="1"/>
  <c r="AS224" i="67"/>
  <c r="AT224" i="67" s="1"/>
  <c r="U229" i="67"/>
  <c r="AC229" i="67"/>
  <c r="AS207" i="67"/>
  <c r="AT207" i="67" s="1"/>
  <c r="AS215" i="67"/>
  <c r="AT215" i="67" s="1"/>
  <c r="AS223" i="67"/>
  <c r="AT223" i="67" s="1"/>
  <c r="V229" i="67"/>
  <c r="AS230" i="67"/>
  <c r="AT230" i="67" s="1"/>
  <c r="AS205" i="67"/>
  <c r="AT205" i="67" s="1"/>
  <c r="AS213" i="67"/>
  <c r="AT213" i="67" s="1"/>
  <c r="AS221" i="67"/>
  <c r="AT221" i="67" s="1"/>
  <c r="AS212" i="67"/>
  <c r="AT212" i="67" s="1"/>
  <c r="AS220" i="67"/>
  <c r="AT220" i="67" s="1"/>
  <c r="AS228" i="67"/>
  <c r="AT228" i="67" s="1"/>
  <c r="AD229" i="67" l="1"/>
  <c r="AS229" i="67"/>
  <c r="AT229" i="67" s="1"/>
  <c r="AD151" i="67"/>
  <c r="AS151" i="67" s="1"/>
  <c r="AT151" i="67" s="1"/>
  <c r="W16" i="39" l="1"/>
  <c r="R29" i="55"/>
  <c r="Q29" i="55"/>
  <c r="P29" i="55"/>
  <c r="O29" i="55"/>
  <c r="N29" i="55"/>
  <c r="M29" i="55"/>
  <c r="L29" i="55"/>
  <c r="K29" i="55"/>
  <c r="J29" i="55"/>
  <c r="I29" i="55"/>
  <c r="H29" i="55"/>
  <c r="G29" i="55"/>
  <c r="AD54" i="65"/>
  <c r="U65" i="42" l="1"/>
  <c r="U64" i="42"/>
  <c r="U104" i="41"/>
  <c r="U102" i="41"/>
  <c r="U103" i="41"/>
  <c r="U100" i="41"/>
  <c r="AE54" i="65"/>
  <c r="AE55" i="65" s="1"/>
  <c r="AD53" i="65"/>
  <c r="AF55" i="65"/>
  <c r="AN55" i="65"/>
  <c r="AG55" i="65"/>
  <c r="AO55" i="65"/>
  <c r="AM55" i="65"/>
  <c r="AH55" i="65"/>
  <c r="AP55" i="65"/>
  <c r="AI55" i="65"/>
  <c r="AQ55" i="65"/>
  <c r="AJ55" i="65"/>
  <c r="AK55" i="65"/>
  <c r="AL55" i="65"/>
  <c r="U63" i="42" l="1"/>
  <c r="AD55" i="65"/>
  <c r="N100" i="41" s="1"/>
  <c r="X15" i="39"/>
  <c r="X14" i="39"/>
  <c r="X13" i="39"/>
  <c r="M101" i="41" l="1"/>
  <c r="U124" i="72"/>
  <c r="O64" i="42"/>
  <c r="L65" i="42"/>
  <c r="Q65" i="42"/>
  <c r="K65" i="42"/>
  <c r="Q64" i="42"/>
  <c r="M104" i="41"/>
  <c r="K103" i="41"/>
  <c r="N65" i="42"/>
  <c r="L64" i="42"/>
  <c r="P65" i="42"/>
  <c r="R64" i="42"/>
  <c r="R65" i="42"/>
  <c r="S65" i="42"/>
  <c r="K64" i="42"/>
  <c r="S64" i="42"/>
  <c r="M64" i="42"/>
  <c r="N64" i="42"/>
  <c r="P64" i="42"/>
  <c r="T65" i="42"/>
  <c r="T102" i="41"/>
  <c r="M65" i="42"/>
  <c r="O65" i="42"/>
  <c r="T64" i="42"/>
  <c r="Q101" i="41"/>
  <c r="M100" i="41"/>
  <c r="R102" i="41"/>
  <c r="P101" i="41"/>
  <c r="L101" i="41"/>
  <c r="K101" i="41"/>
  <c r="R103" i="41"/>
  <c r="N102" i="41"/>
  <c r="M102" i="41"/>
  <c r="R104" i="41"/>
  <c r="S104" i="41"/>
  <c r="S102" i="41"/>
  <c r="K100" i="41"/>
  <c r="M103" i="41"/>
  <c r="T104" i="41"/>
  <c r="Q103" i="41"/>
  <c r="P104" i="41"/>
  <c r="K102" i="41"/>
  <c r="P100" i="41"/>
  <c r="N103" i="41"/>
  <c r="T103" i="41"/>
  <c r="S100" i="41"/>
  <c r="O100" i="41"/>
  <c r="P103" i="41"/>
  <c r="O102" i="41"/>
  <c r="L100" i="41"/>
  <c r="R100" i="41"/>
  <c r="L104" i="41"/>
  <c r="Q104" i="41"/>
  <c r="N104" i="41"/>
  <c r="O101" i="41"/>
  <c r="O104" i="41"/>
  <c r="L103" i="41"/>
  <c r="P102" i="41"/>
  <c r="Q100" i="41"/>
  <c r="R101" i="41"/>
  <c r="T101" i="41"/>
  <c r="O103" i="41"/>
  <c r="L102" i="41"/>
  <c r="T100" i="41"/>
  <c r="K104" i="41"/>
  <c r="S103" i="41"/>
  <c r="N101" i="41"/>
  <c r="S101" i="41"/>
  <c r="Q102" i="41"/>
  <c r="X16" i="39"/>
  <c r="G34" i="47"/>
  <c r="E33" i="47"/>
  <c r="G33" i="47" s="1"/>
  <c r="O63" i="42" l="1"/>
  <c r="L63" i="42"/>
  <c r="Q63" i="42"/>
  <c r="N63" i="42"/>
  <c r="P63" i="42"/>
  <c r="W65" i="42"/>
  <c r="S63" i="42"/>
  <c r="M63" i="42"/>
  <c r="W64" i="42"/>
  <c r="K63" i="42"/>
  <c r="T63" i="42"/>
  <c r="R63" i="42"/>
  <c r="M99" i="41"/>
  <c r="M56" i="72" s="1"/>
  <c r="J31" i="55"/>
  <c r="I31" i="55"/>
  <c r="K99" i="41"/>
  <c r="K56" i="72" s="1"/>
  <c r="W103" i="41"/>
  <c r="O31" i="55"/>
  <c r="S99" i="41"/>
  <c r="S56" i="72" s="1"/>
  <c r="W102" i="41"/>
  <c r="W104" i="41"/>
  <c r="N31" i="55"/>
  <c r="R99" i="41"/>
  <c r="R56" i="72" s="1"/>
  <c r="M31" i="55"/>
  <c r="Q99" i="41"/>
  <c r="Q56" i="72" s="1"/>
  <c r="H31" i="55"/>
  <c r="L99" i="41"/>
  <c r="L56" i="72" s="1"/>
  <c r="W100" i="41"/>
  <c r="G31" i="55"/>
  <c r="P99" i="41"/>
  <c r="P56" i="72" s="1"/>
  <c r="L31" i="55"/>
  <c r="N99" i="41"/>
  <c r="N56" i="72" s="1"/>
  <c r="K31" i="55"/>
  <c r="O99" i="41"/>
  <c r="O56" i="72" s="1"/>
  <c r="P31" i="55"/>
  <c r="T99" i="41"/>
  <c r="T56" i="72" s="1"/>
  <c r="E79" i="52"/>
  <c r="F79" i="52" s="1"/>
  <c r="S124" i="72" l="1"/>
  <c r="R124" i="72"/>
  <c r="P124" i="72"/>
  <c r="T124" i="72"/>
  <c r="N124" i="72"/>
  <c r="Q124" i="72"/>
  <c r="M124" i="72"/>
  <c r="L124" i="72"/>
  <c r="O124" i="72"/>
  <c r="G41" i="55"/>
  <c r="K124" i="72"/>
  <c r="AQ65" i="42"/>
  <c r="AR65" i="42"/>
  <c r="AQ104" i="41"/>
  <c r="AR104" i="41"/>
  <c r="AQ102" i="41"/>
  <c r="AR102" i="41"/>
  <c r="AQ103" i="41"/>
  <c r="AR103" i="41"/>
  <c r="AQ64" i="42"/>
  <c r="AR64" i="42"/>
  <c r="AQ100" i="41"/>
  <c r="AR100" i="41"/>
  <c r="G79" i="52"/>
  <c r="I79" i="52" s="1"/>
  <c r="H79" i="52"/>
  <c r="W124" i="72" l="1"/>
  <c r="F80" i="52"/>
  <c r="AR124" i="72" l="1"/>
  <c r="AS124" i="72"/>
  <c r="H80" i="52"/>
  <c r="G80" i="52"/>
  <c r="I80" i="52" s="1"/>
  <c r="V16" i="41" l="1"/>
  <c r="V17" i="72" s="1"/>
  <c r="U16" i="41"/>
  <c r="U17" i="72" s="1"/>
  <c r="T16" i="41"/>
  <c r="T17" i="72" s="1"/>
  <c r="S16" i="41"/>
  <c r="S17" i="72" s="1"/>
  <c r="R16" i="41"/>
  <c r="R17" i="72" s="1"/>
  <c r="Q16" i="41"/>
  <c r="Q17" i="72" s="1"/>
  <c r="P16" i="41"/>
  <c r="P17" i="72" s="1"/>
  <c r="O16" i="41"/>
  <c r="O17" i="72" s="1"/>
  <c r="N16" i="41"/>
  <c r="N17" i="72" s="1"/>
  <c r="M16" i="41"/>
  <c r="M17" i="72" s="1"/>
  <c r="L16" i="41"/>
  <c r="L17" i="72" s="1"/>
  <c r="V58" i="41"/>
  <c r="U58" i="41"/>
  <c r="T58" i="41"/>
  <c r="S58" i="41"/>
  <c r="R58" i="41"/>
  <c r="Q58" i="41"/>
  <c r="P58" i="41"/>
  <c r="O58" i="41"/>
  <c r="N58" i="41"/>
  <c r="M58" i="41"/>
  <c r="L58" i="41"/>
  <c r="K58" i="41"/>
  <c r="V57" i="41"/>
  <c r="U57" i="41"/>
  <c r="T57" i="41"/>
  <c r="S57" i="41"/>
  <c r="R57" i="41"/>
  <c r="Q57" i="41"/>
  <c r="P57" i="41"/>
  <c r="O57" i="41"/>
  <c r="N57" i="41"/>
  <c r="M57" i="41"/>
  <c r="L57" i="41"/>
  <c r="K57" i="41"/>
  <c r="V56" i="41"/>
  <c r="U56" i="41"/>
  <c r="T56" i="41"/>
  <c r="S56" i="41"/>
  <c r="R56" i="41"/>
  <c r="Q56" i="41"/>
  <c r="P56" i="41"/>
  <c r="O56" i="41"/>
  <c r="N56" i="41"/>
  <c r="M56" i="41"/>
  <c r="L56" i="41"/>
  <c r="K56" i="41"/>
  <c r="V55" i="41"/>
  <c r="U55" i="41"/>
  <c r="T55" i="41"/>
  <c r="S55" i="41"/>
  <c r="R55" i="41"/>
  <c r="Q55" i="41"/>
  <c r="P55" i="41"/>
  <c r="O55" i="41"/>
  <c r="N55" i="41"/>
  <c r="M55" i="41"/>
  <c r="L55" i="41"/>
  <c r="K55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V52" i="41"/>
  <c r="U52" i="41"/>
  <c r="T52" i="41"/>
  <c r="S52" i="41"/>
  <c r="R52" i="41"/>
  <c r="Q52" i="41"/>
  <c r="P52" i="41"/>
  <c r="O52" i="41"/>
  <c r="N52" i="41"/>
  <c r="M52" i="41"/>
  <c r="L52" i="41"/>
  <c r="K52" i="41"/>
  <c r="V51" i="41"/>
  <c r="U51" i="41"/>
  <c r="T51" i="41"/>
  <c r="S51" i="41"/>
  <c r="R51" i="41"/>
  <c r="Q51" i="41"/>
  <c r="P51" i="41"/>
  <c r="O51" i="41"/>
  <c r="N51" i="41"/>
  <c r="M51" i="41"/>
  <c r="L51" i="41"/>
  <c r="K51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W60" i="41"/>
  <c r="R220" i="63"/>
  <c r="R219" i="63"/>
  <c r="R218" i="63"/>
  <c r="R217" i="63"/>
  <c r="R216" i="63"/>
  <c r="R215" i="63"/>
  <c r="R214" i="63"/>
  <c r="R213" i="63"/>
  <c r="R212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R136" i="63"/>
  <c r="R135" i="63"/>
  <c r="R134" i="63"/>
  <c r="R133" i="63"/>
  <c r="R132" i="63"/>
  <c r="R131" i="63"/>
  <c r="R130" i="63"/>
  <c r="R129" i="63"/>
  <c r="R128" i="63"/>
  <c r="Q127" i="63"/>
  <c r="P127" i="63"/>
  <c r="O127" i="63"/>
  <c r="N127" i="63"/>
  <c r="M127" i="63"/>
  <c r="L127" i="63"/>
  <c r="K127" i="63"/>
  <c r="J127" i="63"/>
  <c r="I127" i="63"/>
  <c r="H127" i="63"/>
  <c r="G127" i="63"/>
  <c r="F127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R124" i="63"/>
  <c r="R123" i="63"/>
  <c r="R122" i="63"/>
  <c r="R121" i="63"/>
  <c r="R120" i="63"/>
  <c r="R119" i="63"/>
  <c r="R118" i="63"/>
  <c r="R117" i="63"/>
  <c r="R116" i="63"/>
  <c r="Q115" i="63"/>
  <c r="P115" i="63"/>
  <c r="O115" i="63"/>
  <c r="N115" i="63"/>
  <c r="M115" i="63"/>
  <c r="L115" i="63"/>
  <c r="K115" i="63"/>
  <c r="J115" i="63"/>
  <c r="I115" i="63"/>
  <c r="H115" i="63"/>
  <c r="G115" i="63"/>
  <c r="F115" i="63"/>
  <c r="Q114" i="63"/>
  <c r="P114" i="63"/>
  <c r="O114" i="63"/>
  <c r="N114" i="63"/>
  <c r="M114" i="63"/>
  <c r="L114" i="63"/>
  <c r="K114" i="63"/>
  <c r="J114" i="63"/>
  <c r="I114" i="63"/>
  <c r="H114" i="63"/>
  <c r="G114" i="63"/>
  <c r="F114" i="63"/>
  <c r="R112" i="63"/>
  <c r="R111" i="63"/>
  <c r="R110" i="63"/>
  <c r="R109" i="63"/>
  <c r="R108" i="63"/>
  <c r="R107" i="63"/>
  <c r="R106" i="63"/>
  <c r="R105" i="63"/>
  <c r="R104" i="63"/>
  <c r="Q103" i="63"/>
  <c r="P103" i="63"/>
  <c r="O103" i="63"/>
  <c r="N103" i="63"/>
  <c r="M103" i="63"/>
  <c r="L103" i="63"/>
  <c r="K103" i="63"/>
  <c r="J103" i="63"/>
  <c r="I103" i="63"/>
  <c r="H103" i="63"/>
  <c r="G103" i="63"/>
  <c r="F103" i="63"/>
  <c r="Q102" i="63"/>
  <c r="P102" i="63"/>
  <c r="O102" i="63"/>
  <c r="N102" i="63"/>
  <c r="M102" i="63"/>
  <c r="L102" i="63"/>
  <c r="K102" i="63"/>
  <c r="J102" i="63"/>
  <c r="I102" i="63"/>
  <c r="H102" i="63"/>
  <c r="G102" i="63"/>
  <c r="F102" i="63"/>
  <c r="R100" i="63"/>
  <c r="R99" i="63"/>
  <c r="R98" i="63"/>
  <c r="R97" i="63"/>
  <c r="R96" i="63"/>
  <c r="R95" i="63"/>
  <c r="R94" i="63"/>
  <c r="R93" i="63"/>
  <c r="R92" i="63"/>
  <c r="Q91" i="63"/>
  <c r="P91" i="63"/>
  <c r="O91" i="63"/>
  <c r="N91" i="63"/>
  <c r="M91" i="63"/>
  <c r="L91" i="63"/>
  <c r="K91" i="63"/>
  <c r="J91" i="63"/>
  <c r="I91" i="63"/>
  <c r="H91" i="63"/>
  <c r="G91" i="63"/>
  <c r="F91" i="63"/>
  <c r="Q90" i="63"/>
  <c r="P90" i="63"/>
  <c r="O90" i="63"/>
  <c r="N90" i="63"/>
  <c r="M90" i="63"/>
  <c r="L90" i="63"/>
  <c r="K90" i="63"/>
  <c r="J90" i="63"/>
  <c r="I90" i="63"/>
  <c r="H90" i="63"/>
  <c r="G90" i="63"/>
  <c r="F90" i="63"/>
  <c r="R88" i="63"/>
  <c r="R87" i="63"/>
  <c r="R86" i="63"/>
  <c r="R85" i="63"/>
  <c r="R84" i="63"/>
  <c r="R83" i="63"/>
  <c r="R82" i="63"/>
  <c r="R81" i="63"/>
  <c r="R80" i="63"/>
  <c r="Q79" i="63"/>
  <c r="P79" i="63"/>
  <c r="O79" i="63"/>
  <c r="N79" i="63"/>
  <c r="M79" i="63"/>
  <c r="L79" i="63"/>
  <c r="K79" i="63"/>
  <c r="J79" i="63"/>
  <c r="I79" i="63"/>
  <c r="H79" i="63"/>
  <c r="G79" i="63"/>
  <c r="F79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R76" i="63"/>
  <c r="R75" i="63"/>
  <c r="R74" i="63"/>
  <c r="R73" i="63"/>
  <c r="R72" i="63"/>
  <c r="R71" i="63"/>
  <c r="R70" i="63"/>
  <c r="R69" i="63"/>
  <c r="R68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R64" i="63"/>
  <c r="R63" i="63"/>
  <c r="R62" i="63"/>
  <c r="R61" i="63"/>
  <c r="R60" i="63"/>
  <c r="R59" i="63"/>
  <c r="R58" i="63"/>
  <c r="R57" i="63"/>
  <c r="R56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R52" i="63"/>
  <c r="R51" i="63"/>
  <c r="R50" i="63"/>
  <c r="R49" i="63"/>
  <c r="R48" i="63"/>
  <c r="R47" i="63"/>
  <c r="R46" i="63"/>
  <c r="R45" i="63"/>
  <c r="R44" i="63"/>
  <c r="R40" i="63"/>
  <c r="R33" i="63"/>
  <c r="R32" i="63"/>
  <c r="R21" i="63"/>
  <c r="R20" i="63"/>
  <c r="R16" i="63"/>
  <c r="R196" i="63"/>
  <c r="W58" i="41" s="1"/>
  <c r="R195" i="63"/>
  <c r="W57" i="41" s="1"/>
  <c r="R194" i="63"/>
  <c r="W56" i="41" s="1"/>
  <c r="R193" i="63"/>
  <c r="W55" i="41" s="1"/>
  <c r="R192" i="63"/>
  <c r="W54" i="41" s="1"/>
  <c r="R191" i="63"/>
  <c r="W53" i="41" s="1"/>
  <c r="R190" i="63"/>
  <c r="W52" i="41" s="1"/>
  <c r="R189" i="63"/>
  <c r="W51" i="41" s="1"/>
  <c r="R188" i="63"/>
  <c r="W50" i="41" s="1"/>
  <c r="R30" i="63" l="1"/>
  <c r="R18" i="63"/>
  <c r="W17" i="72"/>
  <c r="R211" i="63"/>
  <c r="W33" i="41"/>
  <c r="W29" i="41"/>
  <c r="W36" i="41"/>
  <c r="W32" i="41"/>
  <c r="AQ32" i="41" s="1"/>
  <c r="W30" i="41"/>
  <c r="W28" i="41"/>
  <c r="W35" i="41"/>
  <c r="W31" i="41"/>
  <c r="AQ31" i="41" s="1"/>
  <c r="W34" i="41"/>
  <c r="AQ34" i="41" s="1"/>
  <c r="W16" i="41"/>
  <c r="R55" i="63"/>
  <c r="R91" i="63"/>
  <c r="R127" i="63"/>
  <c r="R115" i="63"/>
  <c r="R67" i="63"/>
  <c r="R79" i="63"/>
  <c r="R103" i="63"/>
  <c r="AR50" i="41"/>
  <c r="AQ50" i="41"/>
  <c r="AQ51" i="41"/>
  <c r="AR51" i="41"/>
  <c r="AQ52" i="41"/>
  <c r="AR52" i="41"/>
  <c r="AQ53" i="41"/>
  <c r="AR53" i="41"/>
  <c r="AQ54" i="41"/>
  <c r="AR54" i="41"/>
  <c r="AQ55" i="41"/>
  <c r="AR55" i="41"/>
  <c r="AQ56" i="41"/>
  <c r="AR56" i="41"/>
  <c r="AQ57" i="41"/>
  <c r="AR57" i="41"/>
  <c r="AQ58" i="41"/>
  <c r="AR58" i="41"/>
  <c r="AQ60" i="41"/>
  <c r="AR60" i="41"/>
  <c r="R54" i="63"/>
  <c r="R66" i="63"/>
  <c r="R210" i="63"/>
  <c r="R102" i="63"/>
  <c r="R114" i="63"/>
  <c r="R78" i="63"/>
  <c r="R90" i="63"/>
  <c r="R126" i="63"/>
  <c r="AR17" i="72" l="1"/>
  <c r="AS17" i="72"/>
  <c r="AR32" i="41"/>
  <c r="AR34" i="41"/>
  <c r="AR31" i="41"/>
  <c r="AQ16" i="41"/>
  <c r="AR16" i="41"/>
  <c r="V80" i="41"/>
  <c r="V37" i="72" s="1"/>
  <c r="U80" i="41"/>
  <c r="U37" i="72" s="1"/>
  <c r="T80" i="41"/>
  <c r="T37" i="72" s="1"/>
  <c r="S80" i="41"/>
  <c r="S37" i="72" s="1"/>
  <c r="R80" i="41"/>
  <c r="R37" i="72" s="1"/>
  <c r="Q80" i="41"/>
  <c r="Q37" i="72" s="1"/>
  <c r="P80" i="41"/>
  <c r="P37" i="72" s="1"/>
  <c r="O80" i="41"/>
  <c r="O37" i="72" s="1"/>
  <c r="N80" i="41"/>
  <c r="N37" i="72" s="1"/>
  <c r="M80" i="41"/>
  <c r="M37" i="72" s="1"/>
  <c r="L80" i="41"/>
  <c r="L37" i="72" s="1"/>
  <c r="K80" i="41"/>
  <c r="K37" i="72" s="1"/>
  <c r="V79" i="41"/>
  <c r="V36" i="72" s="1"/>
  <c r="U79" i="41"/>
  <c r="U36" i="72" s="1"/>
  <c r="T79" i="41"/>
  <c r="T36" i="72" s="1"/>
  <c r="S79" i="41"/>
  <c r="S36" i="72" s="1"/>
  <c r="R79" i="41"/>
  <c r="R36" i="72" s="1"/>
  <c r="Q79" i="41"/>
  <c r="Q36" i="72" s="1"/>
  <c r="P79" i="41"/>
  <c r="P36" i="72" s="1"/>
  <c r="O79" i="41"/>
  <c r="O36" i="72" s="1"/>
  <c r="N79" i="41"/>
  <c r="N36" i="72" s="1"/>
  <c r="M79" i="41"/>
  <c r="M36" i="72" s="1"/>
  <c r="L79" i="41"/>
  <c r="L36" i="72" s="1"/>
  <c r="K79" i="41"/>
  <c r="K36" i="72" s="1"/>
  <c r="V78" i="41"/>
  <c r="V35" i="72" s="1"/>
  <c r="U78" i="41"/>
  <c r="U35" i="72" s="1"/>
  <c r="T78" i="41"/>
  <c r="T35" i="72" s="1"/>
  <c r="S78" i="41"/>
  <c r="S35" i="72" s="1"/>
  <c r="R78" i="41"/>
  <c r="R35" i="72" s="1"/>
  <c r="Q78" i="41"/>
  <c r="Q35" i="72" s="1"/>
  <c r="P78" i="41"/>
  <c r="P35" i="72" s="1"/>
  <c r="O78" i="41"/>
  <c r="O35" i="72" s="1"/>
  <c r="N78" i="41"/>
  <c r="N35" i="72" s="1"/>
  <c r="M78" i="41"/>
  <c r="M35" i="72" s="1"/>
  <c r="L78" i="41"/>
  <c r="L35" i="72" s="1"/>
  <c r="K78" i="41"/>
  <c r="K35" i="72" s="1"/>
  <c r="V76" i="41"/>
  <c r="V33" i="72" s="1"/>
  <c r="U76" i="41"/>
  <c r="U33" i="72" s="1"/>
  <c r="T76" i="41"/>
  <c r="T33" i="72" s="1"/>
  <c r="S76" i="41"/>
  <c r="S33" i="72" s="1"/>
  <c r="R76" i="41"/>
  <c r="R33" i="72" s="1"/>
  <c r="Q76" i="41"/>
  <c r="Q33" i="72" s="1"/>
  <c r="P76" i="41"/>
  <c r="P33" i="72" s="1"/>
  <c r="O76" i="41"/>
  <c r="O33" i="72" s="1"/>
  <c r="N76" i="41"/>
  <c r="N33" i="72" s="1"/>
  <c r="M76" i="41"/>
  <c r="M33" i="72" s="1"/>
  <c r="L76" i="41"/>
  <c r="L33" i="72" s="1"/>
  <c r="K76" i="41"/>
  <c r="K33" i="72" s="1"/>
  <c r="V75" i="41"/>
  <c r="V32" i="72" s="1"/>
  <c r="U75" i="41"/>
  <c r="U32" i="72" s="1"/>
  <c r="T75" i="41"/>
  <c r="T32" i="72" s="1"/>
  <c r="S75" i="41"/>
  <c r="S32" i="72" s="1"/>
  <c r="R75" i="41"/>
  <c r="R32" i="72" s="1"/>
  <c r="Q75" i="41"/>
  <c r="Q32" i="72" s="1"/>
  <c r="P75" i="41"/>
  <c r="P32" i="72" s="1"/>
  <c r="O75" i="41"/>
  <c r="O32" i="72" s="1"/>
  <c r="N75" i="41"/>
  <c r="N32" i="72" s="1"/>
  <c r="M75" i="41"/>
  <c r="M32" i="72" s="1"/>
  <c r="L75" i="41"/>
  <c r="L32" i="72" s="1"/>
  <c r="K75" i="41"/>
  <c r="K32" i="72" s="1"/>
  <c r="V74" i="41"/>
  <c r="V31" i="72" s="1"/>
  <c r="U74" i="41"/>
  <c r="U31" i="72" s="1"/>
  <c r="T74" i="41"/>
  <c r="T31" i="72" s="1"/>
  <c r="S74" i="41"/>
  <c r="S31" i="72" s="1"/>
  <c r="R74" i="41"/>
  <c r="R31" i="72" s="1"/>
  <c r="Q74" i="41"/>
  <c r="Q31" i="72" s="1"/>
  <c r="P74" i="41"/>
  <c r="P31" i="72" s="1"/>
  <c r="O74" i="41"/>
  <c r="O31" i="72" s="1"/>
  <c r="N74" i="41"/>
  <c r="N31" i="72" s="1"/>
  <c r="M74" i="41"/>
  <c r="M31" i="72" s="1"/>
  <c r="L74" i="41"/>
  <c r="L31" i="72" s="1"/>
  <c r="K74" i="41"/>
  <c r="K31" i="72" s="1"/>
  <c r="V73" i="41"/>
  <c r="V30" i="72" s="1"/>
  <c r="U73" i="41"/>
  <c r="U30" i="72" s="1"/>
  <c r="T73" i="41"/>
  <c r="T30" i="72" s="1"/>
  <c r="S73" i="41"/>
  <c r="S30" i="72" s="1"/>
  <c r="R73" i="41"/>
  <c r="R30" i="72" s="1"/>
  <c r="Q73" i="41"/>
  <c r="Q30" i="72" s="1"/>
  <c r="P73" i="41"/>
  <c r="P30" i="72" s="1"/>
  <c r="O73" i="41"/>
  <c r="O30" i="72" s="1"/>
  <c r="N73" i="41"/>
  <c r="N30" i="72" s="1"/>
  <c r="M73" i="41"/>
  <c r="M30" i="72" s="1"/>
  <c r="L73" i="41"/>
  <c r="L30" i="72" s="1"/>
  <c r="K73" i="41"/>
  <c r="K30" i="72" s="1"/>
  <c r="V72" i="41"/>
  <c r="V29" i="72" s="1"/>
  <c r="U72" i="41"/>
  <c r="U29" i="72" s="1"/>
  <c r="T72" i="41"/>
  <c r="T29" i="72" s="1"/>
  <c r="S72" i="41"/>
  <c r="S29" i="72" s="1"/>
  <c r="R72" i="41"/>
  <c r="R29" i="72" s="1"/>
  <c r="Q72" i="41"/>
  <c r="Q29" i="72" s="1"/>
  <c r="P72" i="41"/>
  <c r="P29" i="72" s="1"/>
  <c r="O72" i="41"/>
  <c r="O29" i="72" s="1"/>
  <c r="N72" i="41"/>
  <c r="N29" i="72" s="1"/>
  <c r="M72" i="41"/>
  <c r="M29" i="72" s="1"/>
  <c r="L72" i="41"/>
  <c r="L29" i="72" s="1"/>
  <c r="K72" i="41"/>
  <c r="K29" i="72" s="1"/>
  <c r="V14" i="41"/>
  <c r="V15" i="72" s="1"/>
  <c r="U14" i="41"/>
  <c r="U15" i="72" s="1"/>
  <c r="T14" i="41"/>
  <c r="T15" i="72" s="1"/>
  <c r="S14" i="41"/>
  <c r="S15" i="72" s="1"/>
  <c r="R14" i="41"/>
  <c r="R15" i="72" s="1"/>
  <c r="Q14" i="41"/>
  <c r="Q15" i="72" s="1"/>
  <c r="P14" i="41"/>
  <c r="P15" i="72" s="1"/>
  <c r="O14" i="41"/>
  <c r="O15" i="72" s="1"/>
  <c r="N14" i="41"/>
  <c r="N15" i="72" s="1"/>
  <c r="M14" i="41"/>
  <c r="M15" i="72" s="1"/>
  <c r="L14" i="41"/>
  <c r="L15" i="72" s="1"/>
  <c r="K14" i="41"/>
  <c r="K15" i="72" s="1"/>
  <c r="V13" i="41"/>
  <c r="V14" i="72" s="1"/>
  <c r="U13" i="41"/>
  <c r="U14" i="72" s="1"/>
  <c r="T13" i="41"/>
  <c r="T14" i="72" s="1"/>
  <c r="S13" i="41"/>
  <c r="S14" i="72" s="1"/>
  <c r="R13" i="41"/>
  <c r="R14" i="72" s="1"/>
  <c r="Q13" i="41"/>
  <c r="Q14" i="72" s="1"/>
  <c r="P13" i="41"/>
  <c r="P14" i="72" s="1"/>
  <c r="O13" i="41"/>
  <c r="O14" i="72" s="1"/>
  <c r="N13" i="41"/>
  <c r="N14" i="72" s="1"/>
  <c r="M13" i="41"/>
  <c r="M14" i="72" s="1"/>
  <c r="L13" i="41"/>
  <c r="L14" i="72" s="1"/>
  <c r="K13" i="41"/>
  <c r="K14" i="72" s="1"/>
  <c r="V12" i="41"/>
  <c r="V13" i="72" s="1"/>
  <c r="U12" i="41"/>
  <c r="U13" i="72" s="1"/>
  <c r="T12" i="41"/>
  <c r="T13" i="72" s="1"/>
  <c r="S12" i="41"/>
  <c r="S13" i="72" s="1"/>
  <c r="R12" i="41"/>
  <c r="R13" i="72" s="1"/>
  <c r="Q12" i="41"/>
  <c r="Q13" i="72" s="1"/>
  <c r="P12" i="41"/>
  <c r="P13" i="72" s="1"/>
  <c r="O12" i="41"/>
  <c r="O13" i="72" s="1"/>
  <c r="N12" i="41"/>
  <c r="N13" i="72" s="1"/>
  <c r="M12" i="41"/>
  <c r="M13" i="72" s="1"/>
  <c r="L12" i="41"/>
  <c r="L13" i="72" s="1"/>
  <c r="K12" i="41"/>
  <c r="K13" i="72" s="1"/>
  <c r="V10" i="41"/>
  <c r="V11" i="72" s="1"/>
  <c r="U10" i="41"/>
  <c r="U11" i="72" s="1"/>
  <c r="T10" i="41"/>
  <c r="T11" i="72" s="1"/>
  <c r="S10" i="41"/>
  <c r="S11" i="72" s="1"/>
  <c r="R10" i="41"/>
  <c r="R11" i="72" s="1"/>
  <c r="Q10" i="41"/>
  <c r="Q11" i="72" s="1"/>
  <c r="P10" i="41"/>
  <c r="P11" i="72" s="1"/>
  <c r="O10" i="41"/>
  <c r="O11" i="72" s="1"/>
  <c r="N10" i="41"/>
  <c r="N11" i="72" s="1"/>
  <c r="M10" i="41"/>
  <c r="M11" i="72" s="1"/>
  <c r="L10" i="41"/>
  <c r="L11" i="72" s="1"/>
  <c r="K10" i="41"/>
  <c r="K11" i="72" s="1"/>
  <c r="V9" i="41"/>
  <c r="V10" i="72" s="1"/>
  <c r="U9" i="41"/>
  <c r="U10" i="72" s="1"/>
  <c r="T9" i="41"/>
  <c r="T10" i="72" s="1"/>
  <c r="S9" i="41"/>
  <c r="S10" i="72" s="1"/>
  <c r="R9" i="41"/>
  <c r="R10" i="72" s="1"/>
  <c r="Q9" i="41"/>
  <c r="Q10" i="72" s="1"/>
  <c r="P9" i="41"/>
  <c r="P10" i="72" s="1"/>
  <c r="O9" i="41"/>
  <c r="O10" i="72" s="1"/>
  <c r="N9" i="41"/>
  <c r="N10" i="72" s="1"/>
  <c r="M9" i="41"/>
  <c r="M10" i="72" s="1"/>
  <c r="L9" i="41"/>
  <c r="L10" i="72" s="1"/>
  <c r="K9" i="41"/>
  <c r="K10" i="72" s="1"/>
  <c r="V8" i="41"/>
  <c r="V9" i="72" s="1"/>
  <c r="U8" i="41"/>
  <c r="U9" i="72" s="1"/>
  <c r="T8" i="41"/>
  <c r="T9" i="72" s="1"/>
  <c r="S8" i="41"/>
  <c r="S9" i="72" s="1"/>
  <c r="R8" i="41"/>
  <c r="R9" i="72" s="1"/>
  <c r="Q8" i="41"/>
  <c r="Q9" i="72" s="1"/>
  <c r="P8" i="41"/>
  <c r="P9" i="72" s="1"/>
  <c r="O8" i="41"/>
  <c r="O9" i="72" s="1"/>
  <c r="N8" i="41"/>
  <c r="N9" i="72" s="1"/>
  <c r="M8" i="41"/>
  <c r="M9" i="72" s="1"/>
  <c r="L8" i="41"/>
  <c r="L9" i="72" s="1"/>
  <c r="K8" i="41"/>
  <c r="K9" i="72" s="1"/>
  <c r="V7" i="41"/>
  <c r="V8" i="72" s="1"/>
  <c r="U7" i="41"/>
  <c r="U8" i="72" s="1"/>
  <c r="T7" i="41"/>
  <c r="T8" i="72" s="1"/>
  <c r="S7" i="41"/>
  <c r="S8" i="72" s="1"/>
  <c r="R7" i="41"/>
  <c r="R8" i="72" s="1"/>
  <c r="Q7" i="41"/>
  <c r="Q8" i="72" s="1"/>
  <c r="P7" i="41"/>
  <c r="P8" i="72" s="1"/>
  <c r="O7" i="41"/>
  <c r="O8" i="72" s="1"/>
  <c r="N7" i="41"/>
  <c r="N8" i="72" s="1"/>
  <c r="M7" i="41"/>
  <c r="M8" i="72" s="1"/>
  <c r="L7" i="41"/>
  <c r="L8" i="72" s="1"/>
  <c r="K7" i="41"/>
  <c r="K8" i="72" s="1"/>
  <c r="V6" i="41"/>
  <c r="V7" i="72" s="1"/>
  <c r="U6" i="41"/>
  <c r="U7" i="72" s="1"/>
  <c r="T6" i="41"/>
  <c r="T7" i="72" s="1"/>
  <c r="S6" i="41"/>
  <c r="S7" i="72" s="1"/>
  <c r="R6" i="41"/>
  <c r="R7" i="72" s="1"/>
  <c r="Q6" i="41"/>
  <c r="Q7" i="72" s="1"/>
  <c r="P6" i="41"/>
  <c r="P7" i="72" s="1"/>
  <c r="O6" i="41"/>
  <c r="O7" i="72" s="1"/>
  <c r="N6" i="41"/>
  <c r="N7" i="72" s="1"/>
  <c r="M6" i="41"/>
  <c r="M7" i="72" s="1"/>
  <c r="L6" i="41"/>
  <c r="L7" i="72" s="1"/>
  <c r="V13" i="42"/>
  <c r="V74" i="72" s="1"/>
  <c r="U13" i="42"/>
  <c r="U74" i="72" s="1"/>
  <c r="T13" i="42"/>
  <c r="T74" i="72" s="1"/>
  <c r="S13" i="42"/>
  <c r="S74" i="72" s="1"/>
  <c r="R13" i="42"/>
  <c r="R74" i="72" s="1"/>
  <c r="Q13" i="42"/>
  <c r="Q74" i="72" s="1"/>
  <c r="P13" i="42"/>
  <c r="P74" i="72" s="1"/>
  <c r="O13" i="42"/>
  <c r="O74" i="72" s="1"/>
  <c r="N13" i="42"/>
  <c r="N74" i="72" s="1"/>
  <c r="M13" i="42"/>
  <c r="M74" i="72" s="1"/>
  <c r="L13" i="42"/>
  <c r="L74" i="72" s="1"/>
  <c r="K13" i="42"/>
  <c r="K74" i="72" s="1"/>
  <c r="V12" i="42"/>
  <c r="V73" i="72" s="1"/>
  <c r="U12" i="42"/>
  <c r="U73" i="72" s="1"/>
  <c r="T12" i="42"/>
  <c r="T73" i="72" s="1"/>
  <c r="S12" i="42"/>
  <c r="S73" i="72" s="1"/>
  <c r="R12" i="42"/>
  <c r="R73" i="72" s="1"/>
  <c r="Q12" i="42"/>
  <c r="Q73" i="72" s="1"/>
  <c r="P12" i="42"/>
  <c r="P73" i="72" s="1"/>
  <c r="O12" i="42"/>
  <c r="O73" i="72" s="1"/>
  <c r="N12" i="42"/>
  <c r="N73" i="72" s="1"/>
  <c r="M12" i="42"/>
  <c r="M73" i="72" s="1"/>
  <c r="L12" i="42"/>
  <c r="L73" i="72" s="1"/>
  <c r="K12" i="42"/>
  <c r="V11" i="42"/>
  <c r="V72" i="72" s="1"/>
  <c r="U11" i="42"/>
  <c r="U72" i="72" s="1"/>
  <c r="T11" i="42"/>
  <c r="T72" i="72" s="1"/>
  <c r="S11" i="42"/>
  <c r="S72" i="72" s="1"/>
  <c r="R11" i="42"/>
  <c r="R72" i="72" s="1"/>
  <c r="Q11" i="42"/>
  <c r="Q72" i="72" s="1"/>
  <c r="P11" i="42"/>
  <c r="P72" i="72" s="1"/>
  <c r="O11" i="42"/>
  <c r="O72" i="72" s="1"/>
  <c r="N11" i="42"/>
  <c r="N72" i="72" s="1"/>
  <c r="M11" i="42"/>
  <c r="M72" i="72" s="1"/>
  <c r="L11" i="42"/>
  <c r="L72" i="72" s="1"/>
  <c r="K11" i="42"/>
  <c r="K72" i="72" s="1"/>
  <c r="V9" i="42"/>
  <c r="V70" i="72" s="1"/>
  <c r="U9" i="42"/>
  <c r="U70" i="72" s="1"/>
  <c r="T9" i="42"/>
  <c r="T70" i="72" s="1"/>
  <c r="S9" i="42"/>
  <c r="S70" i="72" s="1"/>
  <c r="R9" i="42"/>
  <c r="R70" i="72" s="1"/>
  <c r="Q9" i="42"/>
  <c r="Q70" i="72" s="1"/>
  <c r="P9" i="42"/>
  <c r="P70" i="72" s="1"/>
  <c r="O9" i="42"/>
  <c r="O70" i="72" s="1"/>
  <c r="N9" i="42"/>
  <c r="N70" i="72" s="1"/>
  <c r="M9" i="42"/>
  <c r="M70" i="72" s="1"/>
  <c r="L9" i="42"/>
  <c r="L70" i="72" s="1"/>
  <c r="K9" i="42"/>
  <c r="K70" i="72" s="1"/>
  <c r="V8" i="42"/>
  <c r="V69" i="72" s="1"/>
  <c r="U8" i="42"/>
  <c r="U69" i="72" s="1"/>
  <c r="T8" i="42"/>
  <c r="T69" i="72" s="1"/>
  <c r="S8" i="42"/>
  <c r="S69" i="72" s="1"/>
  <c r="R8" i="42"/>
  <c r="R69" i="72" s="1"/>
  <c r="Q8" i="42"/>
  <c r="Q69" i="72" s="1"/>
  <c r="P8" i="42"/>
  <c r="P69" i="72" s="1"/>
  <c r="O8" i="42"/>
  <c r="O69" i="72" s="1"/>
  <c r="N8" i="42"/>
  <c r="N69" i="72" s="1"/>
  <c r="M8" i="42"/>
  <c r="M69" i="72" s="1"/>
  <c r="L8" i="42"/>
  <c r="L69" i="72" s="1"/>
  <c r="K8" i="42"/>
  <c r="K69" i="72" s="1"/>
  <c r="V7" i="42"/>
  <c r="V68" i="72" s="1"/>
  <c r="U7" i="42"/>
  <c r="U68" i="72" s="1"/>
  <c r="T7" i="42"/>
  <c r="T68" i="72" s="1"/>
  <c r="S7" i="42"/>
  <c r="S68" i="72" s="1"/>
  <c r="R7" i="42"/>
  <c r="R68" i="72" s="1"/>
  <c r="Q7" i="42"/>
  <c r="Q68" i="72" s="1"/>
  <c r="P7" i="42"/>
  <c r="P68" i="72" s="1"/>
  <c r="O7" i="42"/>
  <c r="O68" i="72" s="1"/>
  <c r="N7" i="42"/>
  <c r="N68" i="72" s="1"/>
  <c r="M7" i="42"/>
  <c r="M68" i="72" s="1"/>
  <c r="L7" i="42"/>
  <c r="L68" i="72" s="1"/>
  <c r="K7" i="42"/>
  <c r="K68" i="72" s="1"/>
  <c r="V6" i="42"/>
  <c r="V67" i="72" s="1"/>
  <c r="U6" i="42"/>
  <c r="U67" i="72" s="1"/>
  <c r="T6" i="42"/>
  <c r="T67" i="72" s="1"/>
  <c r="S6" i="42"/>
  <c r="S67" i="72" s="1"/>
  <c r="R6" i="42"/>
  <c r="R67" i="72" s="1"/>
  <c r="Q6" i="42"/>
  <c r="Q67" i="72" s="1"/>
  <c r="P6" i="42"/>
  <c r="P67" i="72" s="1"/>
  <c r="O6" i="42"/>
  <c r="O67" i="72" s="1"/>
  <c r="N6" i="42"/>
  <c r="N67" i="72" s="1"/>
  <c r="M6" i="42"/>
  <c r="M67" i="72" s="1"/>
  <c r="L6" i="42"/>
  <c r="L67" i="72" s="1"/>
  <c r="K6" i="42"/>
  <c r="K67" i="72" s="1"/>
  <c r="V5" i="42"/>
  <c r="U5" i="42"/>
  <c r="T5" i="42"/>
  <c r="S5" i="42"/>
  <c r="R5" i="42"/>
  <c r="Q5" i="42"/>
  <c r="P5" i="42"/>
  <c r="O5" i="42"/>
  <c r="N5" i="42"/>
  <c r="M5" i="42"/>
  <c r="L5" i="42"/>
  <c r="K5" i="42"/>
  <c r="W63" i="42"/>
  <c r="W62" i="42"/>
  <c r="W61" i="42"/>
  <c r="W60" i="42"/>
  <c r="W59" i="42"/>
  <c r="W58" i="42"/>
  <c r="W57" i="42"/>
  <c r="W56" i="42"/>
  <c r="W55" i="42"/>
  <c r="W54" i="42"/>
  <c r="W53" i="42"/>
  <c r="W52" i="42"/>
  <c r="W51" i="42"/>
  <c r="W50" i="42"/>
  <c r="W49" i="42"/>
  <c r="AQ49" i="42" s="1"/>
  <c r="W48" i="42"/>
  <c r="W47" i="42"/>
  <c r="W46" i="42"/>
  <c r="W45" i="42"/>
  <c r="W44" i="42"/>
  <c r="W42" i="42"/>
  <c r="W41" i="42"/>
  <c r="W40" i="42"/>
  <c r="W39" i="42"/>
  <c r="W38" i="42"/>
  <c r="W37" i="42"/>
  <c r="W36" i="42"/>
  <c r="W35" i="42"/>
  <c r="W34" i="42"/>
  <c r="W33" i="42"/>
  <c r="W32" i="42"/>
  <c r="W31" i="42"/>
  <c r="W30" i="42"/>
  <c r="W29" i="42"/>
  <c r="W27" i="42"/>
  <c r="W26" i="42"/>
  <c r="W25" i="42"/>
  <c r="W24" i="42"/>
  <c r="W23" i="42"/>
  <c r="W22" i="42"/>
  <c r="W21" i="42"/>
  <c r="W20" i="42"/>
  <c r="W19" i="42"/>
  <c r="W18" i="42"/>
  <c r="W17" i="42"/>
  <c r="W16" i="42"/>
  <c r="W15" i="42"/>
  <c r="K73" i="72" l="1"/>
  <c r="W73" i="72" s="1"/>
  <c r="W12" i="42"/>
  <c r="W13" i="72"/>
  <c r="AS13" i="72" s="1"/>
  <c r="P28" i="72"/>
  <c r="R28" i="72"/>
  <c r="Q28" i="72"/>
  <c r="W33" i="72"/>
  <c r="AS33" i="72" s="1"/>
  <c r="S28" i="72"/>
  <c r="W32" i="72"/>
  <c r="AR32" i="72" s="1"/>
  <c r="T28" i="72"/>
  <c r="W10" i="72"/>
  <c r="AR10" i="72" s="1"/>
  <c r="W31" i="72"/>
  <c r="AS31" i="72" s="1"/>
  <c r="V28" i="72"/>
  <c r="W9" i="72"/>
  <c r="AR9" i="72" s="1"/>
  <c r="W30" i="72"/>
  <c r="AS30" i="72" s="1"/>
  <c r="W8" i="72"/>
  <c r="AR8" i="72" s="1"/>
  <c r="W37" i="72"/>
  <c r="AR37" i="72" s="1"/>
  <c r="W11" i="72"/>
  <c r="AR11" i="72" s="1"/>
  <c r="L28" i="72"/>
  <c r="W15" i="72"/>
  <c r="AS15" i="72" s="1"/>
  <c r="M28" i="72"/>
  <c r="W36" i="72"/>
  <c r="AS36" i="72" s="1"/>
  <c r="W7" i="72"/>
  <c r="N28" i="72"/>
  <c r="W14" i="72"/>
  <c r="AS14" i="72" s="1"/>
  <c r="O28" i="72"/>
  <c r="W35" i="72"/>
  <c r="AR35" i="72" s="1"/>
  <c r="W29" i="72"/>
  <c r="K28" i="72"/>
  <c r="Q66" i="72"/>
  <c r="Q126" i="72" s="1"/>
  <c r="Q68" i="42"/>
  <c r="R66" i="72"/>
  <c r="R126" i="72" s="1"/>
  <c r="R68" i="42"/>
  <c r="K66" i="72"/>
  <c r="K68" i="42"/>
  <c r="S66" i="72"/>
  <c r="S126" i="72" s="1"/>
  <c r="S68" i="42"/>
  <c r="L66" i="72"/>
  <c r="L126" i="72" s="1"/>
  <c r="L68" i="42"/>
  <c r="N66" i="72"/>
  <c r="N126" i="72" s="1"/>
  <c r="N68" i="42"/>
  <c r="O66" i="72"/>
  <c r="O126" i="72" s="1"/>
  <c r="O68" i="42"/>
  <c r="V66" i="72"/>
  <c r="V126" i="72" s="1"/>
  <c r="V68" i="42"/>
  <c r="U66" i="72"/>
  <c r="U126" i="72" s="1"/>
  <c r="U68" i="42"/>
  <c r="M66" i="72"/>
  <c r="M126" i="72" s="1"/>
  <c r="M68" i="42"/>
  <c r="P66" i="72"/>
  <c r="P126" i="72" s="1"/>
  <c r="P68" i="42"/>
  <c r="T66" i="72"/>
  <c r="T126" i="72" s="1"/>
  <c r="T68" i="42"/>
  <c r="W68" i="72"/>
  <c r="AR68" i="72" s="1"/>
  <c r="W74" i="72"/>
  <c r="AS74" i="72" s="1"/>
  <c r="W72" i="72"/>
  <c r="W70" i="72"/>
  <c r="W69" i="72"/>
  <c r="W67" i="72"/>
  <c r="O71" i="41"/>
  <c r="N71" i="41"/>
  <c r="M71" i="41"/>
  <c r="Q71" i="41"/>
  <c r="R71" i="41"/>
  <c r="T71" i="41"/>
  <c r="P71" i="41"/>
  <c r="V71" i="41"/>
  <c r="S71" i="41"/>
  <c r="L71" i="41"/>
  <c r="K71" i="41"/>
  <c r="AR26" i="42"/>
  <c r="AQ26" i="42"/>
  <c r="AR56" i="42"/>
  <c r="AQ56" i="42"/>
  <c r="AR29" i="42"/>
  <c r="AQ29" i="42"/>
  <c r="AQ58" i="42"/>
  <c r="AR58" i="42"/>
  <c r="AQ17" i="42"/>
  <c r="AR17" i="42"/>
  <c r="AR32" i="42"/>
  <c r="AQ32" i="42"/>
  <c r="AR24" i="42"/>
  <c r="AQ24" i="42"/>
  <c r="AQ54" i="42"/>
  <c r="AR54" i="42"/>
  <c r="AQ44" i="42"/>
  <c r="AR44" i="42"/>
  <c r="AQ59" i="42"/>
  <c r="AR59" i="42"/>
  <c r="AR31" i="42"/>
  <c r="AQ31" i="42"/>
  <c r="AR60" i="42"/>
  <c r="AQ60" i="42"/>
  <c r="AQ34" i="42"/>
  <c r="AR34" i="42"/>
  <c r="AR49" i="42"/>
  <c r="AQ20" i="42"/>
  <c r="AR20" i="42"/>
  <c r="AR55" i="42"/>
  <c r="AQ55" i="42"/>
  <c r="AQ36" i="42"/>
  <c r="AR36" i="42"/>
  <c r="AR22" i="42"/>
  <c r="AQ22" i="42"/>
  <c r="AQ37" i="42"/>
  <c r="AR37" i="42"/>
  <c r="AR52" i="42"/>
  <c r="AQ52" i="42"/>
  <c r="AQ38" i="42"/>
  <c r="AR38" i="42"/>
  <c r="AQ53" i="42"/>
  <c r="AR53" i="42"/>
  <c r="K39" i="55"/>
  <c r="L39" i="55"/>
  <c r="N39" i="55"/>
  <c r="P39" i="55"/>
  <c r="M39" i="55"/>
  <c r="O39" i="55"/>
  <c r="R39" i="55"/>
  <c r="H39" i="55"/>
  <c r="Q39" i="55"/>
  <c r="G39" i="55"/>
  <c r="I39" i="55"/>
  <c r="J39" i="55"/>
  <c r="W8" i="41"/>
  <c r="G28" i="55"/>
  <c r="G27" i="55" s="1"/>
  <c r="W79" i="41"/>
  <c r="H28" i="55"/>
  <c r="W7" i="41"/>
  <c r="W14" i="41"/>
  <c r="W78" i="41"/>
  <c r="J28" i="55"/>
  <c r="W6" i="41"/>
  <c r="W76" i="41"/>
  <c r="N28" i="55"/>
  <c r="K28" i="55"/>
  <c r="W11" i="41"/>
  <c r="O28" i="55"/>
  <c r="W75" i="41"/>
  <c r="I28" i="55"/>
  <c r="W13" i="41"/>
  <c r="P28" i="55"/>
  <c r="L28" i="55"/>
  <c r="W10" i="41"/>
  <c r="Q28" i="55"/>
  <c r="W74" i="41"/>
  <c r="W12" i="41"/>
  <c r="R28" i="55"/>
  <c r="W77" i="41"/>
  <c r="W73" i="41"/>
  <c r="W80" i="41"/>
  <c r="M28" i="55"/>
  <c r="W9" i="41"/>
  <c r="AR62" i="42"/>
  <c r="AQ62" i="42"/>
  <c r="AR33" i="42"/>
  <c r="AQ33" i="42"/>
  <c r="AQ18" i="42"/>
  <c r="AR18" i="42"/>
  <c r="AR15" i="42"/>
  <c r="AQ15" i="42"/>
  <c r="AR63" i="42"/>
  <c r="AQ63" i="42"/>
  <c r="AQ61" i="42"/>
  <c r="AR61" i="42"/>
  <c r="AR46" i="42"/>
  <c r="AQ46" i="42"/>
  <c r="AR57" i="42"/>
  <c r="AQ57" i="42"/>
  <c r="AQ51" i="42"/>
  <c r="AR51" i="42"/>
  <c r="AR50" i="42"/>
  <c r="AQ50" i="42"/>
  <c r="AR48" i="42"/>
  <c r="AQ48" i="42"/>
  <c r="AR45" i="42"/>
  <c r="AQ45" i="42"/>
  <c r="AR42" i="42"/>
  <c r="AQ42" i="42"/>
  <c r="AQ41" i="42"/>
  <c r="AR41" i="42"/>
  <c r="AR40" i="42"/>
  <c r="AQ40" i="42"/>
  <c r="AR39" i="42"/>
  <c r="AQ39" i="42"/>
  <c r="AQ35" i="42"/>
  <c r="AR35" i="42"/>
  <c r="AR23" i="42"/>
  <c r="AQ23" i="42"/>
  <c r="AR30" i="42"/>
  <c r="AQ30" i="42"/>
  <c r="AR27" i="42"/>
  <c r="AQ27" i="42"/>
  <c r="AR25" i="42"/>
  <c r="AQ25" i="42"/>
  <c r="AR21" i="42"/>
  <c r="AQ21" i="42"/>
  <c r="AR19" i="42"/>
  <c r="AQ19" i="42"/>
  <c r="AR16" i="42"/>
  <c r="AQ16" i="42"/>
  <c r="AQ94" i="41"/>
  <c r="AR94" i="41"/>
  <c r="AR82" i="41"/>
  <c r="AQ82" i="41"/>
  <c r="AR85" i="41"/>
  <c r="AQ85" i="41"/>
  <c r="AR87" i="41"/>
  <c r="AQ87" i="41"/>
  <c r="AQ89" i="41"/>
  <c r="AR89" i="41"/>
  <c r="AQ88" i="41"/>
  <c r="AR88" i="41"/>
  <c r="AQ92" i="41"/>
  <c r="AR92" i="41"/>
  <c r="AR95" i="41"/>
  <c r="AQ95" i="41"/>
  <c r="AR86" i="41"/>
  <c r="AQ86" i="41"/>
  <c r="Q22" i="55"/>
  <c r="R22" i="55"/>
  <c r="G22" i="55"/>
  <c r="I22" i="55"/>
  <c r="J22" i="55"/>
  <c r="K22" i="55"/>
  <c r="H22" i="55"/>
  <c r="P22" i="55"/>
  <c r="L22" i="55"/>
  <c r="M22" i="55"/>
  <c r="N22" i="55"/>
  <c r="O22" i="55"/>
  <c r="W11" i="42"/>
  <c r="W9" i="42"/>
  <c r="W72" i="41"/>
  <c r="W7" i="42"/>
  <c r="W8" i="42"/>
  <c r="W13" i="42"/>
  <c r="K126" i="72" l="1"/>
  <c r="AR13" i="72"/>
  <c r="AS32" i="72"/>
  <c r="AR15" i="72"/>
  <c r="AS10" i="72"/>
  <c r="AS35" i="72"/>
  <c r="AR36" i="72"/>
  <c r="AR14" i="72"/>
  <c r="AR33" i="72"/>
  <c r="AS37" i="72"/>
  <c r="AR30" i="72"/>
  <c r="AS9" i="72"/>
  <c r="AS8" i="72"/>
  <c r="AR31" i="72"/>
  <c r="AS11" i="72"/>
  <c r="AS7" i="72"/>
  <c r="AR7" i="72"/>
  <c r="AR29" i="72"/>
  <c r="AS29" i="72"/>
  <c r="W66" i="72"/>
  <c r="AS66" i="72" s="1"/>
  <c r="AR74" i="72"/>
  <c r="AS68" i="72"/>
  <c r="AS70" i="72"/>
  <c r="AR70" i="72"/>
  <c r="AS72" i="72"/>
  <c r="AR72" i="72"/>
  <c r="AS67" i="72"/>
  <c r="AR67" i="72"/>
  <c r="AR73" i="72"/>
  <c r="AS73" i="72"/>
  <c r="AS69" i="72"/>
  <c r="AR69" i="72"/>
  <c r="R223" i="63"/>
  <c r="S28" i="55"/>
  <c r="U22" i="55"/>
  <c r="AR11" i="42"/>
  <c r="AQ11" i="42"/>
  <c r="AR9" i="42"/>
  <c r="AQ9" i="42"/>
  <c r="AQ13" i="42"/>
  <c r="AR13" i="42"/>
  <c r="AQ12" i="42"/>
  <c r="AR12" i="42"/>
  <c r="AR10" i="42"/>
  <c r="AQ10" i="42"/>
  <c r="AQ8" i="42"/>
  <c r="AR8" i="42"/>
  <c r="AQ7" i="42"/>
  <c r="AR7" i="42"/>
  <c r="AQ78" i="41"/>
  <c r="AR78" i="41"/>
  <c r="AQ6" i="41"/>
  <c r="AR6" i="41"/>
  <c r="AQ74" i="41"/>
  <c r="AR74" i="41"/>
  <c r="AR10" i="41"/>
  <c r="AQ10" i="41"/>
  <c r="AQ72" i="41"/>
  <c r="AR72" i="41"/>
  <c r="AQ7" i="41"/>
  <c r="AR7" i="41"/>
  <c r="AR8" i="41"/>
  <c r="AQ8" i="41"/>
  <c r="AR76" i="41"/>
  <c r="AQ76" i="41"/>
  <c r="AR11" i="41"/>
  <c r="AQ11" i="41"/>
  <c r="AR9" i="41"/>
  <c r="AQ9" i="41"/>
  <c r="AR73" i="41"/>
  <c r="AQ73" i="41"/>
  <c r="AR79" i="41"/>
  <c r="AQ79" i="41"/>
  <c r="AR12" i="41"/>
  <c r="AQ12" i="41"/>
  <c r="AQ75" i="41"/>
  <c r="AR75" i="41"/>
  <c r="AQ80" i="41"/>
  <c r="AR80" i="41"/>
  <c r="AR13" i="41"/>
  <c r="AQ13" i="41"/>
  <c r="AQ77" i="41"/>
  <c r="AR77" i="41"/>
  <c r="AR14" i="41"/>
  <c r="AQ14" i="41"/>
  <c r="R224" i="63"/>
  <c r="W126" i="72" l="1"/>
  <c r="AR126" i="72" s="1"/>
  <c r="AR66" i="72"/>
  <c r="Q42" i="63"/>
  <c r="P42" i="63"/>
  <c r="O42" i="63"/>
  <c r="N42" i="63"/>
  <c r="M42" i="63"/>
  <c r="L42" i="63"/>
  <c r="K42" i="63"/>
  <c r="J42" i="63"/>
  <c r="I42" i="63"/>
  <c r="H42" i="63"/>
  <c r="G42" i="63"/>
  <c r="P186" i="63"/>
  <c r="K186" i="63"/>
  <c r="I186" i="63"/>
  <c r="R164" i="63"/>
  <c r="R162" i="63" s="1"/>
  <c r="R152" i="63"/>
  <c r="R150" i="63" s="1"/>
  <c r="R148" i="63"/>
  <c r="R141" i="63"/>
  <c r="R140" i="63"/>
  <c r="R8" i="63"/>
  <c r="R6" i="63" s="1"/>
  <c r="R138" i="63" l="1"/>
  <c r="AS126" i="72"/>
  <c r="AQ29" i="41"/>
  <c r="AR29" i="41"/>
  <c r="AR35" i="41"/>
  <c r="AQ35" i="41"/>
  <c r="AR28" i="41"/>
  <c r="AQ28" i="41"/>
  <c r="AR33" i="41"/>
  <c r="AQ33" i="41"/>
  <c r="AR36" i="41"/>
  <c r="AQ36" i="41"/>
  <c r="AQ30" i="41"/>
  <c r="AR30" i="41"/>
  <c r="R42" i="63"/>
  <c r="L186" i="63"/>
  <c r="J186" i="63"/>
  <c r="H186" i="63"/>
  <c r="Q186" i="63"/>
  <c r="F186" i="63"/>
  <c r="N186" i="63"/>
  <c r="M186" i="63"/>
  <c r="G186" i="63"/>
  <c r="O186" i="63"/>
  <c r="R222" i="63" l="1"/>
  <c r="R186" i="63"/>
  <c r="G63" i="42" l="1"/>
  <c r="G62" i="42"/>
  <c r="G56" i="42"/>
  <c r="G60" i="42"/>
  <c r="G27" i="42"/>
  <c r="G54" i="42"/>
  <c r="G38" i="42"/>
  <c r="G58" i="42"/>
  <c r="G37" i="42"/>
  <c r="G35" i="42"/>
  <c r="G57" i="42"/>
  <c r="G48" i="42"/>
  <c r="G17" i="42"/>
  <c r="G31" i="42"/>
  <c r="G49" i="42"/>
  <c r="G33" i="42"/>
  <c r="G32" i="42"/>
  <c r="G55" i="42"/>
  <c r="G59" i="42"/>
  <c r="G39" i="42"/>
  <c r="G46" i="42"/>
  <c r="G41" i="42"/>
  <c r="G40" i="42"/>
  <c r="G25" i="42"/>
  <c r="G52" i="42"/>
  <c r="G26" i="42"/>
  <c r="G44" i="42"/>
  <c r="G23" i="42"/>
  <c r="G22" i="42"/>
  <c r="G34" i="42"/>
  <c r="G53" i="42"/>
  <c r="G45" i="42"/>
  <c r="G19" i="42"/>
  <c r="G18" i="42"/>
  <c r="G29" i="42"/>
  <c r="G28" i="42"/>
  <c r="G16" i="42"/>
  <c r="H76" i="43" l="1"/>
  <c r="H74" i="43"/>
  <c r="H72" i="43"/>
  <c r="R197" i="63"/>
  <c r="Q197" i="63"/>
  <c r="Q199" i="63" s="1"/>
  <c r="P197" i="63"/>
  <c r="P199" i="63" s="1"/>
  <c r="O197" i="63"/>
  <c r="O199" i="63" s="1"/>
  <c r="N197" i="63"/>
  <c r="N199" i="63" s="1"/>
  <c r="M197" i="63"/>
  <c r="M199" i="63" s="1"/>
  <c r="L197" i="63"/>
  <c r="L199" i="63" s="1"/>
  <c r="K197" i="63"/>
  <c r="K199" i="63" s="1"/>
  <c r="J197" i="63"/>
  <c r="J199" i="63" s="1"/>
  <c r="I197" i="63"/>
  <c r="I199" i="63" s="1"/>
  <c r="H197" i="63"/>
  <c r="H199" i="63" s="1"/>
  <c r="G197" i="63"/>
  <c r="G199" i="63" s="1"/>
  <c r="F197" i="63"/>
  <c r="F199" i="63" s="1"/>
  <c r="R161" i="63"/>
  <c r="Q161" i="63"/>
  <c r="Q163" i="63" s="1"/>
  <c r="P161" i="63"/>
  <c r="P163" i="63" s="1"/>
  <c r="O161" i="63"/>
  <c r="O163" i="63" s="1"/>
  <c r="N161" i="63"/>
  <c r="N163" i="63" s="1"/>
  <c r="M161" i="63"/>
  <c r="M163" i="63" s="1"/>
  <c r="L161" i="63"/>
  <c r="L163" i="63" s="1"/>
  <c r="K161" i="63"/>
  <c r="K163" i="63" s="1"/>
  <c r="J161" i="63"/>
  <c r="J163" i="63" s="1"/>
  <c r="I161" i="63"/>
  <c r="I163" i="63" s="1"/>
  <c r="H161" i="63"/>
  <c r="H163" i="63" s="1"/>
  <c r="G161" i="63"/>
  <c r="G163" i="63" s="1"/>
  <c r="F161" i="63"/>
  <c r="F163" i="63" s="1"/>
  <c r="R17" i="63"/>
  <c r="Q17" i="63"/>
  <c r="Q19" i="63" s="1"/>
  <c r="P17" i="63"/>
  <c r="P19" i="63" s="1"/>
  <c r="O17" i="63"/>
  <c r="O19" i="63" s="1"/>
  <c r="N17" i="63"/>
  <c r="N19" i="63" s="1"/>
  <c r="M17" i="63"/>
  <c r="M19" i="63" s="1"/>
  <c r="L17" i="63"/>
  <c r="L19" i="63" s="1"/>
  <c r="K17" i="63"/>
  <c r="K19" i="63" s="1"/>
  <c r="J17" i="63"/>
  <c r="J19" i="63" s="1"/>
  <c r="I17" i="63"/>
  <c r="I19" i="63" s="1"/>
  <c r="H17" i="63"/>
  <c r="H19" i="63" s="1"/>
  <c r="G17" i="63"/>
  <c r="G19" i="63" s="1"/>
  <c r="F17" i="63"/>
  <c r="F19" i="63" s="1"/>
  <c r="R5" i="63"/>
  <c r="R19" i="63" l="1"/>
  <c r="R199" i="63"/>
  <c r="R163" i="6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S74" i="43"/>
  <c r="R74" i="43"/>
  <c r="Q74" i="43"/>
  <c r="P74" i="43"/>
  <c r="O74" i="43"/>
  <c r="N74" i="43"/>
  <c r="M74" i="43"/>
  <c r="L74" i="43"/>
  <c r="K74" i="43"/>
  <c r="J74" i="43"/>
  <c r="I74" i="43"/>
  <c r="G74" i="43"/>
  <c r="S72" i="43"/>
  <c r="R72" i="43"/>
  <c r="Q72" i="43"/>
  <c r="P72" i="43"/>
  <c r="O72" i="43"/>
  <c r="N72" i="43"/>
  <c r="M72" i="43"/>
  <c r="L72" i="43"/>
  <c r="K72" i="43"/>
  <c r="J72" i="43"/>
  <c r="I72" i="43"/>
  <c r="G72" i="43"/>
  <c r="R29" i="63"/>
  <c r="Q29" i="63"/>
  <c r="Q31" i="63" s="1"/>
  <c r="P29" i="63"/>
  <c r="P31" i="63" s="1"/>
  <c r="O29" i="63"/>
  <c r="O31" i="63" s="1"/>
  <c r="N29" i="63"/>
  <c r="N31" i="63" s="1"/>
  <c r="M29" i="63"/>
  <c r="M31" i="63" s="1"/>
  <c r="L29" i="63"/>
  <c r="L31" i="63" s="1"/>
  <c r="K29" i="63"/>
  <c r="K31" i="63" s="1"/>
  <c r="J29" i="63"/>
  <c r="J31" i="63" s="1"/>
  <c r="I29" i="63"/>
  <c r="I31" i="63" s="1"/>
  <c r="H29" i="63"/>
  <c r="H31" i="63" s="1"/>
  <c r="G29" i="63"/>
  <c r="G31" i="63" s="1"/>
  <c r="F29" i="63"/>
  <c r="F31" i="63" s="1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G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O41" i="63" l="1"/>
  <c r="O43" i="63" s="1"/>
  <c r="Q41" i="63"/>
  <c r="Q43" i="63" s="1"/>
  <c r="K41" i="63"/>
  <c r="K43" i="63" s="1"/>
  <c r="L41" i="63"/>
  <c r="L43" i="63" s="1"/>
  <c r="M41" i="63"/>
  <c r="M43" i="63" s="1"/>
  <c r="N41" i="63"/>
  <c r="N43" i="63" s="1"/>
  <c r="P41" i="63"/>
  <c r="P43" i="63" s="1"/>
  <c r="R41" i="63"/>
  <c r="F41" i="63"/>
  <c r="F43" i="63" s="1"/>
  <c r="G41" i="63"/>
  <c r="G43" i="63" s="1"/>
  <c r="H41" i="63"/>
  <c r="H43" i="63" s="1"/>
  <c r="I41" i="63"/>
  <c r="I43" i="63" s="1"/>
  <c r="J41" i="63"/>
  <c r="J43" i="63" s="1"/>
  <c r="R31" i="63"/>
  <c r="T74" i="43"/>
  <c r="T72" i="43"/>
  <c r="G164" i="37"/>
  <c r="G189" i="37" s="1"/>
  <c r="G157" i="37"/>
  <c r="G188" i="37" s="1"/>
  <c r="G191" i="37" s="1"/>
  <c r="Q34" i="38"/>
  <c r="Q35" i="38" s="1"/>
  <c r="P34" i="38"/>
  <c r="P35" i="38" s="1"/>
  <c r="O34" i="38"/>
  <c r="O35" i="38" s="1"/>
  <c r="N34" i="38"/>
  <c r="N35" i="38" s="1"/>
  <c r="M34" i="38"/>
  <c r="M35" i="38" s="1"/>
  <c r="L34" i="38"/>
  <c r="L35" i="38" s="1"/>
  <c r="K34" i="38"/>
  <c r="K35" i="38" s="1"/>
  <c r="J34" i="38"/>
  <c r="J35" i="38" s="1"/>
  <c r="I34" i="38"/>
  <c r="I35" i="38" s="1"/>
  <c r="H34" i="38"/>
  <c r="H35" i="38" s="1"/>
  <c r="G34" i="38"/>
  <c r="G35" i="38" s="1"/>
  <c r="F34" i="38"/>
  <c r="F35" i="38" s="1"/>
  <c r="Q27" i="38"/>
  <c r="P27" i="38"/>
  <c r="O27" i="38"/>
  <c r="N27" i="38"/>
  <c r="N135" i="38" s="1"/>
  <c r="M27" i="38"/>
  <c r="M135" i="38" s="1"/>
  <c r="L27" i="38"/>
  <c r="L135" i="38" s="1"/>
  <c r="K27" i="38"/>
  <c r="J27" i="38"/>
  <c r="I27" i="38"/>
  <c r="H27" i="38"/>
  <c r="G27" i="38"/>
  <c r="F27" i="38"/>
  <c r="E34" i="38"/>
  <c r="R43" i="63" l="1"/>
  <c r="H134" i="38"/>
  <c r="H137" i="38"/>
  <c r="P134" i="38"/>
  <c r="P137" i="38"/>
  <c r="I132" i="38"/>
  <c r="I135" i="38"/>
  <c r="J28" i="38"/>
  <c r="J135" i="38"/>
  <c r="K28" i="38"/>
  <c r="K135" i="38"/>
  <c r="O130" i="38"/>
  <c r="O135" i="38"/>
  <c r="F28" i="38"/>
  <c r="F135" i="38"/>
  <c r="P132" i="38"/>
  <c r="P135" i="38"/>
  <c r="M131" i="38"/>
  <c r="I28" i="38"/>
  <c r="Q132" i="38"/>
  <c r="Q135" i="38"/>
  <c r="M28" i="38"/>
  <c r="N28" i="38"/>
  <c r="Q28" i="38"/>
  <c r="G130" i="38"/>
  <c r="G135" i="38"/>
  <c r="H132" i="38"/>
  <c r="H135" i="38"/>
  <c r="L133" i="38"/>
  <c r="H28" i="38"/>
  <c r="J132" i="38"/>
  <c r="M133" i="38"/>
  <c r="I134" i="38"/>
  <c r="Q134" i="38"/>
  <c r="M136" i="38"/>
  <c r="I137" i="38"/>
  <c r="Q137" i="38"/>
  <c r="L136" i="38"/>
  <c r="F133" i="38"/>
  <c r="N133" i="38"/>
  <c r="J134" i="38"/>
  <c r="F136" i="38"/>
  <c r="N136" i="38"/>
  <c r="J137" i="38"/>
  <c r="G133" i="38"/>
  <c r="O133" i="38"/>
  <c r="K134" i="38"/>
  <c r="G136" i="38"/>
  <c r="O136" i="38"/>
  <c r="K137" i="38"/>
  <c r="L28" i="38"/>
  <c r="H133" i="38"/>
  <c r="P133" i="38"/>
  <c r="L134" i="38"/>
  <c r="H136" i="38"/>
  <c r="P136" i="38"/>
  <c r="L137" i="38"/>
  <c r="P28" i="38"/>
  <c r="I133" i="38"/>
  <c r="Q133" i="38"/>
  <c r="M134" i="38"/>
  <c r="I136" i="38"/>
  <c r="Q136" i="38"/>
  <c r="M137" i="38"/>
  <c r="H130" i="38"/>
  <c r="J133" i="38"/>
  <c r="F134" i="38"/>
  <c r="N134" i="38"/>
  <c r="J136" i="38"/>
  <c r="F137" i="38"/>
  <c r="N137" i="38"/>
  <c r="P130" i="38"/>
  <c r="K133" i="38"/>
  <c r="G134" i="38"/>
  <c r="O134" i="38"/>
  <c r="K136" i="38"/>
  <c r="G137" i="38"/>
  <c r="O137" i="38"/>
  <c r="I130" i="38"/>
  <c r="Q130" i="38"/>
  <c r="N131" i="38"/>
  <c r="K132" i="38"/>
  <c r="J130" i="38"/>
  <c r="G131" i="38"/>
  <c r="O131" i="38"/>
  <c r="L132" i="38"/>
  <c r="K130" i="38"/>
  <c r="H131" i="38"/>
  <c r="P131" i="38"/>
  <c r="M132" i="38"/>
  <c r="L130" i="38"/>
  <c r="I131" i="38"/>
  <c r="Q131" i="38"/>
  <c r="N132" i="38"/>
  <c r="O28" i="38"/>
  <c r="M130" i="38"/>
  <c r="J131" i="38"/>
  <c r="G132" i="38"/>
  <c r="O132" i="38"/>
  <c r="N130" i="38"/>
  <c r="K131" i="38"/>
  <c r="G28" i="38"/>
  <c r="L131" i="38"/>
  <c r="F132" i="38"/>
  <c r="F130" i="38"/>
  <c r="F131" i="38"/>
  <c r="F41" i="38" l="1"/>
  <c r="F42" i="38" l="1"/>
  <c r="F141" i="38"/>
  <c r="F139" i="38"/>
  <c r="F140" i="38"/>
  <c r="F138" i="38"/>
  <c r="Q88" i="38"/>
  <c r="P88" i="38"/>
  <c r="O88" i="38"/>
  <c r="N88" i="38"/>
  <c r="M88" i="38"/>
  <c r="L88" i="38"/>
  <c r="K88" i="38"/>
  <c r="J88" i="38"/>
  <c r="I88" i="38"/>
  <c r="H88" i="38"/>
  <c r="G88" i="38"/>
  <c r="F88" i="38"/>
  <c r="Q69" i="38"/>
  <c r="P69" i="38"/>
  <c r="O69" i="38"/>
  <c r="N69" i="38"/>
  <c r="M69" i="38"/>
  <c r="L69" i="38"/>
  <c r="K69" i="38"/>
  <c r="J69" i="38"/>
  <c r="I69" i="38"/>
  <c r="H69" i="38"/>
  <c r="G69" i="38"/>
  <c r="F69" i="38"/>
  <c r="F20" i="38"/>
  <c r="O20" i="38"/>
  <c r="Q8" i="38"/>
  <c r="P8" i="38"/>
  <c r="O8" i="38"/>
  <c r="N8" i="38"/>
  <c r="M8" i="38"/>
  <c r="L8" i="38"/>
  <c r="K8" i="38"/>
  <c r="J8" i="38"/>
  <c r="I8" i="38"/>
  <c r="H8" i="38"/>
  <c r="G8" i="38"/>
  <c r="H25" i="39"/>
  <c r="H38" i="39" s="1"/>
  <c r="H28" i="39"/>
  <c r="H39" i="39" s="1"/>
  <c r="H31" i="39"/>
  <c r="H40" i="39" l="1"/>
  <c r="G70" i="38"/>
  <c r="K70" i="38"/>
  <c r="L70" i="38"/>
  <c r="M70" i="38"/>
  <c r="N70" i="38"/>
  <c r="O70" i="38"/>
  <c r="H70" i="38"/>
  <c r="P70" i="38"/>
  <c r="I70" i="38"/>
  <c r="Q70" i="38"/>
  <c r="J70" i="38"/>
  <c r="H41" i="45" l="1"/>
  <c r="N6" i="45"/>
  <c r="K14" i="38" l="1"/>
  <c r="K89" i="38" s="1"/>
  <c r="K10" i="39" l="1"/>
  <c r="J20" i="38"/>
  <c r="S56" i="55" l="1"/>
  <c r="S60" i="55" s="1"/>
  <c r="R56" i="55"/>
  <c r="R60" i="55" s="1"/>
  <c r="Q56" i="55"/>
  <c r="Q60" i="55" s="1"/>
  <c r="P56" i="55"/>
  <c r="P60" i="55" s="1"/>
  <c r="O56" i="55"/>
  <c r="O60" i="55" s="1"/>
  <c r="N56" i="55"/>
  <c r="N60" i="55" s="1"/>
  <c r="M56" i="55"/>
  <c r="M60" i="55" s="1"/>
  <c r="L56" i="55"/>
  <c r="L60" i="55" s="1"/>
  <c r="K56" i="55"/>
  <c r="K60" i="55" s="1"/>
  <c r="J56" i="55"/>
  <c r="J60" i="55" s="1"/>
  <c r="I56" i="55"/>
  <c r="I60" i="55" s="1"/>
  <c r="H56" i="55"/>
  <c r="H60" i="55" s="1"/>
  <c r="G56" i="55"/>
  <c r="G60" i="55" s="1"/>
  <c r="F56" i="55"/>
  <c r="F60" i="55" s="1"/>
  <c r="E56" i="55"/>
  <c r="E60" i="55" s="1"/>
  <c r="J14" i="38" l="1"/>
  <c r="J89" i="38" s="1"/>
  <c r="E56" i="48" l="1"/>
  <c r="E60" i="48" s="1"/>
  <c r="F56" i="48"/>
  <c r="F60" i="48" s="1"/>
  <c r="S56" i="48"/>
  <c r="S60" i="48" s="1"/>
  <c r="R56" i="48"/>
  <c r="R60" i="48" s="1"/>
  <c r="Q56" i="48"/>
  <c r="Q60" i="48" s="1"/>
  <c r="P56" i="48"/>
  <c r="P60" i="48" s="1"/>
  <c r="O56" i="48"/>
  <c r="O60" i="48" s="1"/>
  <c r="N56" i="48"/>
  <c r="N60" i="48" s="1"/>
  <c r="M56" i="48"/>
  <c r="M60" i="48" s="1"/>
  <c r="L56" i="48"/>
  <c r="L60" i="48" s="1"/>
  <c r="K56" i="48"/>
  <c r="K60" i="48" s="1"/>
  <c r="J56" i="48"/>
  <c r="J60" i="48" s="1"/>
  <c r="I56" i="48"/>
  <c r="I60" i="48" s="1"/>
  <c r="H56" i="48"/>
  <c r="H60" i="48" s="1"/>
  <c r="G56" i="48"/>
  <c r="G60" i="48" s="1"/>
  <c r="E88" i="38" l="1"/>
  <c r="E89" i="38" s="1"/>
  <c r="E69" i="38"/>
  <c r="E70" i="38" s="1"/>
  <c r="E41" i="48"/>
  <c r="E38" i="55"/>
  <c r="E38" i="48" s="1"/>
  <c r="E34" i="55"/>
  <c r="E34" i="48" s="1"/>
  <c r="E27" i="55"/>
  <c r="E23" i="48"/>
  <c r="E22" i="48"/>
  <c r="E20" i="48"/>
  <c r="E15" i="48"/>
  <c r="E9" i="55"/>
  <c r="E25" i="55" s="1"/>
  <c r="E5" i="55"/>
  <c r="E5" i="48" s="1"/>
  <c r="E6" i="48"/>
  <c r="E7" i="48"/>
  <c r="E8" i="48"/>
  <c r="E10" i="48"/>
  <c r="E11" i="48"/>
  <c r="E12" i="48"/>
  <c r="E13" i="48"/>
  <c r="E16" i="48"/>
  <c r="E17" i="48"/>
  <c r="E18" i="48"/>
  <c r="E21" i="48"/>
  <c r="E24" i="48"/>
  <c r="E28" i="48"/>
  <c r="E29" i="48"/>
  <c r="E30" i="48"/>
  <c r="E31" i="48"/>
  <c r="E35" i="48"/>
  <c r="E36" i="48"/>
  <c r="E37" i="48"/>
  <c r="E39" i="48"/>
  <c r="E40" i="48"/>
  <c r="E42" i="48"/>
  <c r="E44" i="48"/>
  <c r="E45" i="48"/>
  <c r="E46" i="48"/>
  <c r="E48" i="48"/>
  <c r="E51" i="48"/>
  <c r="E19" i="55" l="1"/>
  <c r="E19" i="48" s="1"/>
  <c r="E32" i="55"/>
  <c r="E27" i="48"/>
  <c r="E9" i="48"/>
  <c r="E43" i="55" l="1"/>
  <c r="E47" i="55" s="1"/>
  <c r="E14" i="48"/>
  <c r="E62" i="55"/>
  <c r="E58" i="55"/>
  <c r="E25" i="48"/>
  <c r="E26" i="55"/>
  <c r="E26" i="48" s="1"/>
  <c r="E32" i="48"/>
  <c r="E59" i="55" l="1"/>
  <c r="E57" i="55"/>
  <c r="E63" i="55"/>
  <c r="E61" i="55"/>
  <c r="E58" i="48"/>
  <c r="E62" i="48"/>
  <c r="E49" i="55"/>
  <c r="E52" i="55" s="1"/>
  <c r="E33" i="55"/>
  <c r="E33" i="48" s="1"/>
  <c r="E61" i="48" l="1"/>
  <c r="E63" i="48"/>
  <c r="E57" i="48"/>
  <c r="E59" i="48"/>
  <c r="E47" i="48"/>
  <c r="E43" i="48"/>
  <c r="E50" i="55"/>
  <c r="E50" i="48" s="1"/>
  <c r="E49" i="48"/>
  <c r="E52" i="48" l="1"/>
  <c r="E53" i="55"/>
  <c r="E53" i="48" s="1"/>
  <c r="M31" i="39" l="1"/>
  <c r="N31" i="39"/>
  <c r="O31" i="39"/>
  <c r="P31" i="39"/>
  <c r="Q31" i="39"/>
  <c r="R31" i="39"/>
  <c r="S31" i="39"/>
  <c r="N13" i="39"/>
  <c r="N149" i="37" l="1"/>
  <c r="N147" i="37"/>
  <c r="N148" i="37"/>
  <c r="N20" i="37"/>
  <c r="N18" i="37"/>
  <c r="N16" i="37"/>
  <c r="N14" i="37"/>
  <c r="N12" i="37"/>
  <c r="N10" i="37"/>
  <c r="N8" i="37"/>
  <c r="N6" i="37"/>
  <c r="N13" i="37"/>
  <c r="N15" i="37"/>
  <c r="N19" i="37"/>
  <c r="N7" i="37"/>
  <c r="N17" i="37"/>
  <c r="N9" i="37"/>
  <c r="N11" i="37"/>
  <c r="F27" i="52"/>
  <c r="F13" i="52"/>
  <c r="N150" i="37" l="1"/>
  <c r="N187" i="37" s="1"/>
  <c r="G13" i="47" l="1"/>
  <c r="F51" i="48" l="1"/>
  <c r="F48" i="48"/>
  <c r="F46" i="48"/>
  <c r="F45" i="48"/>
  <c r="F44" i="48"/>
  <c r="F42" i="48"/>
  <c r="F37" i="48"/>
  <c r="F36" i="48"/>
  <c r="F35" i="48"/>
  <c r="F29" i="48"/>
  <c r="F24" i="48"/>
  <c r="F18" i="48"/>
  <c r="F17" i="48"/>
  <c r="F16" i="48"/>
  <c r="F13" i="48"/>
  <c r="F12" i="48"/>
  <c r="F11" i="48"/>
  <c r="F10" i="48"/>
  <c r="F8" i="48"/>
  <c r="F7" i="48"/>
  <c r="F6" i="48"/>
  <c r="E40" i="52" l="1"/>
  <c r="E20" i="38" l="1"/>
  <c r="I48" i="39" l="1"/>
  <c r="J48" i="39"/>
  <c r="H48" i="39"/>
  <c r="K48" i="39"/>
  <c r="L48" i="39"/>
  <c r="F41" i="52"/>
  <c r="H41" i="52" s="1"/>
  <c r="E48" i="39" l="1"/>
  <c r="G48" i="39"/>
  <c r="G46" i="39" s="1"/>
  <c r="F48" i="39"/>
  <c r="F46" i="39" s="1"/>
  <c r="AR91" i="41"/>
  <c r="AQ91" i="41"/>
  <c r="F42" i="52"/>
  <c r="P48" i="39"/>
  <c r="O48" i="39"/>
  <c r="Q48" i="39"/>
  <c r="R48" i="39"/>
  <c r="M48" i="39"/>
  <c r="S48" i="39"/>
  <c r="N48" i="39"/>
  <c r="T48" i="39" l="1"/>
  <c r="F43" i="52"/>
  <c r="E57" i="52"/>
  <c r="F57" i="52" s="1"/>
  <c r="G57" i="52" s="1"/>
  <c r="H57" i="52" s="1"/>
  <c r="I57" i="52" s="1"/>
  <c r="J57" i="52" l="1"/>
  <c r="K57" i="52" s="1"/>
  <c r="F44" i="52"/>
  <c r="G41" i="52"/>
  <c r="I41" i="52" s="1"/>
  <c r="F40" i="52" l="1"/>
  <c r="G40" i="52" s="1"/>
  <c r="I40" i="52" s="1"/>
  <c r="E56" i="52"/>
  <c r="F56" i="52" s="1"/>
  <c r="G56" i="52" s="1"/>
  <c r="H56" i="52" s="1"/>
  <c r="I56" i="52" s="1"/>
  <c r="L57" i="52"/>
  <c r="H40" i="52" l="1"/>
  <c r="J56" i="52"/>
  <c r="K56" i="52" s="1"/>
  <c r="L56" i="52" s="1"/>
  <c r="L58" i="52" s="1"/>
  <c r="E58" i="52"/>
  <c r="F58" i="52" s="1"/>
  <c r="G58" i="52" s="1"/>
  <c r="H58" i="52" s="1"/>
  <c r="I58" i="52" s="1"/>
  <c r="M57" i="52"/>
  <c r="E14" i="38"/>
  <c r="J58" i="52" l="1"/>
  <c r="M56" i="52"/>
  <c r="K58" i="52"/>
  <c r="M58" i="52"/>
  <c r="N57" i="52"/>
  <c r="G42" i="52"/>
  <c r="I42" i="52" s="1"/>
  <c r="H42" i="52"/>
  <c r="AQ96" i="41" l="1"/>
  <c r="AR96" i="41"/>
  <c r="N56" i="52"/>
  <c r="N58" i="52" s="1"/>
  <c r="O57" i="52"/>
  <c r="H13" i="52"/>
  <c r="G13" i="52"/>
  <c r="I13" i="52" s="1"/>
  <c r="O56" i="52" l="1"/>
  <c r="O58" i="52" s="1"/>
  <c r="P57" i="52"/>
  <c r="H44" i="52"/>
  <c r="G44" i="52"/>
  <c r="I44" i="52" s="1"/>
  <c r="H43" i="52"/>
  <c r="G43" i="52"/>
  <c r="I43" i="52" s="1"/>
  <c r="L6" i="45"/>
  <c r="T43" i="43"/>
  <c r="R149" i="63" l="1"/>
  <c r="P56" i="52"/>
  <c r="P58" i="52" s="1"/>
  <c r="Q57" i="52"/>
  <c r="Q56" i="52" l="1"/>
  <c r="Q20" i="38"/>
  <c r="P20" i="38"/>
  <c r="N20" i="38"/>
  <c r="M20" i="38"/>
  <c r="L20" i="38"/>
  <c r="K20" i="38"/>
  <c r="H20" i="38"/>
  <c r="G20" i="38"/>
  <c r="I20" i="38"/>
  <c r="Q58" i="52" l="1"/>
  <c r="H27" i="52" l="1"/>
  <c r="G27" i="52" l="1"/>
  <c r="I27" i="52" s="1"/>
  <c r="P30" i="48" l="1"/>
  <c r="AQ84" i="41" l="1"/>
  <c r="AR84" i="41"/>
  <c r="G14" i="38"/>
  <c r="G89" i="38" s="1"/>
  <c r="R46" i="48" l="1"/>
  <c r="Q46" i="48"/>
  <c r="P46" i="48"/>
  <c r="O46" i="48"/>
  <c r="N46" i="48"/>
  <c r="M46" i="48"/>
  <c r="L46" i="48"/>
  <c r="K46" i="48"/>
  <c r="J46" i="48"/>
  <c r="I46" i="48"/>
  <c r="H46" i="48"/>
  <c r="G46" i="48"/>
  <c r="R45" i="48"/>
  <c r="Q45" i="48"/>
  <c r="P45" i="48"/>
  <c r="O45" i="48"/>
  <c r="N45" i="48"/>
  <c r="M45" i="48"/>
  <c r="L45" i="48"/>
  <c r="K45" i="48"/>
  <c r="J45" i="48"/>
  <c r="I45" i="48"/>
  <c r="H45" i="48"/>
  <c r="G45" i="48"/>
  <c r="R44" i="48"/>
  <c r="Q44" i="48"/>
  <c r="P44" i="48"/>
  <c r="O44" i="48"/>
  <c r="N44" i="48"/>
  <c r="M44" i="48"/>
  <c r="L44" i="48"/>
  <c r="K44" i="48"/>
  <c r="J44" i="48"/>
  <c r="I44" i="48"/>
  <c r="H44" i="48"/>
  <c r="G44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51" i="56"/>
  <c r="H21" i="39"/>
  <c r="F16" i="56" s="1"/>
  <c r="I21" i="39"/>
  <c r="G16" i="56" s="1"/>
  <c r="J21" i="39"/>
  <c r="H16" i="56" s="1"/>
  <c r="K21" i="39"/>
  <c r="I16" i="56" s="1"/>
  <c r="L21" i="39"/>
  <c r="J16" i="56" s="1"/>
  <c r="M21" i="39"/>
  <c r="K16" i="56" s="1"/>
  <c r="N21" i="39"/>
  <c r="L16" i="56" s="1"/>
  <c r="O21" i="39"/>
  <c r="M16" i="56" s="1"/>
  <c r="P21" i="39"/>
  <c r="N16" i="56" s="1"/>
  <c r="Q21" i="39"/>
  <c r="O16" i="56" s="1"/>
  <c r="R21" i="39"/>
  <c r="P16" i="56" s="1"/>
  <c r="S21" i="39"/>
  <c r="Q16" i="56" s="1"/>
  <c r="G21" i="39"/>
  <c r="H61" i="45"/>
  <c r="G28" i="56" s="1"/>
  <c r="I61" i="45"/>
  <c r="J61" i="45"/>
  <c r="I28" i="56" s="1"/>
  <c r="K61" i="45"/>
  <c r="J28" i="56" s="1"/>
  <c r="L61" i="45"/>
  <c r="K28" i="56" s="1"/>
  <c r="M61" i="45"/>
  <c r="N61" i="45"/>
  <c r="M28" i="56" s="1"/>
  <c r="O61" i="45"/>
  <c r="N28" i="56" s="1"/>
  <c r="P61" i="45"/>
  <c r="O28" i="56" s="1"/>
  <c r="Q61" i="45"/>
  <c r="P28" i="56" s="1"/>
  <c r="R61" i="45"/>
  <c r="Q28" i="56" s="1"/>
  <c r="H62" i="45"/>
  <c r="G22" i="56" s="1"/>
  <c r="I62" i="45"/>
  <c r="H22" i="56" s="1"/>
  <c r="J62" i="45"/>
  <c r="I22" i="56" s="1"/>
  <c r="K62" i="45"/>
  <c r="J22" i="56" s="1"/>
  <c r="L62" i="45"/>
  <c r="K22" i="56" s="1"/>
  <c r="M62" i="45"/>
  <c r="L22" i="56" s="1"/>
  <c r="N62" i="45"/>
  <c r="M22" i="56" s="1"/>
  <c r="O62" i="45"/>
  <c r="N22" i="56" s="1"/>
  <c r="P62" i="45"/>
  <c r="O22" i="56" s="1"/>
  <c r="Q62" i="45"/>
  <c r="P22" i="56" s="1"/>
  <c r="R62" i="45"/>
  <c r="G62" i="45"/>
  <c r="F22" i="56" s="1"/>
  <c r="G61" i="45"/>
  <c r="F28" i="56" s="1"/>
  <c r="H87" i="43"/>
  <c r="I87" i="43"/>
  <c r="J87" i="43"/>
  <c r="K87" i="43"/>
  <c r="L87" i="43"/>
  <c r="M87" i="43"/>
  <c r="N87" i="43"/>
  <c r="O87" i="43"/>
  <c r="P87" i="43"/>
  <c r="Q87" i="43"/>
  <c r="R87" i="43"/>
  <c r="S87" i="43"/>
  <c r="G83" i="43"/>
  <c r="H83" i="43"/>
  <c r="I83" i="43"/>
  <c r="J83" i="43"/>
  <c r="K83" i="43"/>
  <c r="L83" i="43"/>
  <c r="M83" i="43"/>
  <c r="N83" i="43"/>
  <c r="O83" i="43"/>
  <c r="P83" i="43"/>
  <c r="Q83" i="43"/>
  <c r="R83" i="43"/>
  <c r="S83" i="43"/>
  <c r="D83" i="43"/>
  <c r="E59" i="45"/>
  <c r="F59" i="45"/>
  <c r="G59" i="45"/>
  <c r="H59" i="45"/>
  <c r="I59" i="45"/>
  <c r="J59" i="45"/>
  <c r="K59" i="45"/>
  <c r="L59" i="45"/>
  <c r="M59" i="45"/>
  <c r="N59" i="45"/>
  <c r="O59" i="45"/>
  <c r="P59" i="45"/>
  <c r="Q59" i="45"/>
  <c r="R59" i="45"/>
  <c r="S59" i="45"/>
  <c r="D59" i="45"/>
  <c r="F61" i="45"/>
  <c r="Q14" i="38"/>
  <c r="Q89" i="38" s="1"/>
  <c r="P14" i="38"/>
  <c r="P89" i="38" s="1"/>
  <c r="O14" i="38"/>
  <c r="O89" i="38" s="1"/>
  <c r="N14" i="38"/>
  <c r="N89" i="38" s="1"/>
  <c r="M14" i="38"/>
  <c r="M89" i="38" s="1"/>
  <c r="L14" i="38"/>
  <c r="L89" i="38" s="1"/>
  <c r="I14" i="38"/>
  <c r="I89" i="38" s="1"/>
  <c r="H14" i="38"/>
  <c r="H89" i="38" s="1"/>
  <c r="F14" i="38"/>
  <c r="F89" i="38" s="1"/>
  <c r="G40" i="37"/>
  <c r="I10" i="39"/>
  <c r="J10" i="39"/>
  <c r="T10" i="39"/>
  <c r="G10" i="39"/>
  <c r="H10" i="39"/>
  <c r="S28" i="39"/>
  <c r="R28" i="39"/>
  <c r="Q28" i="39"/>
  <c r="P28" i="39"/>
  <c r="O28" i="39"/>
  <c r="N28" i="39"/>
  <c r="M28" i="39"/>
  <c r="L28" i="39"/>
  <c r="K28" i="39"/>
  <c r="J28" i="39"/>
  <c r="I28" i="39"/>
  <c r="F6" i="45"/>
  <c r="R48" i="56"/>
  <c r="R46" i="56"/>
  <c r="R45" i="56"/>
  <c r="R44" i="56"/>
  <c r="R42" i="56"/>
  <c r="R37" i="56"/>
  <c r="R36" i="56"/>
  <c r="R35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27" i="56"/>
  <c r="R13" i="56"/>
  <c r="S48" i="55"/>
  <c r="S46" i="55"/>
  <c r="S45" i="55"/>
  <c r="S44" i="55"/>
  <c r="S42" i="55"/>
  <c r="S37" i="55"/>
  <c r="S36" i="55"/>
  <c r="S35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S13" i="55"/>
  <c r="S12" i="55"/>
  <c r="S8" i="55"/>
  <c r="G21" i="37"/>
  <c r="E41" i="38"/>
  <c r="T87" i="43" l="1"/>
  <c r="T28" i="39"/>
  <c r="R34" i="56"/>
  <c r="S34" i="55"/>
  <c r="R63" i="45"/>
  <c r="L29" i="48"/>
  <c r="M63" i="45"/>
  <c r="Q22" i="56"/>
  <c r="J63" i="45"/>
  <c r="I63" i="45"/>
  <c r="P63" i="45"/>
  <c r="H28" i="56"/>
  <c r="L28" i="56"/>
  <c r="R29" i="48"/>
  <c r="J29" i="48"/>
  <c r="P29" i="48"/>
  <c r="K29" i="48"/>
  <c r="N29" i="48"/>
  <c r="Q29" i="48"/>
  <c r="I29" i="48"/>
  <c r="O29" i="48"/>
  <c r="M29" i="48"/>
  <c r="T21" i="39"/>
  <c r="Q63" i="45"/>
  <c r="O63" i="45"/>
  <c r="N63" i="45"/>
  <c r="L63" i="45"/>
  <c r="K63" i="45"/>
  <c r="H63" i="45"/>
  <c r="G63" i="45"/>
  <c r="S61" i="45"/>
  <c r="S62" i="45"/>
  <c r="H29" i="48"/>
  <c r="E51" i="56"/>
  <c r="E81" i="52" l="1"/>
  <c r="S63" i="45"/>
  <c r="E12" i="52"/>
  <c r="E48" i="52" s="1"/>
  <c r="F48" i="52" s="1"/>
  <c r="G48" i="52" s="1"/>
  <c r="H48" i="52" s="1"/>
  <c r="I48" i="52" s="1"/>
  <c r="E26" i="52"/>
  <c r="F28" i="52" l="1"/>
  <c r="F81" i="52"/>
  <c r="E82" i="52"/>
  <c r="E83" i="52" s="1"/>
  <c r="E53" i="52"/>
  <c r="F29" i="52"/>
  <c r="E30" i="52"/>
  <c r="F26" i="52"/>
  <c r="G26" i="52" s="1"/>
  <c r="I26" i="52" s="1"/>
  <c r="E52" i="52"/>
  <c r="F12" i="52"/>
  <c r="G12" i="52" s="1"/>
  <c r="I12" i="52" s="1"/>
  <c r="J48" i="52"/>
  <c r="E22" i="47" l="1"/>
  <c r="G28" i="47" s="1"/>
  <c r="F83" i="52"/>
  <c r="H12" i="52"/>
  <c r="J52" i="52"/>
  <c r="K52" i="52" s="1"/>
  <c r="L52" i="52" s="1"/>
  <c r="M52" i="52" s="1"/>
  <c r="N52" i="52" s="1"/>
  <c r="O52" i="52" s="1"/>
  <c r="P52" i="52" s="1"/>
  <c r="Q52" i="52" s="1"/>
  <c r="F52" i="52"/>
  <c r="G52" i="52" s="1"/>
  <c r="H52" i="52" s="1"/>
  <c r="I52" i="52" s="1"/>
  <c r="F82" i="52"/>
  <c r="H81" i="52"/>
  <c r="G81" i="52"/>
  <c r="I81" i="52" s="1"/>
  <c r="F53" i="52"/>
  <c r="G53" i="52" s="1"/>
  <c r="H53" i="52" s="1"/>
  <c r="I53" i="52" s="1"/>
  <c r="H26" i="52"/>
  <c r="E54" i="52"/>
  <c r="F54" i="52" s="1"/>
  <c r="G54" i="52" s="1"/>
  <c r="H54" i="52" s="1"/>
  <c r="I54" i="52" s="1"/>
  <c r="J53" i="52"/>
  <c r="K53" i="52" s="1"/>
  <c r="L53" i="52" s="1"/>
  <c r="K48" i="52"/>
  <c r="L48" i="52" s="1"/>
  <c r="M48" i="52" s="1"/>
  <c r="I37" i="45"/>
  <c r="H36" i="45"/>
  <c r="F36" i="45"/>
  <c r="E35" i="45"/>
  <c r="R37" i="45"/>
  <c r="Q37" i="45"/>
  <c r="P37" i="45"/>
  <c r="O37" i="45"/>
  <c r="N37" i="45"/>
  <c r="M37" i="45"/>
  <c r="L37" i="45"/>
  <c r="K37" i="45"/>
  <c r="J37" i="45"/>
  <c r="H37" i="45"/>
  <c r="G37" i="45"/>
  <c r="F37" i="45"/>
  <c r="R36" i="45"/>
  <c r="Q36" i="45"/>
  <c r="P36" i="45"/>
  <c r="O36" i="45"/>
  <c r="N36" i="45"/>
  <c r="M36" i="45"/>
  <c r="L36" i="45"/>
  <c r="K36" i="45"/>
  <c r="J36" i="45"/>
  <c r="I36" i="45"/>
  <c r="G36" i="45"/>
  <c r="S64" i="43"/>
  <c r="Q185" i="63" s="1"/>
  <c r="Q187" i="63" s="1"/>
  <c r="R64" i="43"/>
  <c r="P185" i="63" s="1"/>
  <c r="P187" i="63" s="1"/>
  <c r="P64" i="43"/>
  <c r="N185" i="63" s="1"/>
  <c r="N187" i="63" s="1"/>
  <c r="M64" i="43"/>
  <c r="K185" i="63" s="1"/>
  <c r="K187" i="63" s="1"/>
  <c r="Q64" i="43"/>
  <c r="O185" i="63" s="1"/>
  <c r="O187" i="63" s="1"/>
  <c r="O64" i="43"/>
  <c r="M185" i="63" s="1"/>
  <c r="M187" i="63" s="1"/>
  <c r="N64" i="43"/>
  <c r="L185" i="63" s="1"/>
  <c r="L187" i="63" s="1"/>
  <c r="L64" i="43"/>
  <c r="J185" i="63" s="1"/>
  <c r="J187" i="63" s="1"/>
  <c r="K64" i="43"/>
  <c r="I185" i="63" s="1"/>
  <c r="I187" i="63" s="1"/>
  <c r="J64" i="43"/>
  <c r="H185" i="63" s="1"/>
  <c r="H187" i="63" s="1"/>
  <c r="I64" i="43"/>
  <c r="G185" i="63" s="1"/>
  <c r="G187" i="63" s="1"/>
  <c r="H64" i="43"/>
  <c r="G64" i="43"/>
  <c r="Q48" i="38"/>
  <c r="P48" i="38"/>
  <c r="O48" i="38"/>
  <c r="N48" i="38"/>
  <c r="M48" i="38"/>
  <c r="L48" i="38"/>
  <c r="K48" i="38"/>
  <c r="J48" i="38"/>
  <c r="I48" i="38"/>
  <c r="H48" i="38"/>
  <c r="G48" i="38"/>
  <c r="F48" i="38"/>
  <c r="E119" i="40"/>
  <c r="G201" i="37" s="1"/>
  <c r="G202" i="37" s="1"/>
  <c r="F185" i="63" l="1"/>
  <c r="F187" i="63" s="1"/>
  <c r="R187" i="63" s="1"/>
  <c r="H51" i="43"/>
  <c r="G32" i="47"/>
  <c r="E30" i="47"/>
  <c r="G30" i="47" s="1"/>
  <c r="H82" i="52"/>
  <c r="G82" i="52"/>
  <c r="I82" i="52" s="1"/>
  <c r="H83" i="52"/>
  <c r="G83" i="52"/>
  <c r="I83" i="52" s="1"/>
  <c r="N48" i="52"/>
  <c r="O48" i="52" s="1"/>
  <c r="P48" i="52" s="1"/>
  <c r="Q48" i="52" s="1"/>
  <c r="J54" i="52"/>
  <c r="K54" i="52"/>
  <c r="M53" i="52"/>
  <c r="L54" i="52"/>
  <c r="J35" i="45"/>
  <c r="Q35" i="45"/>
  <c r="L35" i="45"/>
  <c r="L49" i="38"/>
  <c r="N141" i="37" s="1"/>
  <c r="L123" i="40" s="1"/>
  <c r="L125" i="40" s="1"/>
  <c r="L18" i="56"/>
  <c r="M49" i="38"/>
  <c r="O141" i="37" s="1"/>
  <c r="M123" i="40" s="1"/>
  <c r="M125" i="40" s="1"/>
  <c r="M18" i="56"/>
  <c r="F49" i="38"/>
  <c r="H141" i="37" s="1"/>
  <c r="F123" i="40" s="1"/>
  <c r="F18" i="56"/>
  <c r="N49" i="38"/>
  <c r="P141" i="37" s="1"/>
  <c r="N123" i="40" s="1"/>
  <c r="N125" i="40" s="1"/>
  <c r="N18" i="56"/>
  <c r="G49" i="38"/>
  <c r="I141" i="37" s="1"/>
  <c r="G123" i="40" s="1"/>
  <c r="G18" i="56"/>
  <c r="O49" i="38"/>
  <c r="Q141" i="37" s="1"/>
  <c r="O123" i="40" s="1"/>
  <c r="O125" i="40" s="1"/>
  <c r="O18" i="56"/>
  <c r="H49" i="38"/>
  <c r="J141" i="37" s="1"/>
  <c r="H123" i="40" s="1"/>
  <c r="H18" i="56"/>
  <c r="P49" i="38"/>
  <c r="R141" i="37" s="1"/>
  <c r="P123" i="40" s="1"/>
  <c r="P125" i="40" s="1"/>
  <c r="P18" i="56"/>
  <c r="I49" i="38"/>
  <c r="K141" i="37" s="1"/>
  <c r="I123" i="40" s="1"/>
  <c r="I18" i="56"/>
  <c r="Q49" i="38"/>
  <c r="S141" i="37" s="1"/>
  <c r="Q123" i="40" s="1"/>
  <c r="Q125" i="40" s="1"/>
  <c r="Q18" i="56"/>
  <c r="J49" i="38"/>
  <c r="L141" i="37" s="1"/>
  <c r="J123" i="40" s="1"/>
  <c r="J125" i="40" s="1"/>
  <c r="J18" i="56"/>
  <c r="K49" i="38"/>
  <c r="M141" i="37" s="1"/>
  <c r="K123" i="40" s="1"/>
  <c r="K125" i="40" s="1"/>
  <c r="K18" i="56"/>
  <c r="K35" i="45"/>
  <c r="N35" i="45"/>
  <c r="O35" i="45"/>
  <c r="G35" i="45"/>
  <c r="I35" i="45"/>
  <c r="H35" i="45"/>
  <c r="P35" i="45"/>
  <c r="S37" i="45"/>
  <c r="F35" i="45"/>
  <c r="R35" i="45"/>
  <c r="M35" i="45"/>
  <c r="S36" i="45"/>
  <c r="G125" i="40" l="1"/>
  <c r="G12" i="56" s="1"/>
  <c r="H12" i="48" s="1"/>
  <c r="G8" i="56"/>
  <c r="H8" i="48" s="1"/>
  <c r="I125" i="40"/>
  <c r="I12" i="56" s="1"/>
  <c r="J12" i="48" s="1"/>
  <c r="I8" i="56"/>
  <c r="J8" i="48" s="1"/>
  <c r="H125" i="40"/>
  <c r="H12" i="56" s="1"/>
  <c r="I12" i="48" s="1"/>
  <c r="H8" i="56"/>
  <c r="I8" i="48" s="1"/>
  <c r="F125" i="40"/>
  <c r="F12" i="56" s="1"/>
  <c r="G12" i="48" s="1"/>
  <c r="R123" i="40"/>
  <c r="T141" i="37"/>
  <c r="M54" i="52"/>
  <c r="N53" i="52"/>
  <c r="I24" i="56"/>
  <c r="H24" i="56"/>
  <c r="K24" i="56"/>
  <c r="P24" i="56"/>
  <c r="N24" i="56"/>
  <c r="J24" i="56"/>
  <c r="F8" i="56"/>
  <c r="G8" i="48" s="1"/>
  <c r="F24" i="56"/>
  <c r="Q24" i="56"/>
  <c r="O24" i="56"/>
  <c r="M24" i="56"/>
  <c r="G24" i="56"/>
  <c r="L24" i="56"/>
  <c r="S35" i="45"/>
  <c r="AM123" i="40" l="1"/>
  <c r="AL123" i="40"/>
  <c r="R125" i="40"/>
  <c r="N54" i="52"/>
  <c r="O53" i="52"/>
  <c r="M8" i="56"/>
  <c r="N8" i="48" s="1"/>
  <c r="M12" i="56"/>
  <c r="N12" i="48" s="1"/>
  <c r="J8" i="56"/>
  <c r="O8" i="56"/>
  <c r="P8" i="48" s="1"/>
  <c r="O12" i="56"/>
  <c r="P12" i="48" s="1"/>
  <c r="N8" i="56"/>
  <c r="O8" i="48" s="1"/>
  <c r="N12" i="56"/>
  <c r="O12" i="48" s="1"/>
  <c r="L8" i="56"/>
  <c r="M8" i="48" s="1"/>
  <c r="L12" i="56"/>
  <c r="M12" i="48" s="1"/>
  <c r="Q12" i="56"/>
  <c r="R12" i="48" s="1"/>
  <c r="Q8" i="56"/>
  <c r="R8" i="48" s="1"/>
  <c r="P8" i="56"/>
  <c r="Q8" i="48" s="1"/>
  <c r="P12" i="56"/>
  <c r="Q12" i="48" s="1"/>
  <c r="K8" i="56"/>
  <c r="L8" i="48" s="1"/>
  <c r="K12" i="56"/>
  <c r="L12" i="48" s="1"/>
  <c r="S48" i="48"/>
  <c r="S46" i="48"/>
  <c r="S45" i="48"/>
  <c r="S44" i="48"/>
  <c r="S37" i="48"/>
  <c r="S36" i="48"/>
  <c r="S35" i="48"/>
  <c r="S13" i="48"/>
  <c r="J34" i="48"/>
  <c r="N34" i="48"/>
  <c r="O34" i="48"/>
  <c r="G34" i="48"/>
  <c r="H34" i="48"/>
  <c r="I34" i="48"/>
  <c r="P34" i="48"/>
  <c r="Q34" i="48"/>
  <c r="R34" i="48"/>
  <c r="AM125" i="40" l="1"/>
  <c r="AL125" i="40"/>
  <c r="O54" i="52"/>
  <c r="P53" i="52"/>
  <c r="J12" i="56"/>
  <c r="K8" i="48"/>
  <c r="S8" i="48" s="1"/>
  <c r="R8" i="56"/>
  <c r="F7" i="47"/>
  <c r="M34" i="48"/>
  <c r="L34" i="48"/>
  <c r="K34" i="48"/>
  <c r="P54" i="52" l="1"/>
  <c r="Q53" i="52"/>
  <c r="Q54" i="52" s="1"/>
  <c r="K12" i="48"/>
  <c r="S12" i="48" s="1"/>
  <c r="R12" i="56"/>
  <c r="S34" i="48"/>
  <c r="E38" i="56" l="1"/>
  <c r="E34" i="56"/>
  <c r="F34" i="48"/>
  <c r="P137" i="63"/>
  <c r="P139" i="63" s="1"/>
  <c r="O137" i="63"/>
  <c r="O139" i="63" s="1"/>
  <c r="N137" i="63"/>
  <c r="N139" i="63" s="1"/>
  <c r="M137" i="63"/>
  <c r="M139" i="63" s="1"/>
  <c r="L137" i="63"/>
  <c r="L139" i="63" s="1"/>
  <c r="K137" i="63"/>
  <c r="K139" i="63" s="1"/>
  <c r="J137" i="63"/>
  <c r="J139" i="63" s="1"/>
  <c r="I137" i="63"/>
  <c r="I139" i="63" s="1"/>
  <c r="S43" i="43"/>
  <c r="R43" i="43"/>
  <c r="Q43" i="43"/>
  <c r="P43" i="43"/>
  <c r="O43" i="43"/>
  <c r="N43" i="43"/>
  <c r="M43" i="43"/>
  <c r="L43" i="43"/>
  <c r="K43" i="43"/>
  <c r="S76" i="43"/>
  <c r="R76" i="43"/>
  <c r="Q76" i="43"/>
  <c r="P76" i="43"/>
  <c r="O76" i="43"/>
  <c r="N76" i="43"/>
  <c r="M76" i="43"/>
  <c r="L76" i="43"/>
  <c r="K76" i="43"/>
  <c r="Q5" i="63"/>
  <c r="Q7" i="63" s="1"/>
  <c r="P5" i="63"/>
  <c r="P7" i="63" s="1"/>
  <c r="O5" i="63"/>
  <c r="O7" i="63" s="1"/>
  <c r="N5" i="63"/>
  <c r="N7" i="63" s="1"/>
  <c r="M5" i="63"/>
  <c r="M7" i="63" s="1"/>
  <c r="L5" i="63"/>
  <c r="L7" i="63" s="1"/>
  <c r="K5" i="63"/>
  <c r="K7" i="63" s="1"/>
  <c r="J5" i="63"/>
  <c r="J7" i="63" s="1"/>
  <c r="I5" i="63"/>
  <c r="I7" i="63" s="1"/>
  <c r="R48" i="45"/>
  <c r="Q48" i="45"/>
  <c r="P48" i="45"/>
  <c r="O48" i="45"/>
  <c r="N48" i="45"/>
  <c r="M48" i="45"/>
  <c r="L48" i="45"/>
  <c r="K48" i="45"/>
  <c r="J48" i="45"/>
  <c r="I48" i="45"/>
  <c r="H48" i="45"/>
  <c r="G48" i="45"/>
  <c r="F48" i="45"/>
  <c r="R47" i="45"/>
  <c r="Q47" i="45"/>
  <c r="P47" i="45"/>
  <c r="O47" i="45"/>
  <c r="N47" i="45"/>
  <c r="M47" i="45"/>
  <c r="L47" i="45"/>
  <c r="K47" i="45"/>
  <c r="J47" i="45"/>
  <c r="I47" i="45"/>
  <c r="H47" i="45"/>
  <c r="G47" i="45"/>
  <c r="F47" i="45"/>
  <c r="R45" i="45"/>
  <c r="Q45" i="45"/>
  <c r="P45" i="45"/>
  <c r="O45" i="45"/>
  <c r="N45" i="45"/>
  <c r="M45" i="45"/>
  <c r="L45" i="45"/>
  <c r="K45" i="45"/>
  <c r="J45" i="45"/>
  <c r="I45" i="45"/>
  <c r="H45" i="45"/>
  <c r="G45" i="45"/>
  <c r="F45" i="45"/>
  <c r="R44" i="45"/>
  <c r="Q44" i="45"/>
  <c r="P44" i="45"/>
  <c r="O44" i="45"/>
  <c r="N44" i="45"/>
  <c r="M44" i="45"/>
  <c r="L44" i="45"/>
  <c r="K44" i="45"/>
  <c r="J44" i="45"/>
  <c r="I44" i="45"/>
  <c r="H44" i="45"/>
  <c r="G44" i="45"/>
  <c r="F44" i="45"/>
  <c r="R43" i="45"/>
  <c r="Q43" i="45"/>
  <c r="P43" i="45"/>
  <c r="O43" i="45"/>
  <c r="N43" i="45"/>
  <c r="M43" i="45"/>
  <c r="L43" i="45"/>
  <c r="K43" i="45"/>
  <c r="J43" i="45"/>
  <c r="I43" i="45"/>
  <c r="H43" i="45"/>
  <c r="G43" i="45"/>
  <c r="F43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R41" i="45"/>
  <c r="Q41" i="45"/>
  <c r="P41" i="45"/>
  <c r="O41" i="45"/>
  <c r="N41" i="45"/>
  <c r="M41" i="45"/>
  <c r="L41" i="45"/>
  <c r="K41" i="45"/>
  <c r="J41" i="45"/>
  <c r="I41" i="45"/>
  <c r="G41" i="45"/>
  <c r="F41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R39" i="45"/>
  <c r="Q39" i="45"/>
  <c r="P39" i="45"/>
  <c r="O39" i="45"/>
  <c r="N39" i="45"/>
  <c r="M39" i="45"/>
  <c r="L39" i="45"/>
  <c r="K39" i="45"/>
  <c r="J39" i="45"/>
  <c r="I39" i="45"/>
  <c r="H39" i="45"/>
  <c r="G39" i="45"/>
  <c r="F39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R22" i="45"/>
  <c r="Q22" i="45"/>
  <c r="P22" i="45"/>
  <c r="O22" i="45"/>
  <c r="N22" i="45"/>
  <c r="M22" i="45"/>
  <c r="L22" i="45"/>
  <c r="K22" i="45"/>
  <c r="J22" i="45"/>
  <c r="I22" i="45"/>
  <c r="F22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F12" i="45" s="1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G6" i="45"/>
  <c r="H6" i="45"/>
  <c r="I6" i="45"/>
  <c r="J6" i="45"/>
  <c r="K6" i="45"/>
  <c r="M6" i="45"/>
  <c r="O6" i="45"/>
  <c r="P6" i="45"/>
  <c r="Q6" i="45"/>
  <c r="R6" i="45"/>
  <c r="H43" i="43"/>
  <c r="I43" i="43"/>
  <c r="J43" i="43"/>
  <c r="G43" i="43"/>
  <c r="F137" i="63"/>
  <c r="F139" i="63" s="1"/>
  <c r="G137" i="63"/>
  <c r="G139" i="63" s="1"/>
  <c r="H137" i="63"/>
  <c r="H139" i="63" s="1"/>
  <c r="I76" i="43"/>
  <c r="J76" i="43"/>
  <c r="G76" i="43"/>
  <c r="F5" i="63"/>
  <c r="F7" i="63" s="1"/>
  <c r="G5" i="63"/>
  <c r="G7" i="63" s="1"/>
  <c r="H5" i="63"/>
  <c r="H7" i="63" s="1"/>
  <c r="O149" i="63" l="1"/>
  <c r="O151" i="63" s="1"/>
  <c r="Q149" i="63"/>
  <c r="Q151" i="63" s="1"/>
  <c r="P149" i="63"/>
  <c r="P151" i="63" s="1"/>
  <c r="G78" i="43"/>
  <c r="G79" i="43" s="1"/>
  <c r="I149" i="63"/>
  <c r="I151" i="63" s="1"/>
  <c r="H149" i="63"/>
  <c r="H151" i="63" s="1"/>
  <c r="J149" i="63"/>
  <c r="J151" i="63" s="1"/>
  <c r="K149" i="63"/>
  <c r="K151" i="63" s="1"/>
  <c r="F149" i="63"/>
  <c r="F151" i="63" s="1"/>
  <c r="H78" i="43"/>
  <c r="H56" i="39" s="1"/>
  <c r="H55" i="39" s="1"/>
  <c r="L149" i="63"/>
  <c r="L151" i="63" s="1"/>
  <c r="G149" i="63"/>
  <c r="G151" i="63" s="1"/>
  <c r="M149" i="63"/>
  <c r="M151" i="63" s="1"/>
  <c r="N149" i="63"/>
  <c r="N151" i="63" s="1"/>
  <c r="R7" i="63"/>
  <c r="G51" i="43"/>
  <c r="T76" i="43"/>
  <c r="R137" i="63"/>
  <c r="Q137" i="63"/>
  <c r="Q139" i="63" s="1"/>
  <c r="R139" i="63" s="1"/>
  <c r="F26" i="45"/>
  <c r="S15" i="45"/>
  <c r="S20" i="45"/>
  <c r="S7" i="45"/>
  <c r="S6" i="45"/>
  <c r="S23" i="45"/>
  <c r="S27" i="45"/>
  <c r="S11" i="45"/>
  <c r="S16" i="45"/>
  <c r="S28" i="45"/>
  <c r="S45" i="45"/>
  <c r="S47" i="45"/>
  <c r="S30" i="45"/>
  <c r="S48" i="45"/>
  <c r="S17" i="45"/>
  <c r="S18" i="45"/>
  <c r="S19" i="45"/>
  <c r="S39" i="45"/>
  <c r="S22" i="45"/>
  <c r="S9" i="45"/>
  <c r="S24" i="45"/>
  <c r="S10" i="45"/>
  <c r="S13" i="45"/>
  <c r="S40" i="45"/>
  <c r="S41" i="45"/>
  <c r="S42" i="45"/>
  <c r="S43" i="45"/>
  <c r="S44" i="45"/>
  <c r="S31" i="45"/>
  <c r="S29" i="45"/>
  <c r="F38" i="45"/>
  <c r="F21" i="45"/>
  <c r="F5" i="45"/>
  <c r="G46" i="45"/>
  <c r="F46" i="45"/>
  <c r="G38" i="45"/>
  <c r="G21" i="45"/>
  <c r="G14" i="45"/>
  <c r="F14" i="45"/>
  <c r="G8" i="45"/>
  <c r="F8" i="45"/>
  <c r="H79" i="43" l="1"/>
  <c r="R357" i="67"/>
  <c r="R151" i="63"/>
  <c r="I41" i="55"/>
  <c r="H41" i="55"/>
  <c r="K41" i="55"/>
  <c r="R41" i="55"/>
  <c r="Q41" i="55"/>
  <c r="P41" i="55"/>
  <c r="O41" i="55"/>
  <c r="N41" i="55"/>
  <c r="M41" i="55"/>
  <c r="J41" i="55"/>
  <c r="L41" i="55"/>
  <c r="F56" i="45"/>
  <c r="H46" i="45"/>
  <c r="H38" i="45"/>
  <c r="G26" i="45"/>
  <c r="G55" i="45" s="1"/>
  <c r="H21" i="45"/>
  <c r="H14" i="45"/>
  <c r="G12" i="45"/>
  <c r="H8" i="45"/>
  <c r="G5" i="45"/>
  <c r="H5" i="45"/>
  <c r="I5" i="45"/>
  <c r="M41" i="48" l="1"/>
  <c r="G41" i="48"/>
  <c r="G51" i="55"/>
  <c r="G51" i="48" s="1"/>
  <c r="J41" i="48"/>
  <c r="J51" i="55"/>
  <c r="N41" i="48"/>
  <c r="N51" i="55"/>
  <c r="O41" i="48"/>
  <c r="O51" i="55"/>
  <c r="P41" i="48"/>
  <c r="P51" i="55"/>
  <c r="Q41" i="48"/>
  <c r="R41" i="48"/>
  <c r="R51" i="55"/>
  <c r="K41" i="48"/>
  <c r="K51" i="55"/>
  <c r="H41" i="48"/>
  <c r="H51" i="55"/>
  <c r="I41" i="48"/>
  <c r="I51" i="55"/>
  <c r="L41" i="48"/>
  <c r="L51" i="55"/>
  <c r="G56" i="45"/>
  <c r="G28" i="48"/>
  <c r="S41" i="55"/>
  <c r="R41" i="56"/>
  <c r="G39" i="48"/>
  <c r="I46" i="45"/>
  <c r="I38" i="45"/>
  <c r="H26" i="45"/>
  <c r="I21" i="45"/>
  <c r="I14" i="45"/>
  <c r="H12" i="45"/>
  <c r="H56" i="45" s="1"/>
  <c r="I8" i="45"/>
  <c r="J5" i="45"/>
  <c r="S41" i="48" l="1"/>
  <c r="H39" i="48"/>
  <c r="I39" i="48"/>
  <c r="F38" i="56"/>
  <c r="H55" i="45"/>
  <c r="J46" i="45"/>
  <c r="J38" i="45"/>
  <c r="I26" i="45"/>
  <c r="I55" i="45" s="1"/>
  <c r="J21" i="45"/>
  <c r="J14" i="45"/>
  <c r="I12" i="45"/>
  <c r="I56" i="45" s="1"/>
  <c r="J8" i="45"/>
  <c r="K5" i="45"/>
  <c r="I28" i="48" l="1"/>
  <c r="H28" i="48"/>
  <c r="J39" i="48"/>
  <c r="H38" i="56"/>
  <c r="K46" i="45"/>
  <c r="K38" i="45"/>
  <c r="J26" i="45"/>
  <c r="J55" i="45" s="1"/>
  <c r="K21" i="45"/>
  <c r="K14" i="45"/>
  <c r="J12" i="45"/>
  <c r="J56" i="45" s="1"/>
  <c r="K8" i="45"/>
  <c r="L5" i="45"/>
  <c r="G38" i="56" l="1"/>
  <c r="K39" i="48"/>
  <c r="L46" i="45"/>
  <c r="L38" i="45"/>
  <c r="K26" i="45"/>
  <c r="K55" i="45" s="1"/>
  <c r="L21" i="45"/>
  <c r="L14" i="45"/>
  <c r="K12" i="45"/>
  <c r="K56" i="45" s="1"/>
  <c r="L8" i="45"/>
  <c r="M5" i="45"/>
  <c r="U55" i="45" l="1"/>
  <c r="J28" i="48"/>
  <c r="J38" i="56"/>
  <c r="I38" i="56"/>
  <c r="L39" i="48"/>
  <c r="M46" i="45"/>
  <c r="M38" i="45"/>
  <c r="L26" i="45"/>
  <c r="L55" i="45" s="1"/>
  <c r="M21" i="45"/>
  <c r="M14" i="45"/>
  <c r="L12" i="45"/>
  <c r="L56" i="45" s="1"/>
  <c r="M8" i="45"/>
  <c r="N5" i="45"/>
  <c r="K38" i="56" l="1"/>
  <c r="N46" i="45"/>
  <c r="N38" i="45"/>
  <c r="M26" i="45"/>
  <c r="N21" i="45"/>
  <c r="N14" i="45"/>
  <c r="M12" i="45"/>
  <c r="M56" i="45" s="1"/>
  <c r="N8" i="45"/>
  <c r="O5" i="45"/>
  <c r="M39" i="48" l="1"/>
  <c r="K28" i="48"/>
  <c r="L38" i="56"/>
  <c r="M55" i="45"/>
  <c r="O46" i="45"/>
  <c r="O38" i="45"/>
  <c r="N26" i="45"/>
  <c r="O21" i="45"/>
  <c r="O14" i="45"/>
  <c r="N12" i="45"/>
  <c r="N56" i="45" s="1"/>
  <c r="O8" i="45"/>
  <c r="P5" i="45"/>
  <c r="N39" i="48" l="1"/>
  <c r="N55" i="45"/>
  <c r="L28" i="48"/>
  <c r="M38" i="56"/>
  <c r="P46" i="45"/>
  <c r="P38" i="45"/>
  <c r="O26" i="45"/>
  <c r="P21" i="45"/>
  <c r="P14" i="45"/>
  <c r="O12" i="45"/>
  <c r="O56" i="45" s="1"/>
  <c r="P8" i="45"/>
  <c r="Q5" i="45"/>
  <c r="O39" i="48" l="1"/>
  <c r="M28" i="48"/>
  <c r="N38" i="56"/>
  <c r="O55" i="45"/>
  <c r="R46" i="45"/>
  <c r="Q46" i="45"/>
  <c r="Q38" i="45"/>
  <c r="R38" i="45"/>
  <c r="P26" i="45"/>
  <c r="Q21" i="45"/>
  <c r="R21" i="45"/>
  <c r="R14" i="45"/>
  <c r="Q14" i="45"/>
  <c r="P12" i="45"/>
  <c r="P56" i="45" s="1"/>
  <c r="P39" i="48" s="1"/>
  <c r="R8" i="45"/>
  <c r="Q8" i="45"/>
  <c r="R5" i="45"/>
  <c r="N28" i="48" l="1"/>
  <c r="O38" i="56"/>
  <c r="S21" i="45"/>
  <c r="S5" i="45"/>
  <c r="S8" i="45"/>
  <c r="P55" i="45"/>
  <c r="S38" i="45"/>
  <c r="S46" i="45"/>
  <c r="S14" i="45"/>
  <c r="Q26" i="45"/>
  <c r="R26" i="45"/>
  <c r="R55" i="45" s="1"/>
  <c r="R12" i="45"/>
  <c r="R56" i="45" s="1"/>
  <c r="Q12" i="45"/>
  <c r="Q56" i="45" s="1"/>
  <c r="Q39" i="48" l="1"/>
  <c r="O28" i="48"/>
  <c r="P38" i="56"/>
  <c r="W5" i="42"/>
  <c r="Y66" i="64" s="1"/>
  <c r="S12" i="45"/>
  <c r="S56" i="45" s="1"/>
  <c r="Q55" i="45"/>
  <c r="S26" i="45"/>
  <c r="S55" i="45" s="1"/>
  <c r="AQ5" i="42" l="1"/>
  <c r="AR5" i="42"/>
  <c r="W6" i="42"/>
  <c r="P28" i="48"/>
  <c r="S39" i="55"/>
  <c r="R39" i="48"/>
  <c r="S39" i="48" s="1"/>
  <c r="R28" i="56"/>
  <c r="R40" i="56"/>
  <c r="R39" i="56"/>
  <c r="AR6" i="42" l="1"/>
  <c r="AQ6" i="42"/>
  <c r="R225" i="63"/>
  <c r="R226" i="63" s="1"/>
  <c r="Q28" i="48"/>
  <c r="Q38" i="56"/>
  <c r="T41" i="39"/>
  <c r="L31" i="39"/>
  <c r="K31" i="39"/>
  <c r="J31" i="39"/>
  <c r="I31" i="39"/>
  <c r="I25" i="39"/>
  <c r="J25" i="39"/>
  <c r="K25" i="39"/>
  <c r="L25" i="39"/>
  <c r="M25" i="39"/>
  <c r="N25" i="39"/>
  <c r="N38" i="39" s="1"/>
  <c r="O25" i="39"/>
  <c r="P25" i="39"/>
  <c r="Q25" i="39"/>
  <c r="R25" i="39"/>
  <c r="S25" i="39"/>
  <c r="S227" i="63" l="1"/>
  <c r="S228" i="63" s="1"/>
  <c r="R227" i="63"/>
  <c r="T31" i="39"/>
  <c r="G34" i="39"/>
  <c r="G198" i="37"/>
  <c r="T25" i="39"/>
  <c r="G51" i="56"/>
  <c r="H51" i="48" s="1"/>
  <c r="H51" i="56"/>
  <c r="I51" i="48" s="1"/>
  <c r="R38" i="56"/>
  <c r="P51" i="56"/>
  <c r="L51" i="56"/>
  <c r="G197" i="37" l="1"/>
  <c r="G199" i="37" s="1"/>
  <c r="R28" i="48"/>
  <c r="S28" i="48" s="1"/>
  <c r="J31" i="48"/>
  <c r="O51" i="56"/>
  <c r="P51" i="48" s="1"/>
  <c r="M27" i="56"/>
  <c r="N51" i="56"/>
  <c r="O51" i="48" s="1"/>
  <c r="K51" i="56"/>
  <c r="J51" i="56"/>
  <c r="M51" i="56"/>
  <c r="N51" i="48" s="1"/>
  <c r="R31" i="56"/>
  <c r="I51" i="56"/>
  <c r="J51" i="48" s="1"/>
  <c r="Q51" i="56"/>
  <c r="R51" i="48" s="1"/>
  <c r="G27" i="56"/>
  <c r="E15" i="56"/>
  <c r="Q41" i="38"/>
  <c r="P41" i="38"/>
  <c r="O41" i="38"/>
  <c r="N41" i="38"/>
  <c r="M41" i="38"/>
  <c r="L41" i="38"/>
  <c r="K41" i="38"/>
  <c r="J41" i="38"/>
  <c r="I41" i="38"/>
  <c r="H41" i="38"/>
  <c r="G41" i="38"/>
  <c r="F8" i="38"/>
  <c r="F70" i="38" s="1"/>
  <c r="K42" i="38" l="1"/>
  <c r="K140" i="38"/>
  <c r="K138" i="38"/>
  <c r="K141" i="38"/>
  <c r="K139" i="38"/>
  <c r="O42" i="38"/>
  <c r="O141" i="38"/>
  <c r="O139" i="38"/>
  <c r="O140" i="38"/>
  <c r="O138" i="38"/>
  <c r="L42" i="38"/>
  <c r="L140" i="38"/>
  <c r="L141" i="38"/>
  <c r="L139" i="38"/>
  <c r="L138" i="38"/>
  <c r="H42" i="38"/>
  <c r="H141" i="38"/>
  <c r="H140" i="38"/>
  <c r="H138" i="38"/>
  <c r="H139" i="38"/>
  <c r="P42" i="38"/>
  <c r="P140" i="38"/>
  <c r="P138" i="38"/>
  <c r="P141" i="38"/>
  <c r="P139" i="38"/>
  <c r="J42" i="38"/>
  <c r="J140" i="38"/>
  <c r="J138" i="38"/>
  <c r="J141" i="38"/>
  <c r="J139" i="38"/>
  <c r="M42" i="38"/>
  <c r="M141" i="38"/>
  <c r="M139" i="38"/>
  <c r="M140" i="38"/>
  <c r="M138" i="38"/>
  <c r="N42" i="38"/>
  <c r="N141" i="38"/>
  <c r="N139" i="38"/>
  <c r="N140" i="38"/>
  <c r="N138" i="38"/>
  <c r="G42" i="38"/>
  <c r="G141" i="38"/>
  <c r="G139" i="38"/>
  <c r="G140" i="38"/>
  <c r="G138" i="38"/>
  <c r="I42" i="38"/>
  <c r="I140" i="38"/>
  <c r="I138" i="38"/>
  <c r="I141" i="38"/>
  <c r="I139" i="38"/>
  <c r="Q42" i="38"/>
  <c r="Q140" i="38"/>
  <c r="Q138" i="38"/>
  <c r="Q141" i="38"/>
  <c r="Q139" i="38"/>
  <c r="I31" i="48"/>
  <c r="P31" i="48"/>
  <c r="L31" i="48"/>
  <c r="K31" i="48"/>
  <c r="R31" i="48"/>
  <c r="O31" i="48"/>
  <c r="N27" i="55"/>
  <c r="N30" i="48"/>
  <c r="N27" i="48" s="1"/>
  <c r="H31" i="48"/>
  <c r="N31" i="48"/>
  <c r="H27" i="55"/>
  <c r="H30" i="48"/>
  <c r="H27" i="48" s="1"/>
  <c r="G31" i="48"/>
  <c r="R51" i="56"/>
  <c r="F5" i="48"/>
  <c r="F9" i="55"/>
  <c r="F19" i="55" s="1"/>
  <c r="L27" i="56"/>
  <c r="J27" i="56"/>
  <c r="N27" i="56"/>
  <c r="P27" i="56"/>
  <c r="O27" i="56"/>
  <c r="Q27" i="56"/>
  <c r="K27" i="56"/>
  <c r="I27" i="56"/>
  <c r="H27" i="56"/>
  <c r="E80" i="40"/>
  <c r="G59" i="37"/>
  <c r="E14" i="52" l="1"/>
  <c r="F19" i="48"/>
  <c r="F9" i="48"/>
  <c r="M27" i="55"/>
  <c r="M30" i="48"/>
  <c r="M27" i="48" s="1"/>
  <c r="P27" i="55"/>
  <c r="P27" i="48"/>
  <c r="R27" i="55"/>
  <c r="R30" i="48"/>
  <c r="R27" i="48" s="1"/>
  <c r="O27" i="55"/>
  <c r="O30" i="48"/>
  <c r="O27" i="48" s="1"/>
  <c r="J27" i="55"/>
  <c r="J30" i="48"/>
  <c r="J27" i="48" s="1"/>
  <c r="L27" i="55"/>
  <c r="L30" i="48"/>
  <c r="L27" i="48" s="1"/>
  <c r="Q27" i="55"/>
  <c r="Q30" i="48"/>
  <c r="Q27" i="48" s="1"/>
  <c r="K27" i="55"/>
  <c r="K30" i="48"/>
  <c r="K27" i="48" s="1"/>
  <c r="I27" i="55"/>
  <c r="I30" i="48"/>
  <c r="I27" i="48" s="1"/>
  <c r="U54" i="48" l="1"/>
  <c r="U40" i="48"/>
  <c r="U12" i="48"/>
  <c r="U37" i="48"/>
  <c r="U36" i="48"/>
  <c r="U21" i="48"/>
  <c r="U34" i="48"/>
  <c r="U45" i="48"/>
  <c r="U30" i="48"/>
  <c r="U15" i="48"/>
  <c r="U39" i="48"/>
  <c r="U51" i="48"/>
  <c r="U22" i="48"/>
  <c r="U48" i="48"/>
  <c r="U17" i="48"/>
  <c r="U42" i="48"/>
  <c r="U38" i="48"/>
  <c r="U24" i="48"/>
  <c r="U23" i="48"/>
  <c r="U9" i="48"/>
  <c r="U18" i="48"/>
  <c r="U44" i="48"/>
  <c r="U28" i="48"/>
  <c r="U41" i="48"/>
  <c r="U27" i="48"/>
  <c r="U13" i="48"/>
  <c r="X9" i="48"/>
  <c r="U35" i="48"/>
  <c r="U20" i="48"/>
  <c r="U46" i="48"/>
  <c r="U31" i="48"/>
  <c r="U16" i="48"/>
  <c r="U29" i="48"/>
  <c r="U14" i="48"/>
  <c r="U10" i="48"/>
  <c r="U11" i="48"/>
  <c r="U19" i="48"/>
  <c r="F14" i="52"/>
  <c r="H14" i="52" s="1"/>
  <c r="G14" i="52"/>
  <c r="I14" i="52" s="1"/>
  <c r="E15" i="52"/>
  <c r="E6" i="47" s="1"/>
  <c r="H28" i="52"/>
  <c r="G28" i="52"/>
  <c r="I28" i="52" s="1"/>
  <c r="F30" i="52"/>
  <c r="G12" i="47" l="1"/>
  <c r="G17" i="47"/>
  <c r="G16" i="47"/>
  <c r="K7" i="52"/>
  <c r="E49" i="52"/>
  <c r="F15" i="52"/>
  <c r="G15" i="52" s="1"/>
  <c r="I15" i="52" s="1"/>
  <c r="E16" i="52"/>
  <c r="F16" i="52" s="1"/>
  <c r="H16" i="52" s="1"/>
  <c r="G30" i="52"/>
  <c r="I30" i="52" s="1"/>
  <c r="H29" i="52"/>
  <c r="G29" i="52"/>
  <c r="I29" i="52" s="1"/>
  <c r="E33" i="45" l="1"/>
  <c r="F33" i="45" s="1"/>
  <c r="G9" i="47"/>
  <c r="E34" i="45" s="1"/>
  <c r="F34" i="45" s="1"/>
  <c r="F49" i="52"/>
  <c r="G49" i="52" s="1"/>
  <c r="H49" i="52" s="1"/>
  <c r="I49" i="52" s="1"/>
  <c r="I68" i="52"/>
  <c r="F68" i="52"/>
  <c r="G68" i="52"/>
  <c r="H68" i="52"/>
  <c r="H15" i="52"/>
  <c r="J49" i="52"/>
  <c r="E50" i="52"/>
  <c r="F50" i="52" s="1"/>
  <c r="G50" i="52" s="1"/>
  <c r="H50" i="52" s="1"/>
  <c r="I50" i="52" s="1"/>
  <c r="G16" i="52"/>
  <c r="I16" i="52" s="1"/>
  <c r="H30" i="52"/>
  <c r="F51" i="39" l="1"/>
  <c r="F49" i="39" s="1"/>
  <c r="E51" i="39"/>
  <c r="E49" i="39" s="1"/>
  <c r="G51" i="39"/>
  <c r="G49" i="39" s="1"/>
  <c r="F32" i="45"/>
  <c r="G7" i="47"/>
  <c r="G27" i="47" s="1"/>
  <c r="N51" i="39"/>
  <c r="O51" i="39"/>
  <c r="J51" i="39"/>
  <c r="I51" i="39"/>
  <c r="K51" i="39"/>
  <c r="H51" i="39"/>
  <c r="M51" i="39"/>
  <c r="E32" i="45"/>
  <c r="L51" i="39"/>
  <c r="P51" i="39"/>
  <c r="S51" i="39"/>
  <c r="Q51" i="39"/>
  <c r="R51" i="39"/>
  <c r="J50" i="52"/>
  <c r="K49" i="52"/>
  <c r="F55" i="39" l="1"/>
  <c r="F54" i="45"/>
  <c r="L49" i="52"/>
  <c r="K50" i="52"/>
  <c r="N68" i="52"/>
  <c r="P68" i="52"/>
  <c r="J68" i="52"/>
  <c r="M68" i="52"/>
  <c r="O68" i="52"/>
  <c r="K68" i="52"/>
  <c r="L68" i="52"/>
  <c r="Q68" i="52"/>
  <c r="T51" i="39"/>
  <c r="T57" i="39" l="1"/>
  <c r="M49" i="52"/>
  <c r="L50" i="52"/>
  <c r="M50" i="52" l="1"/>
  <c r="N49" i="52"/>
  <c r="N50" i="52" l="1"/>
  <c r="O49" i="52"/>
  <c r="O50" i="52" l="1"/>
  <c r="P49" i="52"/>
  <c r="Q49" i="52" l="1"/>
  <c r="Q50" i="52" s="1"/>
  <c r="P50" i="52"/>
  <c r="F173" i="63" l="1"/>
  <c r="F175" i="63" s="1"/>
  <c r="G29" i="48" l="1"/>
  <c r="F5" i="56" l="1"/>
  <c r="R29" i="56"/>
  <c r="R30" i="56"/>
  <c r="S29" i="48"/>
  <c r="S29" i="55"/>
  <c r="F23" i="56"/>
  <c r="S30" i="55" l="1"/>
  <c r="G30" i="48"/>
  <c r="S30" i="48" s="1"/>
  <c r="F27" i="56"/>
  <c r="R27" i="56" s="1"/>
  <c r="F9" i="56"/>
  <c r="F19" i="56" s="1"/>
  <c r="S27" i="55"/>
  <c r="G27" i="48" l="1"/>
  <c r="S27" i="48" s="1"/>
  <c r="F15" i="56" l="1"/>
  <c r="F14" i="56" s="1"/>
  <c r="F25" i="56" l="1"/>
  <c r="F26" i="56" s="1"/>
  <c r="F32" i="56" l="1"/>
  <c r="F33" i="56" s="1"/>
  <c r="F43" i="56" l="1"/>
  <c r="F47" i="56" l="1"/>
  <c r="F49" i="56" l="1"/>
  <c r="F50" i="56" s="1"/>
  <c r="F52" i="56" l="1"/>
  <c r="F53" i="56" s="1"/>
  <c r="T19" i="39" l="1"/>
  <c r="R17" i="56" l="1"/>
  <c r="R16" i="56" l="1"/>
  <c r="J51" i="43" l="1"/>
  <c r="J78" i="43" s="1"/>
  <c r="J56" i="39" s="1"/>
  <c r="K51" i="43"/>
  <c r="K78" i="43" s="1"/>
  <c r="K56" i="39" s="1"/>
  <c r="I51" i="43"/>
  <c r="I78" i="43" s="1"/>
  <c r="I56" i="39" s="1"/>
  <c r="I79" i="43" l="1"/>
  <c r="S357" i="67"/>
  <c r="K79" i="43"/>
  <c r="U357" i="67"/>
  <c r="J79" i="43"/>
  <c r="T357" i="67"/>
  <c r="G173" i="63"/>
  <c r="G175" i="63" s="1"/>
  <c r="I173" i="63"/>
  <c r="I175" i="63" s="1"/>
  <c r="H173" i="63"/>
  <c r="H175" i="63" s="1"/>
  <c r="K23" i="56"/>
  <c r="H23" i="56" l="1"/>
  <c r="P9" i="56"/>
  <c r="P19" i="56" s="1"/>
  <c r="J23" i="56"/>
  <c r="N9" i="56"/>
  <c r="N19" i="56" s="1"/>
  <c r="I9" i="56"/>
  <c r="I19" i="56" s="1"/>
  <c r="M9" i="56"/>
  <c r="M19" i="56" s="1"/>
  <c r="L23" i="56"/>
  <c r="N5" i="56"/>
  <c r="I5" i="56"/>
  <c r="M5" i="56"/>
  <c r="M23" i="56"/>
  <c r="K5" i="56"/>
  <c r="O9" i="56"/>
  <c r="O19" i="56" s="1"/>
  <c r="O5" i="56"/>
  <c r="J9" i="56"/>
  <c r="J19" i="56" s="1"/>
  <c r="O23" i="56"/>
  <c r="H9" i="56"/>
  <c r="H19" i="56" s="1"/>
  <c r="J5" i="56"/>
  <c r="P23" i="56"/>
  <c r="P5" i="56"/>
  <c r="K9" i="56"/>
  <c r="K19" i="56" s="1"/>
  <c r="H5" i="56"/>
  <c r="R18" i="56" l="1"/>
  <c r="G23" i="56"/>
  <c r="L9" i="56"/>
  <c r="L19" i="56" s="1"/>
  <c r="Q5" i="56"/>
  <c r="Q23" i="56"/>
  <c r="Q9" i="56"/>
  <c r="Q19" i="56" s="1"/>
  <c r="R21" i="56"/>
  <c r="G5" i="56"/>
  <c r="L5" i="56"/>
  <c r="R6" i="56"/>
  <c r="L22" i="48" l="1"/>
  <c r="M15" i="56"/>
  <c r="M14" i="56" s="1"/>
  <c r="M25" i="56" s="1"/>
  <c r="K15" i="56"/>
  <c r="K14" i="56" s="1"/>
  <c r="K25" i="56" s="1"/>
  <c r="K26" i="56" s="1"/>
  <c r="Q15" i="56"/>
  <c r="Q14" i="56" s="1"/>
  <c r="Q25" i="56" s="1"/>
  <c r="Q26" i="56" s="1"/>
  <c r="R22" i="56"/>
  <c r="N15" i="56"/>
  <c r="H15" i="56"/>
  <c r="H14" i="56" s="1"/>
  <c r="H25" i="56" s="1"/>
  <c r="H26" i="56" s="1"/>
  <c r="O15" i="56"/>
  <c r="O14" i="56" s="1"/>
  <c r="O25" i="56" s="1"/>
  <c r="I15" i="56"/>
  <c r="P15" i="56"/>
  <c r="P14" i="56" s="1"/>
  <c r="P25" i="56" s="1"/>
  <c r="P26" i="56" s="1"/>
  <c r="R7" i="56"/>
  <c r="R5" i="56"/>
  <c r="R24" i="56"/>
  <c r="R11" i="56"/>
  <c r="R10" i="56"/>
  <c r="O32" i="56" l="1"/>
  <c r="O33" i="56" s="1"/>
  <c r="O26" i="56"/>
  <c r="M32" i="56"/>
  <c r="M33" i="56" s="1"/>
  <c r="M26" i="56"/>
  <c r="L15" i="56"/>
  <c r="L14" i="56" s="1"/>
  <c r="L25" i="56" s="1"/>
  <c r="L26" i="56" s="1"/>
  <c r="J15" i="56"/>
  <c r="J14" i="56" s="1"/>
  <c r="J25" i="56" s="1"/>
  <c r="J26" i="56" s="1"/>
  <c r="K32" i="56"/>
  <c r="K33" i="56" s="1"/>
  <c r="H32" i="56"/>
  <c r="H33" i="56" s="1"/>
  <c r="P32" i="56"/>
  <c r="G9" i="56"/>
  <c r="G19" i="56" s="1"/>
  <c r="Q32" i="56"/>
  <c r="Q33" i="56" s="1"/>
  <c r="M43" i="56" l="1"/>
  <c r="M47" i="56" s="1"/>
  <c r="M49" i="56" s="1"/>
  <c r="M50" i="56" s="1"/>
  <c r="O43" i="56"/>
  <c r="O47" i="56" s="1"/>
  <c r="O49" i="56" s="1"/>
  <c r="O50" i="56" s="1"/>
  <c r="P43" i="56"/>
  <c r="P47" i="56" s="1"/>
  <c r="P49" i="56" s="1"/>
  <c r="P50" i="56" s="1"/>
  <c r="P33" i="56"/>
  <c r="L32" i="56"/>
  <c r="J32" i="56"/>
  <c r="J33" i="56" s="1"/>
  <c r="R9" i="56"/>
  <c r="R19" i="56" s="1"/>
  <c r="K43" i="56"/>
  <c r="K47" i="56" s="1"/>
  <c r="K49" i="56" s="1"/>
  <c r="H43" i="56"/>
  <c r="H47" i="56" s="1"/>
  <c r="H49" i="56" s="1"/>
  <c r="Q43" i="56"/>
  <c r="Q47" i="56" s="1"/>
  <c r="Q49" i="56" s="1"/>
  <c r="Q50" i="56" s="1"/>
  <c r="R20" i="56"/>
  <c r="G15" i="56"/>
  <c r="M52" i="56" l="1"/>
  <c r="M53" i="56" s="1"/>
  <c r="O52" i="56"/>
  <c r="O53" i="56" s="1"/>
  <c r="P52" i="56"/>
  <c r="P53" i="56" s="1"/>
  <c r="H52" i="56"/>
  <c r="H53" i="56" s="1"/>
  <c r="H50" i="56"/>
  <c r="K52" i="56"/>
  <c r="K53" i="56" s="1"/>
  <c r="K50" i="56"/>
  <c r="L43" i="56"/>
  <c r="L47" i="56" s="1"/>
  <c r="L49" i="56" s="1"/>
  <c r="L50" i="56" s="1"/>
  <c r="L33" i="56"/>
  <c r="J43" i="56"/>
  <c r="J47" i="56" s="1"/>
  <c r="J49" i="56" s="1"/>
  <c r="J50" i="56" s="1"/>
  <c r="G14" i="56"/>
  <c r="R15" i="56"/>
  <c r="Q52" i="56"/>
  <c r="Q53" i="56" s="1"/>
  <c r="L52" i="56" l="1"/>
  <c r="L53" i="56" s="1"/>
  <c r="J52" i="56"/>
  <c r="J53" i="56" s="1"/>
  <c r="G25" i="56"/>
  <c r="G26" i="56" s="1"/>
  <c r="G32" i="56" l="1"/>
  <c r="G33" i="56" s="1"/>
  <c r="G43" i="56" l="1"/>
  <c r="G47" i="56" l="1"/>
  <c r="G49" i="56" l="1"/>
  <c r="G50" i="56" s="1"/>
  <c r="G52" i="56" l="1"/>
  <c r="G53" i="56" s="1"/>
  <c r="H22" i="48" l="1"/>
  <c r="I22" i="48"/>
  <c r="J22" i="48"/>
  <c r="G22" i="48"/>
  <c r="F26" i="55" l="1"/>
  <c r="F23" i="48" l="1"/>
  <c r="F26" i="48" l="1"/>
  <c r="U26" i="48" s="1"/>
  <c r="K22" i="48" l="1"/>
  <c r="N23" i="56" l="1"/>
  <c r="S47" i="39"/>
  <c r="S46" i="39" s="1"/>
  <c r="Q47" i="39"/>
  <c r="Q46" i="39" s="1"/>
  <c r="O47" i="39"/>
  <c r="O46" i="39" s="1"/>
  <c r="R47" i="39"/>
  <c r="R46" i="39" s="1"/>
  <c r="N47" i="39"/>
  <c r="N46" i="39" s="1"/>
  <c r="P47" i="39"/>
  <c r="P46" i="39" s="1"/>
  <c r="N15" i="39"/>
  <c r="O14" i="39"/>
  <c r="N14" i="39"/>
  <c r="P15" i="39"/>
  <c r="R15" i="39"/>
  <c r="Q15" i="39"/>
  <c r="S15" i="39"/>
  <c r="S14" i="39"/>
  <c r="Q13" i="39"/>
  <c r="Q14" i="39"/>
  <c r="O15" i="39"/>
  <c r="O13" i="39"/>
  <c r="R14" i="39"/>
  <c r="R13" i="39"/>
  <c r="P14" i="39"/>
  <c r="P13" i="39"/>
  <c r="S13" i="39"/>
  <c r="N162" i="37" l="1"/>
  <c r="N163" i="37"/>
  <c r="N161" i="37"/>
  <c r="N58" i="37"/>
  <c r="N56" i="37"/>
  <c r="N54" i="37"/>
  <c r="N52" i="37"/>
  <c r="N50" i="37"/>
  <c r="N48" i="37"/>
  <c r="N46" i="37"/>
  <c r="N44" i="37"/>
  <c r="N53" i="37"/>
  <c r="N49" i="37"/>
  <c r="N55" i="37"/>
  <c r="N51" i="37"/>
  <c r="N47" i="37"/>
  <c r="N57" i="37"/>
  <c r="N45" i="37"/>
  <c r="N40" i="39"/>
  <c r="S155" i="37"/>
  <c r="S156" i="37"/>
  <c r="S154" i="37"/>
  <c r="S39" i="37"/>
  <c r="S37" i="37"/>
  <c r="S35" i="37"/>
  <c r="S33" i="37"/>
  <c r="S31" i="37"/>
  <c r="S29" i="37"/>
  <c r="S27" i="37"/>
  <c r="S25" i="37"/>
  <c r="S30" i="37"/>
  <c r="S36" i="37"/>
  <c r="S32" i="37"/>
  <c r="S28" i="37"/>
  <c r="S34" i="37"/>
  <c r="S38" i="37"/>
  <c r="S26" i="37"/>
  <c r="S39" i="39"/>
  <c r="P156" i="37"/>
  <c r="P154" i="37"/>
  <c r="P155" i="37"/>
  <c r="P38" i="37"/>
  <c r="P36" i="37"/>
  <c r="P34" i="37"/>
  <c r="P32" i="37"/>
  <c r="P30" i="37"/>
  <c r="P28" i="37"/>
  <c r="P26" i="37"/>
  <c r="P39" i="37"/>
  <c r="P35" i="37"/>
  <c r="P31" i="37"/>
  <c r="P27" i="37"/>
  <c r="P37" i="37"/>
  <c r="P33" i="37"/>
  <c r="P29" i="37"/>
  <c r="P25" i="37"/>
  <c r="P39" i="39"/>
  <c r="R148" i="37"/>
  <c r="R149" i="37"/>
  <c r="R147" i="37"/>
  <c r="R19" i="37"/>
  <c r="R17" i="37"/>
  <c r="R15" i="37"/>
  <c r="R13" i="37"/>
  <c r="R11" i="37"/>
  <c r="R9" i="37"/>
  <c r="R7" i="37"/>
  <c r="R10" i="37"/>
  <c r="R12" i="37"/>
  <c r="R18" i="37"/>
  <c r="R16" i="37"/>
  <c r="R8" i="37"/>
  <c r="R20" i="37"/>
  <c r="R6" i="37"/>
  <c r="R14" i="37"/>
  <c r="R38" i="39"/>
  <c r="O147" i="37"/>
  <c r="O148" i="37"/>
  <c r="O149" i="37"/>
  <c r="O20" i="37"/>
  <c r="O18" i="37"/>
  <c r="O16" i="37"/>
  <c r="O14" i="37"/>
  <c r="O12" i="37"/>
  <c r="O10" i="37"/>
  <c r="O8" i="37"/>
  <c r="O6" i="37"/>
  <c r="O19" i="37"/>
  <c r="O13" i="37"/>
  <c r="O15" i="37"/>
  <c r="O7" i="37"/>
  <c r="O17" i="37"/>
  <c r="O9" i="37"/>
  <c r="O11" i="37"/>
  <c r="O38" i="39"/>
  <c r="S148" i="37"/>
  <c r="S149" i="37"/>
  <c r="S147" i="37"/>
  <c r="S19" i="37"/>
  <c r="S17" i="37"/>
  <c r="S15" i="37"/>
  <c r="S13" i="37"/>
  <c r="S11" i="37"/>
  <c r="S9" i="37"/>
  <c r="S7" i="37"/>
  <c r="S8" i="37"/>
  <c r="S10" i="37"/>
  <c r="S20" i="37"/>
  <c r="S16" i="37"/>
  <c r="S6" i="37"/>
  <c r="S12" i="37"/>
  <c r="S18" i="37"/>
  <c r="S14" i="37"/>
  <c r="S38" i="39"/>
  <c r="P147" i="37"/>
  <c r="P148" i="37"/>
  <c r="P149" i="37"/>
  <c r="P20" i="37"/>
  <c r="P18" i="37"/>
  <c r="P16" i="37"/>
  <c r="P14" i="37"/>
  <c r="P12" i="37"/>
  <c r="P10" i="37"/>
  <c r="P8" i="37"/>
  <c r="P6" i="37"/>
  <c r="P19" i="37"/>
  <c r="P13" i="37"/>
  <c r="P15" i="37"/>
  <c r="P9" i="37"/>
  <c r="P7" i="37"/>
  <c r="P17" i="37"/>
  <c r="P11" i="37"/>
  <c r="P38" i="39"/>
  <c r="Q162" i="37"/>
  <c r="Q161" i="37"/>
  <c r="Q163" i="37"/>
  <c r="Q57" i="37"/>
  <c r="Q51" i="37"/>
  <c r="Q49" i="37"/>
  <c r="Q55" i="37"/>
  <c r="Q53" i="37"/>
  <c r="Q47" i="37"/>
  <c r="Q45" i="37"/>
  <c r="Q46" i="37"/>
  <c r="Q56" i="37"/>
  <c r="Q52" i="37"/>
  <c r="Q44" i="37"/>
  <c r="Q58" i="37"/>
  <c r="Q50" i="37"/>
  <c r="Q48" i="37"/>
  <c r="Q54" i="37"/>
  <c r="Q40" i="39"/>
  <c r="O163" i="37"/>
  <c r="O161" i="37"/>
  <c r="O162" i="37"/>
  <c r="O58" i="37"/>
  <c r="O56" i="37"/>
  <c r="O54" i="37"/>
  <c r="O52" i="37"/>
  <c r="O50" i="37"/>
  <c r="O48" i="37"/>
  <c r="O46" i="37"/>
  <c r="O44" i="37"/>
  <c r="O55" i="37"/>
  <c r="O51" i="37"/>
  <c r="O47" i="37"/>
  <c r="O53" i="37"/>
  <c r="O45" i="37"/>
  <c r="O57" i="37"/>
  <c r="O49" i="37"/>
  <c r="O40" i="39"/>
  <c r="N155" i="37"/>
  <c r="N156" i="37"/>
  <c r="N154" i="37"/>
  <c r="N38" i="37"/>
  <c r="N36" i="37"/>
  <c r="N34" i="37"/>
  <c r="N32" i="37"/>
  <c r="N30" i="37"/>
  <c r="N28" i="37"/>
  <c r="N26" i="37"/>
  <c r="N31" i="37"/>
  <c r="N39" i="37"/>
  <c r="N35" i="37"/>
  <c r="N27" i="37"/>
  <c r="N37" i="37"/>
  <c r="N33" i="37"/>
  <c r="N29" i="37"/>
  <c r="N25" i="37"/>
  <c r="N39" i="39"/>
  <c r="Q148" i="37"/>
  <c r="Q149" i="37"/>
  <c r="Q147" i="37"/>
  <c r="Q19" i="37"/>
  <c r="Q17" i="37"/>
  <c r="Q15" i="37"/>
  <c r="Q14" i="37"/>
  <c r="Q6" i="37"/>
  <c r="Q7" i="37"/>
  <c r="Q16" i="37"/>
  <c r="Q13" i="37"/>
  <c r="Q10" i="37"/>
  <c r="Q12" i="37"/>
  <c r="Q20" i="37"/>
  <c r="Q9" i="37"/>
  <c r="Q11" i="37"/>
  <c r="Q8" i="37"/>
  <c r="Q18" i="37"/>
  <c r="Q38" i="39"/>
  <c r="S163" i="37"/>
  <c r="S161" i="37"/>
  <c r="S162" i="37"/>
  <c r="S57" i="37"/>
  <c r="S55" i="37"/>
  <c r="S53" i="37"/>
  <c r="S51" i="37"/>
  <c r="S49" i="37"/>
  <c r="S47" i="37"/>
  <c r="S45" i="37"/>
  <c r="S56" i="37"/>
  <c r="S52" i="37"/>
  <c r="S48" i="37"/>
  <c r="S44" i="37"/>
  <c r="S58" i="37"/>
  <c r="S50" i="37"/>
  <c r="S54" i="37"/>
  <c r="S46" i="37"/>
  <c r="S40" i="39"/>
  <c r="R156" i="37"/>
  <c r="R155" i="37"/>
  <c r="R154" i="37"/>
  <c r="R39" i="37"/>
  <c r="R37" i="37"/>
  <c r="R35" i="37"/>
  <c r="R33" i="37"/>
  <c r="R31" i="37"/>
  <c r="R29" i="37"/>
  <c r="R27" i="37"/>
  <c r="R25" i="37"/>
  <c r="R28" i="37"/>
  <c r="R38" i="37"/>
  <c r="R34" i="37"/>
  <c r="R30" i="37"/>
  <c r="R26" i="37"/>
  <c r="R36" i="37"/>
  <c r="R32" i="37"/>
  <c r="R39" i="39"/>
  <c r="R162" i="37"/>
  <c r="R163" i="37"/>
  <c r="R161" i="37"/>
  <c r="R57" i="37"/>
  <c r="R55" i="37"/>
  <c r="R53" i="37"/>
  <c r="R51" i="37"/>
  <c r="R49" i="37"/>
  <c r="R47" i="37"/>
  <c r="R45" i="37"/>
  <c r="R58" i="37"/>
  <c r="R46" i="37"/>
  <c r="R56" i="37"/>
  <c r="R52" i="37"/>
  <c r="R48" i="37"/>
  <c r="R44" i="37"/>
  <c r="R54" i="37"/>
  <c r="R50" i="37"/>
  <c r="R40" i="39"/>
  <c r="P162" i="37"/>
  <c r="P161" i="37"/>
  <c r="P163" i="37"/>
  <c r="P58" i="37"/>
  <c r="P56" i="37"/>
  <c r="P54" i="37"/>
  <c r="P52" i="37"/>
  <c r="P50" i="37"/>
  <c r="P48" i="37"/>
  <c r="P46" i="37"/>
  <c r="P44" i="37"/>
  <c r="P55" i="37"/>
  <c r="P51" i="37"/>
  <c r="P47" i="37"/>
  <c r="P45" i="37"/>
  <c r="P57" i="37"/>
  <c r="P53" i="37"/>
  <c r="P49" i="37"/>
  <c r="P40" i="39"/>
  <c r="Q156" i="37"/>
  <c r="Q154" i="37"/>
  <c r="Q155" i="37"/>
  <c r="Q35" i="37"/>
  <c r="Q33" i="37"/>
  <c r="Q31" i="37"/>
  <c r="Q39" i="37"/>
  <c r="Q37" i="37"/>
  <c r="Q29" i="37"/>
  <c r="Q27" i="37"/>
  <c r="Q25" i="37"/>
  <c r="Q28" i="37"/>
  <c r="Q38" i="37"/>
  <c r="Q32" i="37"/>
  <c r="Q36" i="37"/>
  <c r="Q34" i="37"/>
  <c r="Q30" i="37"/>
  <c r="Q26" i="37"/>
  <c r="Q39" i="39"/>
  <c r="O155" i="37"/>
  <c r="O156" i="37"/>
  <c r="O154" i="37"/>
  <c r="O38" i="37"/>
  <c r="O36" i="37"/>
  <c r="O34" i="37"/>
  <c r="O32" i="37"/>
  <c r="O30" i="37"/>
  <c r="O28" i="37"/>
  <c r="O26" i="37"/>
  <c r="O39" i="37"/>
  <c r="O35" i="37"/>
  <c r="O31" i="37"/>
  <c r="O27" i="37"/>
  <c r="O37" i="37"/>
  <c r="O25" i="37"/>
  <c r="O33" i="37"/>
  <c r="O29" i="37"/>
  <c r="O39" i="39"/>
  <c r="N14" i="56"/>
  <c r="N64" i="37" l="1"/>
  <c r="N103" i="37" s="1"/>
  <c r="N83" i="37" s="1"/>
  <c r="S157" i="37"/>
  <c r="S188" i="37" s="1"/>
  <c r="N74" i="37"/>
  <c r="N113" i="37" s="1"/>
  <c r="N93" i="37" s="1"/>
  <c r="L18" i="40" s="1"/>
  <c r="N73" i="37"/>
  <c r="N112" i="37" s="1"/>
  <c r="N92" i="37" s="1"/>
  <c r="L17" i="40" s="1"/>
  <c r="N77" i="37"/>
  <c r="N116" i="37" s="1"/>
  <c r="N96" i="37" s="1"/>
  <c r="L21" i="40" s="1"/>
  <c r="N157" i="37"/>
  <c r="N188" i="37" s="1"/>
  <c r="P72" i="37"/>
  <c r="P111" i="37" s="1"/>
  <c r="P91" i="37" s="1"/>
  <c r="S75" i="37"/>
  <c r="S66" i="37"/>
  <c r="S105" i="37" s="1"/>
  <c r="S85" i="37" s="1"/>
  <c r="O77" i="37"/>
  <c r="R65" i="37"/>
  <c r="R104" i="37" s="1"/>
  <c r="R84" i="37" s="1"/>
  <c r="R70" i="37"/>
  <c r="R157" i="37"/>
  <c r="R188" i="37" s="1"/>
  <c r="R72" i="37"/>
  <c r="R111" i="37" s="1"/>
  <c r="R91" i="37" s="1"/>
  <c r="P16" i="40" s="1"/>
  <c r="P76" i="37"/>
  <c r="P115" i="37" s="1"/>
  <c r="P95" i="37" s="1"/>
  <c r="R74" i="37"/>
  <c r="R113" i="37" s="1"/>
  <c r="R179" i="37" s="1"/>
  <c r="N75" i="37"/>
  <c r="N114" i="37" s="1"/>
  <c r="N94" i="37" s="1"/>
  <c r="S65" i="37"/>
  <c r="S104" i="37" s="1"/>
  <c r="S84" i="37" s="1"/>
  <c r="Q70" i="37"/>
  <c r="Q109" i="37" s="1"/>
  <c r="Q89" i="37" s="1"/>
  <c r="N65" i="37"/>
  <c r="N104" i="37" s="1"/>
  <c r="N84" i="37" s="1"/>
  <c r="N72" i="37"/>
  <c r="N111" i="37" s="1"/>
  <c r="N91" i="37" s="1"/>
  <c r="L16" i="40" s="1"/>
  <c r="P66" i="37"/>
  <c r="S71" i="37"/>
  <c r="S64" i="37"/>
  <c r="S103" i="37" s="1"/>
  <c r="S83" i="37" s="1"/>
  <c r="O70" i="37"/>
  <c r="O109" i="37" s="1"/>
  <c r="O89" i="37" s="1"/>
  <c r="O75" i="37"/>
  <c r="O114" i="37" s="1"/>
  <c r="O94" i="37" s="1"/>
  <c r="R77" i="37"/>
  <c r="R116" i="37" s="1"/>
  <c r="R68" i="37"/>
  <c r="P71" i="37"/>
  <c r="P110" i="37" s="1"/>
  <c r="P90" i="37" s="1"/>
  <c r="Q75" i="37"/>
  <c r="Q114" i="37" s="1"/>
  <c r="Q94" i="37" s="1"/>
  <c r="P73" i="37"/>
  <c r="P157" i="37"/>
  <c r="P188" i="37" s="1"/>
  <c r="Q65" i="37"/>
  <c r="Q104" i="37" s="1"/>
  <c r="Q84" i="37" s="1"/>
  <c r="P75" i="37"/>
  <c r="P114" i="37" s="1"/>
  <c r="P94" i="37" s="1"/>
  <c r="S68" i="37"/>
  <c r="Q68" i="37"/>
  <c r="Q107" i="37" s="1"/>
  <c r="Q87" i="37" s="1"/>
  <c r="P77" i="37"/>
  <c r="S70" i="37"/>
  <c r="O68" i="37"/>
  <c r="O107" i="37" s="1"/>
  <c r="O87" i="37" s="1"/>
  <c r="O65" i="37"/>
  <c r="O104" i="37" s="1"/>
  <c r="O84" i="37" s="1"/>
  <c r="R75" i="37"/>
  <c r="Q66" i="37"/>
  <c r="Q71" i="37"/>
  <c r="S73" i="37"/>
  <c r="S112" i="37" s="1"/>
  <c r="S72" i="37"/>
  <c r="O66" i="37"/>
  <c r="O105" i="37" s="1"/>
  <c r="O85" i="37" s="1"/>
  <c r="O67" i="37"/>
  <c r="O106" i="37" s="1"/>
  <c r="O86" i="37" s="1"/>
  <c r="R69" i="37"/>
  <c r="R108" i="37" s="1"/>
  <c r="R88" i="37" s="1"/>
  <c r="R76" i="37"/>
  <c r="R115" i="37" s="1"/>
  <c r="R95" i="37" s="1"/>
  <c r="Q77" i="37"/>
  <c r="Q72" i="37"/>
  <c r="N67" i="37"/>
  <c r="N106" i="37" s="1"/>
  <c r="N86" i="37" s="1"/>
  <c r="N66" i="37"/>
  <c r="N105" i="37" s="1"/>
  <c r="N85" i="37" s="1"/>
  <c r="P68" i="37"/>
  <c r="P65" i="37"/>
  <c r="P104" i="37" s="1"/>
  <c r="P84" i="37" s="1"/>
  <c r="S77" i="37"/>
  <c r="S116" i="37" s="1"/>
  <c r="S74" i="37"/>
  <c r="O74" i="37"/>
  <c r="O113" i="37" s="1"/>
  <c r="O69" i="37"/>
  <c r="O108" i="37" s="1"/>
  <c r="O88" i="37" s="1"/>
  <c r="R67" i="37"/>
  <c r="R106" i="37" s="1"/>
  <c r="R150" i="37"/>
  <c r="R187" i="37" s="1"/>
  <c r="Q69" i="37"/>
  <c r="Q108" i="37" s="1"/>
  <c r="Q88" i="37" s="1"/>
  <c r="Q74" i="37"/>
  <c r="N71" i="37"/>
  <c r="N110" i="37" s="1"/>
  <c r="N90" i="37" s="1"/>
  <c r="N68" i="37"/>
  <c r="N107" i="37" s="1"/>
  <c r="N87" i="37" s="1"/>
  <c r="P74" i="37"/>
  <c r="P67" i="37"/>
  <c r="P106" i="37" s="1"/>
  <c r="P86" i="37" s="1"/>
  <c r="S67" i="37"/>
  <c r="S76" i="37"/>
  <c r="O64" i="37"/>
  <c r="O103" i="37" s="1"/>
  <c r="O83" i="37" s="1"/>
  <c r="O71" i="37"/>
  <c r="O110" i="37" s="1"/>
  <c r="O90" i="37" s="1"/>
  <c r="R71" i="37"/>
  <c r="R64" i="37"/>
  <c r="R103" i="37" s="1"/>
  <c r="R83" i="37" s="1"/>
  <c r="N164" i="37"/>
  <c r="N189" i="37" s="1"/>
  <c r="Q73" i="37"/>
  <c r="O76" i="37"/>
  <c r="O115" i="37" s="1"/>
  <c r="O95" i="37" s="1"/>
  <c r="Q64" i="37"/>
  <c r="N76" i="37"/>
  <c r="P70" i="37"/>
  <c r="P109" i="37" s="1"/>
  <c r="P89" i="37" s="1"/>
  <c r="S69" i="37"/>
  <c r="R73" i="37"/>
  <c r="N69" i="37"/>
  <c r="N108" i="37" s="1"/>
  <c r="N88" i="37" s="1"/>
  <c r="Q67" i="37"/>
  <c r="Q76" i="37"/>
  <c r="Q115" i="37" s="1"/>
  <c r="Q95" i="37" s="1"/>
  <c r="N70" i="37"/>
  <c r="N109" i="37" s="1"/>
  <c r="N89" i="37" s="1"/>
  <c r="O164" i="37"/>
  <c r="O189" i="37" s="1"/>
  <c r="P64" i="37"/>
  <c r="P103" i="37" s="1"/>
  <c r="P83" i="37" s="1"/>
  <c r="P69" i="37"/>
  <c r="O72" i="37"/>
  <c r="O111" i="37" s="1"/>
  <c r="O73" i="37"/>
  <c r="R66" i="37"/>
  <c r="R105" i="37" s="1"/>
  <c r="R85" i="37" s="1"/>
  <c r="O150" i="37"/>
  <c r="O187" i="37" s="1"/>
  <c r="P164" i="37"/>
  <c r="P189" i="37" s="1"/>
  <c r="O157" i="37"/>
  <c r="O188" i="37" s="1"/>
  <c r="S164" i="37"/>
  <c r="S189" i="37" s="1"/>
  <c r="P150" i="37"/>
  <c r="P187" i="37" s="1"/>
  <c r="Q157" i="37"/>
  <c r="Q188" i="37" s="1"/>
  <c r="R164" i="37"/>
  <c r="R189" i="37" s="1"/>
  <c r="S150" i="37"/>
  <c r="S187" i="37" s="1"/>
  <c r="Q164" i="37"/>
  <c r="Q189" i="37" s="1"/>
  <c r="Q150" i="37"/>
  <c r="Q187" i="37" s="1"/>
  <c r="S42" i="39"/>
  <c r="P40" i="37"/>
  <c r="N25" i="56"/>
  <c r="N26" i="56" s="1"/>
  <c r="S40" i="37"/>
  <c r="Q40" i="37"/>
  <c r="Q42" i="39"/>
  <c r="Q198" i="37" s="1"/>
  <c r="Q21" i="37"/>
  <c r="R21" i="37"/>
  <c r="N40" i="37"/>
  <c r="R40" i="37"/>
  <c r="N21" i="37"/>
  <c r="R42" i="39"/>
  <c r="R198" i="37" s="1"/>
  <c r="O42" i="39"/>
  <c r="O198" i="37" s="1"/>
  <c r="N42" i="39"/>
  <c r="O40" i="37"/>
  <c r="O21" i="37"/>
  <c r="S21" i="37"/>
  <c r="P21" i="37"/>
  <c r="P42" i="39"/>
  <c r="P198" i="37" s="1"/>
  <c r="R132" i="37" l="1"/>
  <c r="P76" i="40" s="1"/>
  <c r="O116" i="37"/>
  <c r="O96" i="37" s="1"/>
  <c r="M21" i="40" s="1"/>
  <c r="R93" i="37"/>
  <c r="P18" i="40" s="1"/>
  <c r="N198" i="37"/>
  <c r="M16" i="55"/>
  <c r="O124" i="37"/>
  <c r="M68" i="40" s="1"/>
  <c r="O171" i="37"/>
  <c r="R96" i="37"/>
  <c r="P21" i="40" s="1"/>
  <c r="R16" i="55"/>
  <c r="S198" i="37"/>
  <c r="R86" i="37"/>
  <c r="P11" i="40" s="1"/>
  <c r="R172" i="37"/>
  <c r="R125" i="37"/>
  <c r="P69" i="40" s="1"/>
  <c r="R112" i="37"/>
  <c r="R92" i="37" s="1"/>
  <c r="P17" i="40" s="1"/>
  <c r="S113" i="37"/>
  <c r="S93" i="37" s="1"/>
  <c r="Q18" i="40" s="1"/>
  <c r="O135" i="37"/>
  <c r="R135" i="37"/>
  <c r="R182" i="37"/>
  <c r="S111" i="37"/>
  <c r="S91" i="37" s="1"/>
  <c r="Q16" i="40" s="1"/>
  <c r="S92" i="37"/>
  <c r="Q17" i="40" s="1"/>
  <c r="S178" i="37"/>
  <c r="S131" i="37"/>
  <c r="Q75" i="40" s="1"/>
  <c r="N131" i="37"/>
  <c r="L75" i="40" s="1"/>
  <c r="N178" i="37"/>
  <c r="O112" i="37"/>
  <c r="O92" i="37" s="1"/>
  <c r="M17" i="40" s="1"/>
  <c r="N16" i="40"/>
  <c r="N130" i="37"/>
  <c r="L74" i="40" s="1"/>
  <c r="N177" i="37"/>
  <c r="Q111" i="37"/>
  <c r="Q91" i="37" s="1"/>
  <c r="O16" i="40" s="1"/>
  <c r="N135" i="37"/>
  <c r="L79" i="40" s="1"/>
  <c r="N182" i="37"/>
  <c r="N132" i="37"/>
  <c r="L76" i="40" s="1"/>
  <c r="N179" i="37"/>
  <c r="S96" i="37"/>
  <c r="Q21" i="40" s="1"/>
  <c r="S182" i="37"/>
  <c r="S135" i="37"/>
  <c r="Q79" i="40" s="1"/>
  <c r="Q112" i="37"/>
  <c r="Q92" i="37" s="1"/>
  <c r="O17" i="40" s="1"/>
  <c r="Q113" i="37"/>
  <c r="Q93" i="37" s="1"/>
  <c r="O18" i="40" s="1"/>
  <c r="R130" i="37"/>
  <c r="P74" i="40" s="1"/>
  <c r="R177" i="37"/>
  <c r="P112" i="37"/>
  <c r="P92" i="37" s="1"/>
  <c r="N17" i="40" s="1"/>
  <c r="O91" i="37"/>
  <c r="M16" i="40" s="1"/>
  <c r="O130" i="37"/>
  <c r="M74" i="40" s="1"/>
  <c r="O177" i="37"/>
  <c r="P130" i="37"/>
  <c r="N74" i="40" s="1"/>
  <c r="P177" i="37"/>
  <c r="P113" i="37"/>
  <c r="P93" i="37" s="1"/>
  <c r="N18" i="40" s="1"/>
  <c r="O93" i="37"/>
  <c r="M18" i="40" s="1"/>
  <c r="O132" i="37"/>
  <c r="M76" i="40" s="1"/>
  <c r="O179" i="37"/>
  <c r="Q116" i="37"/>
  <c r="Q96" i="37" s="1"/>
  <c r="O21" i="40" s="1"/>
  <c r="P116" i="37"/>
  <c r="P96" i="37" s="1"/>
  <c r="O126" i="37"/>
  <c r="O173" i="37"/>
  <c r="P123" i="37"/>
  <c r="N67" i="40" s="1"/>
  <c r="P170" i="37"/>
  <c r="P134" i="37"/>
  <c r="N78" i="40" s="1"/>
  <c r="Q133" i="37"/>
  <c r="N123" i="37"/>
  <c r="N170" i="37"/>
  <c r="Q134" i="37"/>
  <c r="O78" i="40" s="1"/>
  <c r="P122" i="37"/>
  <c r="N66" i="40" s="1"/>
  <c r="P169" i="37"/>
  <c r="P128" i="37"/>
  <c r="P175" i="37"/>
  <c r="N128" i="37"/>
  <c r="N175" i="37"/>
  <c r="Q126" i="37"/>
  <c r="O70" i="40" s="1"/>
  <c r="Q173" i="37"/>
  <c r="N124" i="37"/>
  <c r="N171" i="37"/>
  <c r="S122" i="37"/>
  <c r="Q66" i="40" s="1"/>
  <c r="S169" i="37"/>
  <c r="Q127" i="37"/>
  <c r="O71" i="40" s="1"/>
  <c r="Q174" i="37"/>
  <c r="P133" i="37"/>
  <c r="O122" i="37"/>
  <c r="O169" i="37"/>
  <c r="N129" i="37"/>
  <c r="L73" i="40" s="1"/>
  <c r="N176" i="37"/>
  <c r="P129" i="37"/>
  <c r="N73" i="40" s="1"/>
  <c r="P176" i="37"/>
  <c r="R122" i="37"/>
  <c r="P66" i="40" s="1"/>
  <c r="R169" i="37"/>
  <c r="O125" i="37"/>
  <c r="O172" i="37"/>
  <c r="O134" i="37"/>
  <c r="M78" i="40" s="1"/>
  <c r="O128" i="37"/>
  <c r="M72" i="40" s="1"/>
  <c r="O175" i="37"/>
  <c r="S124" i="37"/>
  <c r="Q68" i="40" s="1"/>
  <c r="S171" i="37"/>
  <c r="N125" i="37"/>
  <c r="N172" i="37"/>
  <c r="N127" i="37"/>
  <c r="L71" i="40" s="1"/>
  <c r="N174" i="37"/>
  <c r="N126" i="37"/>
  <c r="N173" i="37"/>
  <c r="O129" i="37"/>
  <c r="M73" i="40" s="1"/>
  <c r="O176" i="37"/>
  <c r="N133" i="37"/>
  <c r="R127" i="37"/>
  <c r="R174" i="37"/>
  <c r="O127" i="37"/>
  <c r="O174" i="37"/>
  <c r="N122" i="37"/>
  <c r="L66" i="40" s="1"/>
  <c r="N169" i="37"/>
  <c r="P125" i="37"/>
  <c r="P172" i="37"/>
  <c r="O123" i="37"/>
  <c r="O170" i="37"/>
  <c r="Q123" i="37"/>
  <c r="O67" i="40" s="1"/>
  <c r="Q170" i="37"/>
  <c r="R134" i="37"/>
  <c r="P78" i="40" s="1"/>
  <c r="R123" i="37"/>
  <c r="P67" i="40" s="1"/>
  <c r="R170" i="37"/>
  <c r="S123" i="37"/>
  <c r="Q67" i="40" s="1"/>
  <c r="S170" i="37"/>
  <c r="R124" i="37"/>
  <c r="P68" i="40" s="1"/>
  <c r="R171" i="37"/>
  <c r="Q128" i="37"/>
  <c r="O72" i="40" s="1"/>
  <c r="Q175" i="37"/>
  <c r="O133" i="37"/>
  <c r="N115" i="37"/>
  <c r="N95" i="37" s="1"/>
  <c r="S109" i="37"/>
  <c r="S89" i="37" s="1"/>
  <c r="S114" i="37"/>
  <c r="S94" i="37" s="1"/>
  <c r="Q103" i="37"/>
  <c r="Q83" i="37" s="1"/>
  <c r="S115" i="37"/>
  <c r="S95" i="37" s="1"/>
  <c r="Q106" i="37"/>
  <c r="Q86" i="37" s="1"/>
  <c r="Q110" i="37"/>
  <c r="Q90" i="37" s="1"/>
  <c r="S108" i="37"/>
  <c r="S88" i="37" s="1"/>
  <c r="R110" i="37"/>
  <c r="R90" i="37" s="1"/>
  <c r="R114" i="37"/>
  <c r="R94" i="37" s="1"/>
  <c r="Q105" i="37"/>
  <c r="Q85" i="37" s="1"/>
  <c r="P107" i="37"/>
  <c r="P87" i="37" s="1"/>
  <c r="S107" i="37"/>
  <c r="S87" i="37" s="1"/>
  <c r="S110" i="37"/>
  <c r="S90" i="37" s="1"/>
  <c r="P105" i="37"/>
  <c r="P85" i="37" s="1"/>
  <c r="R107" i="37"/>
  <c r="R87" i="37" s="1"/>
  <c r="R109" i="37"/>
  <c r="R89" i="37" s="1"/>
  <c r="S106" i="37"/>
  <c r="S86" i="37" s="1"/>
  <c r="P108" i="37"/>
  <c r="P88" i="37" s="1"/>
  <c r="L8" i="40"/>
  <c r="M14" i="40"/>
  <c r="M10" i="40"/>
  <c r="M12" i="40"/>
  <c r="M13" i="40"/>
  <c r="N11" i="40"/>
  <c r="S34" i="39"/>
  <c r="R17" i="55" s="1"/>
  <c r="R17" i="48" s="1"/>
  <c r="N32" i="56"/>
  <c r="N33" i="56" s="1"/>
  <c r="N34" i="39"/>
  <c r="M17" i="55" s="1"/>
  <c r="M17" i="48" s="1"/>
  <c r="P16" i="55"/>
  <c r="Q34" i="39"/>
  <c r="P17" i="55" s="1"/>
  <c r="P17" i="48" s="1"/>
  <c r="P34" i="39"/>
  <c r="O17" i="55" s="1"/>
  <c r="O17" i="48" s="1"/>
  <c r="O16" i="55"/>
  <c r="P20" i="40"/>
  <c r="O20" i="40"/>
  <c r="O34" i="39"/>
  <c r="N17" i="55" s="1"/>
  <c r="N17" i="48" s="1"/>
  <c r="N16" i="55"/>
  <c r="R34" i="39"/>
  <c r="Q17" i="55" s="1"/>
  <c r="Q17" i="48" s="1"/>
  <c r="Q16" i="55"/>
  <c r="R16" i="48" l="1"/>
  <c r="O182" i="37"/>
  <c r="P132" i="37"/>
  <c r="N76" i="40" s="1"/>
  <c r="P179" i="37"/>
  <c r="O131" i="37"/>
  <c r="M75" i="40" s="1"/>
  <c r="O178" i="37"/>
  <c r="Q135" i="37"/>
  <c r="O79" i="40" s="1"/>
  <c r="Q182" i="37"/>
  <c r="S130" i="37"/>
  <c r="Q74" i="40" s="1"/>
  <c r="S177" i="37"/>
  <c r="Q131" i="37"/>
  <c r="O75" i="40" s="1"/>
  <c r="Q178" i="37"/>
  <c r="Q130" i="37"/>
  <c r="O74" i="40" s="1"/>
  <c r="Q177" i="37"/>
  <c r="P135" i="37"/>
  <c r="N79" i="40" s="1"/>
  <c r="P182" i="37"/>
  <c r="S132" i="37"/>
  <c r="Q76" i="40" s="1"/>
  <c r="S179" i="37"/>
  <c r="Q132" i="37"/>
  <c r="O76" i="40" s="1"/>
  <c r="Q179" i="37"/>
  <c r="R131" i="37"/>
  <c r="P75" i="40" s="1"/>
  <c r="R178" i="37"/>
  <c r="P131" i="37"/>
  <c r="N75" i="40" s="1"/>
  <c r="P178" i="37"/>
  <c r="S129" i="37"/>
  <c r="Q73" i="40" s="1"/>
  <c r="S176" i="37"/>
  <c r="S126" i="37"/>
  <c r="Q70" i="40" s="1"/>
  <c r="S173" i="37"/>
  <c r="Q125" i="37"/>
  <c r="O69" i="40" s="1"/>
  <c r="Q172" i="37"/>
  <c r="R126" i="37"/>
  <c r="P70" i="40" s="1"/>
  <c r="R173" i="37"/>
  <c r="S127" i="37"/>
  <c r="Q71" i="40" s="1"/>
  <c r="S174" i="37"/>
  <c r="Q129" i="37"/>
  <c r="O73" i="40" s="1"/>
  <c r="Q176" i="37"/>
  <c r="P127" i="37"/>
  <c r="N71" i="40" s="1"/>
  <c r="P174" i="37"/>
  <c r="P126" i="37"/>
  <c r="N70" i="40" s="1"/>
  <c r="P173" i="37"/>
  <c r="S134" i="37"/>
  <c r="Q78" i="40" s="1"/>
  <c r="S125" i="37"/>
  <c r="Q69" i="40" s="1"/>
  <c r="S172" i="37"/>
  <c r="Q124" i="37"/>
  <c r="O68" i="40" s="1"/>
  <c r="Q171" i="37"/>
  <c r="Q122" i="37"/>
  <c r="O66" i="40" s="1"/>
  <c r="Q169" i="37"/>
  <c r="R128" i="37"/>
  <c r="P72" i="40" s="1"/>
  <c r="R175" i="37"/>
  <c r="R133" i="37"/>
  <c r="S133" i="37"/>
  <c r="P124" i="37"/>
  <c r="N68" i="40" s="1"/>
  <c r="P171" i="37"/>
  <c r="N134" i="37"/>
  <c r="L78" i="40" s="1"/>
  <c r="R129" i="37"/>
  <c r="P73" i="40" s="1"/>
  <c r="R176" i="37"/>
  <c r="S128" i="37"/>
  <c r="Q72" i="40" s="1"/>
  <c r="S175" i="37"/>
  <c r="P14" i="40"/>
  <c r="Q15" i="40"/>
  <c r="P19" i="40"/>
  <c r="P15" i="40"/>
  <c r="Q19" i="40"/>
  <c r="Q13" i="40"/>
  <c r="N10" i="40"/>
  <c r="O15" i="40"/>
  <c r="N12" i="40"/>
  <c r="O10" i="40"/>
  <c r="O8" i="40"/>
  <c r="Q11" i="40"/>
  <c r="O11" i="40"/>
  <c r="N13" i="40"/>
  <c r="P12" i="40"/>
  <c r="Q12" i="40"/>
  <c r="Q20" i="40"/>
  <c r="L20" i="40"/>
  <c r="M70" i="40"/>
  <c r="M19" i="40"/>
  <c r="M69" i="40"/>
  <c r="M15" i="40"/>
  <c r="L19" i="40"/>
  <c r="M66" i="40"/>
  <c r="M8" i="40"/>
  <c r="N69" i="40"/>
  <c r="N15" i="40"/>
  <c r="L9" i="40"/>
  <c r="L14" i="40"/>
  <c r="M67" i="40"/>
  <c r="M9" i="40"/>
  <c r="N20" i="40"/>
  <c r="M11" i="40"/>
  <c r="Q10" i="40"/>
  <c r="P13" i="40"/>
  <c r="P10" i="40"/>
  <c r="O13" i="40"/>
  <c r="N19" i="40"/>
  <c r="N8" i="40"/>
  <c r="O12" i="40"/>
  <c r="Q14" i="40"/>
  <c r="N9" i="40"/>
  <c r="N43" i="56"/>
  <c r="L10" i="40"/>
  <c r="N21" i="40"/>
  <c r="L69" i="40"/>
  <c r="M20" i="40"/>
  <c r="L15" i="40"/>
  <c r="Q16" i="48"/>
  <c r="L68" i="40"/>
  <c r="L13" i="40"/>
  <c r="P8" i="40"/>
  <c r="M16" i="48"/>
  <c r="M71" i="40"/>
  <c r="M79" i="40"/>
  <c r="L72" i="40"/>
  <c r="L12" i="40"/>
  <c r="L70" i="40"/>
  <c r="O16" i="48"/>
  <c r="P16" i="48"/>
  <c r="N72" i="40"/>
  <c r="N16" i="48"/>
  <c r="L67" i="40"/>
  <c r="P71" i="40"/>
  <c r="P79" i="40"/>
  <c r="L11" i="40"/>
  <c r="N14" i="40" l="1"/>
  <c r="Q9" i="40"/>
  <c r="O19" i="40"/>
  <c r="O14" i="40"/>
  <c r="Q8" i="40"/>
  <c r="P9" i="40"/>
  <c r="O9" i="40"/>
  <c r="N47" i="56"/>
  <c r="N49" i="56" l="1"/>
  <c r="N50" i="56" s="1"/>
  <c r="N52" i="56" l="1"/>
  <c r="N53" i="56" s="1"/>
  <c r="K51" i="48" l="1"/>
  <c r="L51" i="48"/>
  <c r="I23" i="56" l="1"/>
  <c r="M14" i="39"/>
  <c r="L14" i="39"/>
  <c r="L15" i="39"/>
  <c r="I15" i="39"/>
  <c r="J14" i="39"/>
  <c r="K14" i="39"/>
  <c r="J15" i="39"/>
  <c r="K15" i="39"/>
  <c r="H47" i="39"/>
  <c r="H46" i="39" s="1"/>
  <c r="L47" i="39"/>
  <c r="L46" i="39" s="1"/>
  <c r="I14" i="39"/>
  <c r="M15" i="39"/>
  <c r="J13" i="39"/>
  <c r="J47" i="39"/>
  <c r="J46" i="39" s="1"/>
  <c r="L13" i="39"/>
  <c r="I13" i="39"/>
  <c r="I47" i="39"/>
  <c r="I46" i="39" s="1"/>
  <c r="K13" i="39"/>
  <c r="K47" i="39"/>
  <c r="K46" i="39" s="1"/>
  <c r="M13" i="39"/>
  <c r="M47" i="39"/>
  <c r="M46" i="39" s="1"/>
  <c r="T14" i="39" l="1"/>
  <c r="T15" i="39"/>
  <c r="T13" i="39"/>
  <c r="H162" i="37"/>
  <c r="H163" i="37"/>
  <c r="H161" i="37"/>
  <c r="H58" i="37"/>
  <c r="H56" i="37"/>
  <c r="H54" i="37"/>
  <c r="H52" i="37"/>
  <c r="H50" i="37"/>
  <c r="H48" i="37"/>
  <c r="H46" i="37"/>
  <c r="H44" i="37"/>
  <c r="H57" i="37"/>
  <c r="H53" i="37"/>
  <c r="H49" i="37"/>
  <c r="H45" i="37"/>
  <c r="H55" i="37"/>
  <c r="H51" i="37"/>
  <c r="H47" i="37"/>
  <c r="J162" i="37"/>
  <c r="J163" i="37"/>
  <c r="J161" i="37"/>
  <c r="J57" i="37"/>
  <c r="J55" i="37"/>
  <c r="J53" i="37"/>
  <c r="J51" i="37"/>
  <c r="J49" i="37"/>
  <c r="J47" i="37"/>
  <c r="J45" i="37"/>
  <c r="J56" i="37"/>
  <c r="J52" i="37"/>
  <c r="J48" i="37"/>
  <c r="J44" i="37"/>
  <c r="J46" i="37"/>
  <c r="J58" i="37"/>
  <c r="J54" i="37"/>
  <c r="J50" i="37"/>
  <c r="J40" i="39"/>
  <c r="M155" i="37"/>
  <c r="M156" i="37"/>
  <c r="M154" i="37"/>
  <c r="M38" i="37"/>
  <c r="M26" i="37"/>
  <c r="M34" i="37"/>
  <c r="M32" i="37"/>
  <c r="M30" i="37"/>
  <c r="M36" i="37"/>
  <c r="M28" i="37"/>
  <c r="M29" i="37"/>
  <c r="M35" i="37"/>
  <c r="M33" i="37"/>
  <c r="M25" i="37"/>
  <c r="M39" i="37"/>
  <c r="M31" i="37"/>
  <c r="M27" i="37"/>
  <c r="M37" i="37"/>
  <c r="M39" i="39"/>
  <c r="M149" i="37"/>
  <c r="M147" i="37"/>
  <c r="M148" i="37"/>
  <c r="M20" i="37"/>
  <c r="M18" i="37"/>
  <c r="M16" i="37"/>
  <c r="M14" i="37"/>
  <c r="M11" i="37"/>
  <c r="M6" i="37"/>
  <c r="M8" i="37"/>
  <c r="M10" i="37"/>
  <c r="M7" i="37"/>
  <c r="M12" i="37"/>
  <c r="M9" i="37"/>
  <c r="M13" i="37"/>
  <c r="M19" i="37"/>
  <c r="M17" i="37"/>
  <c r="M15" i="37"/>
  <c r="M38" i="39"/>
  <c r="L163" i="37"/>
  <c r="L161" i="37"/>
  <c r="L162" i="37"/>
  <c r="L57" i="37"/>
  <c r="L55" i="37"/>
  <c r="L53" i="37"/>
  <c r="L51" i="37"/>
  <c r="L49" i="37"/>
  <c r="L47" i="37"/>
  <c r="L45" i="37"/>
  <c r="L58" i="37"/>
  <c r="L54" i="37"/>
  <c r="L50" i="37"/>
  <c r="L46" i="37"/>
  <c r="L56" i="37"/>
  <c r="L52" i="37"/>
  <c r="L48" i="37"/>
  <c r="L44" i="37"/>
  <c r="L40" i="39"/>
  <c r="H149" i="37"/>
  <c r="H147" i="37"/>
  <c r="H148" i="37"/>
  <c r="H20" i="37"/>
  <c r="H18" i="37"/>
  <c r="H16" i="37"/>
  <c r="H14" i="37"/>
  <c r="H12" i="37"/>
  <c r="H10" i="37"/>
  <c r="H8" i="37"/>
  <c r="H17" i="37"/>
  <c r="H7" i="37"/>
  <c r="H9" i="37"/>
  <c r="H19" i="37"/>
  <c r="H11" i="37"/>
  <c r="H13" i="37"/>
  <c r="H15" i="37"/>
  <c r="H6" i="37"/>
  <c r="L155" i="37"/>
  <c r="L156" i="37"/>
  <c r="L154" i="37"/>
  <c r="L39" i="37"/>
  <c r="L37" i="37"/>
  <c r="L35" i="37"/>
  <c r="L33" i="37"/>
  <c r="L31" i="37"/>
  <c r="L29" i="37"/>
  <c r="L27" i="37"/>
  <c r="L25" i="37"/>
  <c r="L38" i="37"/>
  <c r="L34" i="37"/>
  <c r="L30" i="37"/>
  <c r="L26" i="37"/>
  <c r="L32" i="37"/>
  <c r="L28" i="37"/>
  <c r="L36" i="37"/>
  <c r="L39" i="39"/>
  <c r="I148" i="37"/>
  <c r="I147" i="37"/>
  <c r="I149" i="37"/>
  <c r="I19" i="37"/>
  <c r="I17" i="37"/>
  <c r="I15" i="37"/>
  <c r="I9" i="37"/>
  <c r="I6" i="37"/>
  <c r="I14" i="37"/>
  <c r="I20" i="37"/>
  <c r="I16" i="37"/>
  <c r="I11" i="37"/>
  <c r="I8" i="37"/>
  <c r="I10" i="37"/>
  <c r="I12" i="37"/>
  <c r="I7" i="37"/>
  <c r="I13" i="37"/>
  <c r="I18" i="37"/>
  <c r="I38" i="39"/>
  <c r="M163" i="37"/>
  <c r="M161" i="37"/>
  <c r="M162" i="37"/>
  <c r="M56" i="37"/>
  <c r="M54" i="37"/>
  <c r="M58" i="37"/>
  <c r="M48" i="37"/>
  <c r="M46" i="37"/>
  <c r="M52" i="37"/>
  <c r="M50" i="37"/>
  <c r="M44" i="37"/>
  <c r="M47" i="37"/>
  <c r="M53" i="37"/>
  <c r="M55" i="37"/>
  <c r="M51" i="37"/>
  <c r="M57" i="37"/>
  <c r="M49" i="37"/>
  <c r="M45" i="37"/>
  <c r="M40" i="39"/>
  <c r="K156" i="37"/>
  <c r="K154" i="37"/>
  <c r="K155" i="37"/>
  <c r="K39" i="37"/>
  <c r="K37" i="37"/>
  <c r="K35" i="37"/>
  <c r="K33" i="37"/>
  <c r="K31" i="37"/>
  <c r="K29" i="37"/>
  <c r="K27" i="37"/>
  <c r="K25" i="37"/>
  <c r="K38" i="37"/>
  <c r="K34" i="37"/>
  <c r="K30" i="37"/>
  <c r="K26" i="37"/>
  <c r="K32" i="37"/>
  <c r="K28" i="37"/>
  <c r="K36" i="37"/>
  <c r="K39" i="39"/>
  <c r="L149" i="37"/>
  <c r="L147" i="37"/>
  <c r="L148" i="37"/>
  <c r="L19" i="37"/>
  <c r="L17" i="37"/>
  <c r="L15" i="37"/>
  <c r="L13" i="37"/>
  <c r="L11" i="37"/>
  <c r="L9" i="37"/>
  <c r="L7" i="37"/>
  <c r="L18" i="37"/>
  <c r="L12" i="37"/>
  <c r="L20" i="37"/>
  <c r="L6" i="37"/>
  <c r="L14" i="37"/>
  <c r="L16" i="37"/>
  <c r="L8" i="37"/>
  <c r="L10" i="37"/>
  <c r="L67" i="37" s="1"/>
  <c r="L38" i="39"/>
  <c r="H156" i="37"/>
  <c r="H154" i="37"/>
  <c r="H155" i="37"/>
  <c r="H38" i="37"/>
  <c r="H36" i="37"/>
  <c r="H34" i="37"/>
  <c r="H32" i="37"/>
  <c r="H30" i="37"/>
  <c r="H28" i="37"/>
  <c r="H26" i="37"/>
  <c r="H37" i="37"/>
  <c r="H33" i="37"/>
  <c r="H29" i="37"/>
  <c r="H25" i="37"/>
  <c r="H39" i="37"/>
  <c r="H35" i="37"/>
  <c r="H31" i="37"/>
  <c r="H27" i="37"/>
  <c r="H42" i="39"/>
  <c r="H34" i="39" s="1"/>
  <c r="I162" i="37"/>
  <c r="I163" i="37"/>
  <c r="I161" i="37"/>
  <c r="I53" i="37"/>
  <c r="I51" i="37"/>
  <c r="I49" i="37"/>
  <c r="I47" i="37"/>
  <c r="I45" i="37"/>
  <c r="I55" i="37"/>
  <c r="I57" i="37"/>
  <c r="I58" i="37"/>
  <c r="I56" i="37"/>
  <c r="I50" i="37"/>
  <c r="I48" i="37"/>
  <c r="I44" i="37"/>
  <c r="I54" i="37"/>
  <c r="I46" i="37"/>
  <c r="I52" i="37"/>
  <c r="I40" i="39"/>
  <c r="K149" i="37"/>
  <c r="K147" i="37"/>
  <c r="K148" i="37"/>
  <c r="K19" i="37"/>
  <c r="K17" i="37"/>
  <c r="K15" i="37"/>
  <c r="K13" i="37"/>
  <c r="K11" i="37"/>
  <c r="K9" i="37"/>
  <c r="K7" i="37"/>
  <c r="K10" i="37"/>
  <c r="K20" i="37"/>
  <c r="K16" i="37"/>
  <c r="K18" i="37"/>
  <c r="K12" i="37"/>
  <c r="K14" i="37"/>
  <c r="K6" i="37"/>
  <c r="K8" i="37"/>
  <c r="K38" i="39"/>
  <c r="J148" i="37"/>
  <c r="J147" i="37"/>
  <c r="J149" i="37"/>
  <c r="J19" i="37"/>
  <c r="J17" i="37"/>
  <c r="J15" i="37"/>
  <c r="J13" i="37"/>
  <c r="J11" i="37"/>
  <c r="J9" i="37"/>
  <c r="J7" i="37"/>
  <c r="J8" i="37"/>
  <c r="J6" i="37"/>
  <c r="J10" i="37"/>
  <c r="J12" i="37"/>
  <c r="J14" i="37"/>
  <c r="J20" i="37"/>
  <c r="J16" i="37"/>
  <c r="J18" i="37"/>
  <c r="J38" i="39"/>
  <c r="K163" i="37"/>
  <c r="K161" i="37"/>
  <c r="K162" i="37"/>
  <c r="K57" i="37"/>
  <c r="K55" i="37"/>
  <c r="K53" i="37"/>
  <c r="K51" i="37"/>
  <c r="K49" i="37"/>
  <c r="K47" i="37"/>
  <c r="K45" i="37"/>
  <c r="K56" i="37"/>
  <c r="K44" i="37"/>
  <c r="K58" i="37"/>
  <c r="K54" i="37"/>
  <c r="K50" i="37"/>
  <c r="K46" i="37"/>
  <c r="K48" i="37"/>
  <c r="K52" i="37"/>
  <c r="K40" i="39"/>
  <c r="I156" i="37"/>
  <c r="I154" i="37"/>
  <c r="I155" i="37"/>
  <c r="I29" i="37"/>
  <c r="I39" i="37"/>
  <c r="I37" i="37"/>
  <c r="I35" i="37"/>
  <c r="I33" i="37"/>
  <c r="I31" i="37"/>
  <c r="I27" i="37"/>
  <c r="I25" i="37"/>
  <c r="I36" i="37"/>
  <c r="I32" i="37"/>
  <c r="I38" i="37"/>
  <c r="I30" i="37"/>
  <c r="I26" i="37"/>
  <c r="I28" i="37"/>
  <c r="I34" i="37"/>
  <c r="I39" i="39"/>
  <c r="J154" i="37"/>
  <c r="J155" i="37"/>
  <c r="J156" i="37"/>
  <c r="J39" i="37"/>
  <c r="J37" i="37"/>
  <c r="J35" i="37"/>
  <c r="J33" i="37"/>
  <c r="J31" i="37"/>
  <c r="J29" i="37"/>
  <c r="J27" i="37"/>
  <c r="J25" i="37"/>
  <c r="J36" i="37"/>
  <c r="J32" i="37"/>
  <c r="J28" i="37"/>
  <c r="J34" i="37"/>
  <c r="J26" i="37"/>
  <c r="J38" i="37"/>
  <c r="J30" i="37"/>
  <c r="J39" i="39"/>
  <c r="I14" i="56"/>
  <c r="R23" i="56"/>
  <c r="T47" i="39"/>
  <c r="T46" i="39" s="1"/>
  <c r="L64" i="37" l="1"/>
  <c r="L69" i="37"/>
  <c r="L108" i="37" s="1"/>
  <c r="L88" i="37" s="1"/>
  <c r="L66" i="37"/>
  <c r="L105" i="37" s="1"/>
  <c r="L70" i="37"/>
  <c r="L109" i="37" s="1"/>
  <c r="L89" i="37" s="1"/>
  <c r="L65" i="37"/>
  <c r="L104" i="37" s="1"/>
  <c r="L71" i="37"/>
  <c r="J72" i="37"/>
  <c r="J111" i="37" s="1"/>
  <c r="J91" i="37" s="1"/>
  <c r="H16" i="40" s="1"/>
  <c r="M71" i="37"/>
  <c r="M110" i="37" s="1"/>
  <c r="K69" i="37"/>
  <c r="K108" i="37" s="1"/>
  <c r="K88" i="37" s="1"/>
  <c r="K70" i="37"/>
  <c r="K157" i="37"/>
  <c r="K188" i="37" s="1"/>
  <c r="M69" i="37"/>
  <c r="J164" i="37"/>
  <c r="J189" i="37" s="1"/>
  <c r="L157" i="37"/>
  <c r="L188" i="37" s="1"/>
  <c r="J69" i="37"/>
  <c r="J108" i="37" s="1"/>
  <c r="K66" i="37"/>
  <c r="I73" i="37"/>
  <c r="I112" i="37" s="1"/>
  <c r="I92" i="37" s="1"/>
  <c r="G17" i="40" s="1"/>
  <c r="H72" i="37"/>
  <c r="H111" i="37" s="1"/>
  <c r="H67" i="37"/>
  <c r="M70" i="37"/>
  <c r="M109" i="37" s="1"/>
  <c r="M89" i="37" s="1"/>
  <c r="K68" i="37"/>
  <c r="M73" i="37"/>
  <c r="I70" i="37"/>
  <c r="I109" i="37" s="1"/>
  <c r="I89" i="37" s="1"/>
  <c r="G14" i="40" s="1"/>
  <c r="H68" i="37"/>
  <c r="H107" i="37" s="1"/>
  <c r="H87" i="37" s="1"/>
  <c r="T40" i="39"/>
  <c r="T49" i="37"/>
  <c r="J42" i="39"/>
  <c r="I16" i="55" s="1"/>
  <c r="I16" i="48" s="1"/>
  <c r="M64" i="37"/>
  <c r="M103" i="37" s="1"/>
  <c r="M83" i="37" s="1"/>
  <c r="K73" i="37"/>
  <c r="K112" i="37" s="1"/>
  <c r="K178" i="37" s="1"/>
  <c r="I69" i="37"/>
  <c r="I108" i="37" s="1"/>
  <c r="I88" i="37" s="1"/>
  <c r="I66" i="37"/>
  <c r="H66" i="37"/>
  <c r="K71" i="37"/>
  <c r="I75" i="37"/>
  <c r="I114" i="37" s="1"/>
  <c r="I94" i="37" s="1"/>
  <c r="T52" i="37"/>
  <c r="L164" i="37"/>
  <c r="L189" i="37" s="1"/>
  <c r="M75" i="37"/>
  <c r="M114" i="37" s="1"/>
  <c r="M94" i="37" s="1"/>
  <c r="K19" i="40" s="1"/>
  <c r="L106" i="37"/>
  <c r="L86" i="37" s="1"/>
  <c r="J64" i="37"/>
  <c r="K74" i="37"/>
  <c r="L72" i="37"/>
  <c r="J73" i="37"/>
  <c r="J66" i="37"/>
  <c r="K77" i="37"/>
  <c r="K116" i="37" s="1"/>
  <c r="K76" i="37"/>
  <c r="L77" i="37"/>
  <c r="L74" i="37"/>
  <c r="I67" i="37"/>
  <c r="I72" i="37"/>
  <c r="H64" i="37"/>
  <c r="H103" i="37" s="1"/>
  <c r="H77" i="37"/>
  <c r="M72" i="37"/>
  <c r="M65" i="37"/>
  <c r="M104" i="37" s="1"/>
  <c r="M84" i="37" s="1"/>
  <c r="J67" i="37"/>
  <c r="H69" i="37"/>
  <c r="M66" i="37"/>
  <c r="L68" i="37"/>
  <c r="K72" i="37"/>
  <c r="T33" i="37"/>
  <c r="I64" i="37"/>
  <c r="I103" i="37" s="1"/>
  <c r="I83" i="37" s="1"/>
  <c r="H76" i="37"/>
  <c r="M77" i="37"/>
  <c r="J75" i="37"/>
  <c r="J114" i="37" s="1"/>
  <c r="J94" i="37" s="1"/>
  <c r="H19" i="40" s="1"/>
  <c r="T37" i="37"/>
  <c r="H75" i="37"/>
  <c r="M67" i="37"/>
  <c r="M106" i="37" s="1"/>
  <c r="M86" i="37" s="1"/>
  <c r="J77" i="37"/>
  <c r="J68" i="37"/>
  <c r="J107" i="37" s="1"/>
  <c r="K67" i="37"/>
  <c r="K106" i="37" s="1"/>
  <c r="K86" i="37" s="1"/>
  <c r="I11" i="40" s="1"/>
  <c r="L76" i="37"/>
  <c r="I65" i="37"/>
  <c r="I104" i="37" s="1"/>
  <c r="I123" i="37" s="1"/>
  <c r="G67" i="40" s="1"/>
  <c r="I74" i="37"/>
  <c r="H74" i="37"/>
  <c r="M74" i="37"/>
  <c r="J74" i="37"/>
  <c r="J113" i="37" s="1"/>
  <c r="I77" i="37"/>
  <c r="H70" i="37"/>
  <c r="J76" i="37"/>
  <c r="L73" i="37"/>
  <c r="I71" i="37"/>
  <c r="I110" i="37" s="1"/>
  <c r="I90" i="37" s="1"/>
  <c r="G15" i="40" s="1"/>
  <c r="H71" i="37"/>
  <c r="J65" i="37"/>
  <c r="J104" i="37" s="1"/>
  <c r="K75" i="37"/>
  <c r="K114" i="37" s="1"/>
  <c r="H73" i="37"/>
  <c r="J157" i="37"/>
  <c r="J188" i="37" s="1"/>
  <c r="J71" i="37"/>
  <c r="J70" i="37"/>
  <c r="K65" i="37"/>
  <c r="K104" i="37" s="1"/>
  <c r="K84" i="37" s="1"/>
  <c r="K64" i="37"/>
  <c r="K103" i="37" s="1"/>
  <c r="K83" i="37" s="1"/>
  <c r="L75" i="37"/>
  <c r="L114" i="37" s="1"/>
  <c r="L94" i="37" s="1"/>
  <c r="I68" i="37"/>
  <c r="I76" i="37"/>
  <c r="H65" i="37"/>
  <c r="M76" i="37"/>
  <c r="M115" i="37" s="1"/>
  <c r="M68" i="37"/>
  <c r="M157" i="37"/>
  <c r="M188" i="37" s="1"/>
  <c r="T11" i="37"/>
  <c r="L110" i="37"/>
  <c r="L90" i="37" s="1"/>
  <c r="J15" i="40" s="1"/>
  <c r="T19" i="37"/>
  <c r="T54" i="37"/>
  <c r="I157" i="37"/>
  <c r="I188" i="37" s="1"/>
  <c r="L63" i="37"/>
  <c r="T154" i="37"/>
  <c r="H157" i="37"/>
  <c r="H188" i="37" s="1"/>
  <c r="K150" i="37"/>
  <c r="K187" i="37" s="1"/>
  <c r="T31" i="37"/>
  <c r="T28" i="37"/>
  <c r="T156" i="37"/>
  <c r="M164" i="37"/>
  <c r="M189" i="37" s="1"/>
  <c r="T17" i="37"/>
  <c r="T148" i="37"/>
  <c r="T161" i="37"/>
  <c r="H164" i="37"/>
  <c r="H189" i="37" s="1"/>
  <c r="T14" i="37"/>
  <c r="T45" i="37"/>
  <c r="J150" i="37"/>
  <c r="J187" i="37" s="1"/>
  <c r="T16" i="37"/>
  <c r="T38" i="39"/>
  <c r="T155" i="37"/>
  <c r="T18" i="37"/>
  <c r="T56" i="37"/>
  <c r="T7" i="37"/>
  <c r="T57" i="37"/>
  <c r="K164" i="37"/>
  <c r="K189" i="37" s="1"/>
  <c r="K63" i="37"/>
  <c r="T35" i="37"/>
  <c r="T30" i="37"/>
  <c r="L42" i="39"/>
  <c r="K16" i="55" s="1"/>
  <c r="K16" i="48" s="1"/>
  <c r="H21" i="37"/>
  <c r="H63" i="37"/>
  <c r="T8" i="37"/>
  <c r="H150" i="37"/>
  <c r="H187" i="37" s="1"/>
  <c r="T147" i="37"/>
  <c r="T47" i="37"/>
  <c r="T46" i="37"/>
  <c r="T163" i="37"/>
  <c r="T29" i="37"/>
  <c r="I63" i="37"/>
  <c r="T39" i="39"/>
  <c r="T27" i="37"/>
  <c r="M150" i="37"/>
  <c r="M187" i="37" s="1"/>
  <c r="I164" i="37"/>
  <c r="I189" i="37" s="1"/>
  <c r="T39" i="37"/>
  <c r="T32" i="37"/>
  <c r="L150" i="37"/>
  <c r="L187" i="37" s="1"/>
  <c r="I42" i="39"/>
  <c r="H16" i="55" s="1"/>
  <c r="H16" i="48" s="1"/>
  <c r="T15" i="37"/>
  <c r="T10" i="37"/>
  <c r="T149" i="37"/>
  <c r="T51" i="37"/>
  <c r="T48" i="37"/>
  <c r="T162" i="37"/>
  <c r="T36" i="37"/>
  <c r="T38" i="37"/>
  <c r="T9" i="37"/>
  <c r="M40" i="37"/>
  <c r="T53" i="37"/>
  <c r="K42" i="39"/>
  <c r="J16" i="55" s="1"/>
  <c r="J16" i="48" s="1"/>
  <c r="T26" i="37"/>
  <c r="T20" i="37"/>
  <c r="T58" i="37"/>
  <c r="J63" i="37"/>
  <c r="T25" i="37"/>
  <c r="T34" i="37"/>
  <c r="I150" i="37"/>
  <c r="I187" i="37" s="1"/>
  <c r="T13" i="37"/>
  <c r="T12" i="37"/>
  <c r="T55" i="37"/>
  <c r="T50" i="37"/>
  <c r="I25" i="56"/>
  <c r="I26" i="56" s="1"/>
  <c r="R14" i="56"/>
  <c r="L40" i="37"/>
  <c r="J40" i="37"/>
  <c r="J59" i="37"/>
  <c r="I59" i="37"/>
  <c r="I40" i="37"/>
  <c r="L59" i="37"/>
  <c r="K59" i="37"/>
  <c r="K40" i="37"/>
  <c r="H40" i="37"/>
  <c r="J21" i="37"/>
  <c r="M21" i="37"/>
  <c r="T6" i="37"/>
  <c r="I21" i="37"/>
  <c r="L21" i="37"/>
  <c r="L103" i="37"/>
  <c r="L83" i="37" s="1"/>
  <c r="H59" i="37"/>
  <c r="K21" i="37"/>
  <c r="M42" i="39"/>
  <c r="G17" i="55" l="1"/>
  <c r="L84" i="37"/>
  <c r="J9" i="40" s="1"/>
  <c r="L170" i="37"/>
  <c r="L125" i="37"/>
  <c r="J69" i="40" s="1"/>
  <c r="G16" i="55"/>
  <c r="M198" i="37"/>
  <c r="L16" i="55"/>
  <c r="L16" i="48" s="1"/>
  <c r="L172" i="37"/>
  <c r="J88" i="37"/>
  <c r="H13" i="40" s="1"/>
  <c r="J174" i="37"/>
  <c r="J127" i="37"/>
  <c r="H71" i="40" s="1"/>
  <c r="K131" i="37"/>
  <c r="I75" i="40" s="1"/>
  <c r="K92" i="37"/>
  <c r="I17" i="40" s="1"/>
  <c r="L123" i="37"/>
  <c r="J67" i="40" s="1"/>
  <c r="T66" i="37"/>
  <c r="M112" i="37"/>
  <c r="M131" i="37" s="1"/>
  <c r="K75" i="40" s="1"/>
  <c r="L34" i="39"/>
  <c r="K17" i="55" s="1"/>
  <c r="K17" i="48" s="1"/>
  <c r="L198" i="37"/>
  <c r="K34" i="39"/>
  <c r="J17" i="55" s="1"/>
  <c r="J17" i="48" s="1"/>
  <c r="K198" i="37"/>
  <c r="H198" i="37"/>
  <c r="J34" i="39"/>
  <c r="I17" i="55" s="1"/>
  <c r="I17" i="48" s="1"/>
  <c r="J198" i="37"/>
  <c r="I34" i="39"/>
  <c r="H17" i="55" s="1"/>
  <c r="H17" i="48" s="1"/>
  <c r="I198" i="37"/>
  <c r="T67" i="37"/>
  <c r="T68" i="37"/>
  <c r="J123" i="37"/>
  <c r="H67" i="40" s="1"/>
  <c r="J170" i="37"/>
  <c r="K94" i="37"/>
  <c r="I19" i="40" s="1"/>
  <c r="K133" i="37"/>
  <c r="J130" i="37"/>
  <c r="H74" i="40" s="1"/>
  <c r="J177" i="37"/>
  <c r="J116" i="37"/>
  <c r="J96" i="37" s="1"/>
  <c r="M116" i="37"/>
  <c r="M96" i="37" s="1"/>
  <c r="J112" i="37"/>
  <c r="J92" i="37" s="1"/>
  <c r="H17" i="40" s="1"/>
  <c r="T70" i="37"/>
  <c r="H109" i="37"/>
  <c r="I116" i="37"/>
  <c r="I96" i="37" s="1"/>
  <c r="L112" i="37"/>
  <c r="L92" i="37" s="1"/>
  <c r="J17" i="40" s="1"/>
  <c r="T64" i="37"/>
  <c r="T73" i="37"/>
  <c r="H112" i="37"/>
  <c r="T76" i="37"/>
  <c r="I111" i="37"/>
  <c r="I91" i="37" s="1"/>
  <c r="G16" i="40" s="1"/>
  <c r="T74" i="37"/>
  <c r="H113" i="37"/>
  <c r="H177" i="37"/>
  <c r="H130" i="37"/>
  <c r="I84" i="37"/>
  <c r="G9" i="40" s="1"/>
  <c r="I113" i="37"/>
  <c r="I93" i="37" s="1"/>
  <c r="H91" i="37"/>
  <c r="L113" i="37"/>
  <c r="I170" i="37"/>
  <c r="T65" i="37"/>
  <c r="J93" i="37"/>
  <c r="H18" i="40" s="1"/>
  <c r="J132" i="37"/>
  <c r="H76" i="40" s="1"/>
  <c r="J179" i="37"/>
  <c r="T75" i="37"/>
  <c r="K111" i="37"/>
  <c r="K91" i="37" s="1"/>
  <c r="I16" i="40" s="1"/>
  <c r="T72" i="37"/>
  <c r="L116" i="37"/>
  <c r="L96" i="37" s="1"/>
  <c r="H114" i="37"/>
  <c r="H94" i="37" s="1"/>
  <c r="J84" i="37"/>
  <c r="H9" i="40" s="1"/>
  <c r="T77" i="37"/>
  <c r="H116" i="37"/>
  <c r="H96" i="37" s="1"/>
  <c r="T69" i="37"/>
  <c r="H108" i="37"/>
  <c r="M113" i="37"/>
  <c r="M93" i="37" s="1"/>
  <c r="K18" i="40" s="1"/>
  <c r="T40" i="37"/>
  <c r="L111" i="37"/>
  <c r="L91" i="37" s="1"/>
  <c r="J16" i="40" s="1"/>
  <c r="K113" i="37"/>
  <c r="K93" i="37" s="1"/>
  <c r="I18" i="40" s="1"/>
  <c r="J133" i="37"/>
  <c r="M133" i="37"/>
  <c r="T150" i="37"/>
  <c r="T187" i="37" s="1"/>
  <c r="T71" i="37"/>
  <c r="I131" i="37"/>
  <c r="G75" i="40" s="1"/>
  <c r="I178" i="37"/>
  <c r="M111" i="37"/>
  <c r="M91" i="37" s="1"/>
  <c r="K16" i="40" s="1"/>
  <c r="K96" i="37"/>
  <c r="K135" i="37"/>
  <c r="I79" i="40" s="1"/>
  <c r="K182" i="37"/>
  <c r="J173" i="37"/>
  <c r="J87" i="37"/>
  <c r="H12" i="40" s="1"/>
  <c r="M95" i="37"/>
  <c r="L171" i="37"/>
  <c r="L85" i="37"/>
  <c r="J10" i="40" s="1"/>
  <c r="H169" i="37"/>
  <c r="H83" i="37"/>
  <c r="F8" i="40" s="1"/>
  <c r="M176" i="37"/>
  <c r="M90" i="37"/>
  <c r="H122" i="37"/>
  <c r="F66" i="40" s="1"/>
  <c r="T157" i="37"/>
  <c r="T188" i="37" s="1"/>
  <c r="L102" i="37"/>
  <c r="L82" i="37" s="1"/>
  <c r="J7" i="40" s="1"/>
  <c r="K115" i="37"/>
  <c r="K95" i="37" s="1"/>
  <c r="I20" i="40" s="1"/>
  <c r="J106" i="37"/>
  <c r="J86" i="37" s="1"/>
  <c r="I115" i="37"/>
  <c r="I176" i="37"/>
  <c r="I129" i="37"/>
  <c r="G73" i="40" s="1"/>
  <c r="K102" i="37"/>
  <c r="K82" i="37" s="1"/>
  <c r="I7" i="40" s="1"/>
  <c r="T164" i="37"/>
  <c r="T189" i="37" s="1"/>
  <c r="K172" i="37"/>
  <c r="K125" i="37"/>
  <c r="I69" i="40" s="1"/>
  <c r="H106" i="37"/>
  <c r="H86" i="37" s="1"/>
  <c r="F11" i="40" s="1"/>
  <c r="J110" i="37"/>
  <c r="J90" i="37" s="1"/>
  <c r="H15" i="40" s="1"/>
  <c r="L176" i="37"/>
  <c r="L129" i="37"/>
  <c r="J73" i="40" s="1"/>
  <c r="H104" i="37"/>
  <c r="H84" i="37" s="1"/>
  <c r="F9" i="40" s="1"/>
  <c r="K109" i="37"/>
  <c r="K89" i="37" s="1"/>
  <c r="I14" i="40" s="1"/>
  <c r="J102" i="37"/>
  <c r="J82" i="37" s="1"/>
  <c r="H7" i="40" s="1"/>
  <c r="K110" i="37"/>
  <c r="H110" i="37"/>
  <c r="I106" i="37"/>
  <c r="I86" i="37" s="1"/>
  <c r="G11" i="40" s="1"/>
  <c r="L115" i="37"/>
  <c r="L95" i="37" s="1"/>
  <c r="J20" i="40" s="1"/>
  <c r="J115" i="37"/>
  <c r="J95" i="37" s="1"/>
  <c r="H20" i="40" s="1"/>
  <c r="I102" i="37"/>
  <c r="I82" i="37" s="1"/>
  <c r="G7" i="40" s="1"/>
  <c r="H102" i="37"/>
  <c r="J109" i="37"/>
  <c r="J89" i="37" s="1"/>
  <c r="H115" i="37"/>
  <c r="H95" i="37" s="1"/>
  <c r="F20" i="40" s="1"/>
  <c r="I128" i="37"/>
  <c r="G72" i="40" s="1"/>
  <c r="I175" i="37"/>
  <c r="M122" i="37"/>
  <c r="K66" i="40" s="1"/>
  <c r="M169" i="37"/>
  <c r="I133" i="37"/>
  <c r="L127" i="37"/>
  <c r="J71" i="40" s="1"/>
  <c r="L174" i="37"/>
  <c r="H126" i="37"/>
  <c r="F70" i="40" s="1"/>
  <c r="H173" i="37"/>
  <c r="K122" i="37"/>
  <c r="K169" i="37"/>
  <c r="M128" i="37"/>
  <c r="K72" i="40" s="1"/>
  <c r="M175" i="37"/>
  <c r="M123" i="37"/>
  <c r="K67" i="40" s="1"/>
  <c r="M170" i="37"/>
  <c r="L128" i="37"/>
  <c r="J72" i="40" s="1"/>
  <c r="L175" i="37"/>
  <c r="L122" i="37"/>
  <c r="L169" i="37"/>
  <c r="K127" i="37"/>
  <c r="I71" i="40" s="1"/>
  <c r="K174" i="37"/>
  <c r="K123" i="37"/>
  <c r="K170" i="37"/>
  <c r="M125" i="37"/>
  <c r="M172" i="37"/>
  <c r="I122" i="37"/>
  <c r="I169" i="37"/>
  <c r="L133" i="37"/>
  <c r="I127" i="37"/>
  <c r="G71" i="40" s="1"/>
  <c r="I174" i="37"/>
  <c r="M129" i="37"/>
  <c r="M107" i="37"/>
  <c r="M87" i="37" s="1"/>
  <c r="I13" i="40"/>
  <c r="J13" i="40"/>
  <c r="J103" i="37"/>
  <c r="J83" i="37" s="1"/>
  <c r="L124" i="37"/>
  <c r="J105" i="37"/>
  <c r="J85" i="37" s="1"/>
  <c r="M105" i="37"/>
  <c r="M85" i="37" s="1"/>
  <c r="H105" i="37"/>
  <c r="H85" i="37" s="1"/>
  <c r="F12" i="40"/>
  <c r="M108" i="37"/>
  <c r="M88" i="37" s="1"/>
  <c r="L107" i="37"/>
  <c r="L87" i="37" s="1"/>
  <c r="J126" i="37"/>
  <c r="H70" i="40" s="1"/>
  <c r="G13" i="40"/>
  <c r="I105" i="37"/>
  <c r="I85" i="37" s="1"/>
  <c r="K107" i="37"/>
  <c r="K87" i="37" s="1"/>
  <c r="M134" i="37"/>
  <c r="K105" i="37"/>
  <c r="K85" i="37" s="1"/>
  <c r="I107" i="37"/>
  <c r="I87" i="37" s="1"/>
  <c r="J19" i="40"/>
  <c r="K9" i="40"/>
  <c r="G19" i="40"/>
  <c r="K14" i="40"/>
  <c r="K8" i="40"/>
  <c r="J11" i="40"/>
  <c r="H78" i="37"/>
  <c r="K41" i="41" s="1"/>
  <c r="I32" i="56"/>
  <c r="I33" i="56" s="1"/>
  <c r="R25" i="56"/>
  <c r="R26" i="56" s="1"/>
  <c r="T21" i="37"/>
  <c r="J78" i="37"/>
  <c r="M41" i="41" s="1"/>
  <c r="I78" i="37"/>
  <c r="L41" i="41" s="1"/>
  <c r="J14" i="40"/>
  <c r="I9" i="40"/>
  <c r="J8" i="40"/>
  <c r="L78" i="37"/>
  <c r="O41" i="41" s="1"/>
  <c r="T42" i="39"/>
  <c r="M34" i="39"/>
  <c r="L17" i="55" s="1"/>
  <c r="L17" i="48" s="1"/>
  <c r="K78" i="37"/>
  <c r="N41" i="41" s="1"/>
  <c r="H82" i="37" l="1"/>
  <c r="F7" i="40" s="1"/>
  <c r="J173" i="63"/>
  <c r="J175" i="63" s="1"/>
  <c r="L51" i="43"/>
  <c r="L78" i="43" s="1"/>
  <c r="L56" i="39" s="1"/>
  <c r="T198" i="37"/>
  <c r="U16" i="55" s="1"/>
  <c r="T34" i="39"/>
  <c r="AQ27" i="40" s="1"/>
  <c r="AS27" i="40" s="1"/>
  <c r="S17" i="55"/>
  <c r="G17" i="48"/>
  <c r="S17" i="48" s="1"/>
  <c r="S16" i="55"/>
  <c r="G16" i="48"/>
  <c r="S16" i="48" s="1"/>
  <c r="H90" i="37"/>
  <c r="F15" i="40" s="1"/>
  <c r="H129" i="37"/>
  <c r="F73" i="40" s="1"/>
  <c r="M178" i="37"/>
  <c r="M92" i="37"/>
  <c r="K17" i="40" s="1"/>
  <c r="T94" i="37"/>
  <c r="O44" i="41"/>
  <c r="O43" i="41"/>
  <c r="O47" i="41"/>
  <c r="O42" i="41"/>
  <c r="O45" i="41"/>
  <c r="O40" i="41"/>
  <c r="G34" i="45"/>
  <c r="K43" i="41"/>
  <c r="K44" i="41"/>
  <c r="K47" i="41"/>
  <c r="K42" i="41"/>
  <c r="K45" i="41"/>
  <c r="K40" i="41"/>
  <c r="L43" i="41"/>
  <c r="L44" i="41"/>
  <c r="L47" i="41"/>
  <c r="L42" i="41"/>
  <c r="L45" i="41"/>
  <c r="L40" i="41"/>
  <c r="N44" i="41"/>
  <c r="N43" i="41"/>
  <c r="N47" i="41"/>
  <c r="N42" i="41"/>
  <c r="N45" i="41"/>
  <c r="N40" i="41"/>
  <c r="M44" i="41"/>
  <c r="M43" i="41"/>
  <c r="M47" i="41"/>
  <c r="M42" i="41"/>
  <c r="M45" i="41"/>
  <c r="M40" i="41"/>
  <c r="T111" i="37"/>
  <c r="T104" i="37"/>
  <c r="G18" i="40"/>
  <c r="H132" i="37"/>
  <c r="H179" i="37"/>
  <c r="T113" i="37"/>
  <c r="M132" i="37"/>
  <c r="K76" i="40" s="1"/>
  <c r="M179" i="37"/>
  <c r="I21" i="40"/>
  <c r="T85" i="37"/>
  <c r="L135" i="37"/>
  <c r="J79" i="40" s="1"/>
  <c r="L182" i="37"/>
  <c r="I130" i="37"/>
  <c r="G74" i="40" s="1"/>
  <c r="I177" i="37"/>
  <c r="T114" i="37"/>
  <c r="M130" i="37"/>
  <c r="K74" i="40" s="1"/>
  <c r="M177" i="37"/>
  <c r="K132" i="37"/>
  <c r="I76" i="40" s="1"/>
  <c r="K179" i="37"/>
  <c r="K21" i="40"/>
  <c r="H135" i="37"/>
  <c r="H182" i="37"/>
  <c r="T116" i="37"/>
  <c r="L132" i="37"/>
  <c r="J76" i="40" s="1"/>
  <c r="L179" i="37"/>
  <c r="F74" i="40"/>
  <c r="H131" i="37"/>
  <c r="H178" i="37"/>
  <c r="T112" i="37"/>
  <c r="G21" i="40"/>
  <c r="M135" i="37"/>
  <c r="K79" i="40" s="1"/>
  <c r="M182" i="37"/>
  <c r="H88" i="37"/>
  <c r="F13" i="40" s="1"/>
  <c r="H127" i="37"/>
  <c r="F71" i="40" s="1"/>
  <c r="H174" i="37"/>
  <c r="H133" i="37"/>
  <c r="T133" i="37" s="1"/>
  <c r="T96" i="37"/>
  <c r="F21" i="40"/>
  <c r="L130" i="37"/>
  <c r="J74" i="40" s="1"/>
  <c r="L177" i="37"/>
  <c r="K130" i="37"/>
  <c r="I74" i="40" s="1"/>
  <c r="K177" i="37"/>
  <c r="L93" i="37"/>
  <c r="J18" i="40" s="1"/>
  <c r="H92" i="37"/>
  <c r="I135" i="37"/>
  <c r="G79" i="40" s="1"/>
  <c r="I182" i="37"/>
  <c r="H21" i="40"/>
  <c r="H175" i="37"/>
  <c r="H128" i="37"/>
  <c r="F72" i="40" s="1"/>
  <c r="H89" i="37"/>
  <c r="F14" i="40" s="1"/>
  <c r="I132" i="37"/>
  <c r="G76" i="40" s="1"/>
  <c r="I179" i="37"/>
  <c r="J21" i="40"/>
  <c r="L131" i="37"/>
  <c r="J75" i="40" s="1"/>
  <c r="L178" i="37"/>
  <c r="J131" i="37"/>
  <c r="H75" i="40" s="1"/>
  <c r="J178" i="37"/>
  <c r="T87" i="37"/>
  <c r="T110" i="37"/>
  <c r="T84" i="37"/>
  <c r="F16" i="40"/>
  <c r="T91" i="37"/>
  <c r="H93" i="37"/>
  <c r="F18" i="40" s="1"/>
  <c r="J135" i="37"/>
  <c r="H79" i="40" s="1"/>
  <c r="J182" i="37"/>
  <c r="T86" i="37"/>
  <c r="I95" i="37"/>
  <c r="G20" i="40" s="1"/>
  <c r="K90" i="37"/>
  <c r="T83" i="37"/>
  <c r="T115" i="37"/>
  <c r="J128" i="37"/>
  <c r="J175" i="37"/>
  <c r="I172" i="37"/>
  <c r="I125" i="37"/>
  <c r="G69" i="40" s="1"/>
  <c r="I168" i="37"/>
  <c r="I121" i="37"/>
  <c r="G65" i="40" s="1"/>
  <c r="H172" i="37"/>
  <c r="H125" i="37"/>
  <c r="F69" i="40" s="1"/>
  <c r="L168" i="37"/>
  <c r="L121" i="37"/>
  <c r="J65" i="40" s="1"/>
  <c r="T109" i="37"/>
  <c r="H176" i="37"/>
  <c r="H123" i="37"/>
  <c r="F67" i="40" s="1"/>
  <c r="H170" i="37"/>
  <c r="T170" i="37" s="1"/>
  <c r="J125" i="37"/>
  <c r="H69" i="40" s="1"/>
  <c r="J172" i="37"/>
  <c r="H168" i="37"/>
  <c r="H121" i="37"/>
  <c r="F65" i="40" s="1"/>
  <c r="J129" i="37"/>
  <c r="H73" i="40" s="1"/>
  <c r="J176" i="37"/>
  <c r="K134" i="37"/>
  <c r="I78" i="40" s="1"/>
  <c r="H134" i="37"/>
  <c r="F78" i="40" s="1"/>
  <c r="J134" i="37"/>
  <c r="H78" i="40" s="1"/>
  <c r="I134" i="37"/>
  <c r="G78" i="40" s="1"/>
  <c r="L134" i="37"/>
  <c r="J78" i="40" s="1"/>
  <c r="J168" i="37"/>
  <c r="J121" i="37"/>
  <c r="H65" i="40" s="1"/>
  <c r="K168" i="37"/>
  <c r="K121" i="37"/>
  <c r="I65" i="40" s="1"/>
  <c r="K128" i="37"/>
  <c r="I72" i="40" s="1"/>
  <c r="K175" i="37"/>
  <c r="T106" i="37"/>
  <c r="H14" i="40"/>
  <c r="K176" i="37"/>
  <c r="K129" i="37"/>
  <c r="I73" i="40" s="1"/>
  <c r="H11" i="40"/>
  <c r="I126" i="37"/>
  <c r="G70" i="40" s="1"/>
  <c r="I173" i="37"/>
  <c r="I124" i="37"/>
  <c r="G68" i="40" s="1"/>
  <c r="I171" i="37"/>
  <c r="J124" i="37"/>
  <c r="H68" i="40" s="1"/>
  <c r="J171" i="37"/>
  <c r="M126" i="37"/>
  <c r="K70" i="40" s="1"/>
  <c r="M173" i="37"/>
  <c r="K126" i="37"/>
  <c r="I70" i="40" s="1"/>
  <c r="K173" i="37"/>
  <c r="M124" i="37"/>
  <c r="K68" i="40" s="1"/>
  <c r="M171" i="37"/>
  <c r="K124" i="37"/>
  <c r="I68" i="40" s="1"/>
  <c r="K171" i="37"/>
  <c r="L126" i="37"/>
  <c r="J70" i="40" s="1"/>
  <c r="L173" i="37"/>
  <c r="J122" i="37"/>
  <c r="H66" i="40" s="1"/>
  <c r="J169" i="37"/>
  <c r="T169" i="37" s="1"/>
  <c r="M127" i="37"/>
  <c r="M174" i="37"/>
  <c r="H124" i="37"/>
  <c r="H171" i="37"/>
  <c r="T105" i="37"/>
  <c r="T108" i="37"/>
  <c r="H117" i="37"/>
  <c r="F10" i="40"/>
  <c r="G12" i="40"/>
  <c r="J117" i="37"/>
  <c r="K12" i="40"/>
  <c r="I10" i="40"/>
  <c r="J12" i="40"/>
  <c r="K10" i="40"/>
  <c r="K78" i="40"/>
  <c r="K13" i="40"/>
  <c r="H10" i="40"/>
  <c r="I12" i="40"/>
  <c r="T103" i="37"/>
  <c r="G10" i="40"/>
  <c r="T107" i="37"/>
  <c r="K73" i="40"/>
  <c r="K11" i="40"/>
  <c r="I8" i="40"/>
  <c r="K20" i="40"/>
  <c r="F19" i="40"/>
  <c r="R9" i="40"/>
  <c r="K15" i="40"/>
  <c r="G8" i="40"/>
  <c r="G33" i="45"/>
  <c r="H50" i="39"/>
  <c r="H49" i="39" s="1"/>
  <c r="I43" i="56"/>
  <c r="R32" i="56"/>
  <c r="R33" i="56" s="1"/>
  <c r="I34" i="45"/>
  <c r="I33" i="45"/>
  <c r="J50" i="39"/>
  <c r="J55" i="39" s="1"/>
  <c r="L117" i="37"/>
  <c r="J66" i="40"/>
  <c r="I67" i="40"/>
  <c r="H34" i="45"/>
  <c r="I50" i="39"/>
  <c r="H33" i="45"/>
  <c r="H77" i="40"/>
  <c r="J68" i="40"/>
  <c r="L50" i="39"/>
  <c r="K33" i="45"/>
  <c r="K34" i="45"/>
  <c r="K117" i="37"/>
  <c r="I66" i="40"/>
  <c r="K69" i="40"/>
  <c r="G66" i="40"/>
  <c r="I117" i="37"/>
  <c r="J34" i="45"/>
  <c r="J33" i="45"/>
  <c r="K50" i="39"/>
  <c r="L79" i="43" l="1"/>
  <c r="V357" i="67"/>
  <c r="AL9" i="40"/>
  <c r="AM9" i="40"/>
  <c r="AQ30" i="40"/>
  <c r="AS30" i="40" s="1"/>
  <c r="AQ28" i="40"/>
  <c r="AS28" i="40" s="1"/>
  <c r="AQ31" i="40"/>
  <c r="AQ29" i="40"/>
  <c r="AS29" i="40" s="1"/>
  <c r="T90" i="37"/>
  <c r="K27" i="41"/>
  <c r="O27" i="41"/>
  <c r="L27" i="41"/>
  <c r="N27" i="41"/>
  <c r="M27" i="41"/>
  <c r="G32" i="45"/>
  <c r="G51" i="45" s="1"/>
  <c r="T174" i="37"/>
  <c r="T123" i="37"/>
  <c r="T178" i="37"/>
  <c r="T177" i="37"/>
  <c r="T125" i="37"/>
  <c r="H97" i="37"/>
  <c r="T122" i="37"/>
  <c r="T135" i="37"/>
  <c r="F79" i="40"/>
  <c r="F17" i="40"/>
  <c r="F22" i="40" s="1"/>
  <c r="G6" i="55" s="1"/>
  <c r="G6" i="48" s="1"/>
  <c r="T92" i="37"/>
  <c r="R21" i="40"/>
  <c r="T130" i="37"/>
  <c r="T175" i="37"/>
  <c r="T95" i="37"/>
  <c r="T89" i="37"/>
  <c r="T132" i="37"/>
  <c r="F76" i="40"/>
  <c r="R16" i="40"/>
  <c r="T88" i="37"/>
  <c r="T127" i="37"/>
  <c r="T179" i="37"/>
  <c r="R18" i="40"/>
  <c r="T131" i="37"/>
  <c r="F75" i="40"/>
  <c r="T182" i="37"/>
  <c r="L183" i="37"/>
  <c r="L190" i="37" s="1"/>
  <c r="T176" i="37"/>
  <c r="T93" i="37"/>
  <c r="H136" i="37"/>
  <c r="K63" i="41" s="1"/>
  <c r="K19" i="41" s="1"/>
  <c r="K20" i="72" s="1"/>
  <c r="K183" i="37"/>
  <c r="K190" i="37" s="1"/>
  <c r="H183" i="37"/>
  <c r="H190" i="37" s="1"/>
  <c r="T172" i="37"/>
  <c r="I15" i="40"/>
  <c r="T129" i="37"/>
  <c r="I183" i="37"/>
  <c r="I190" i="37" s="1"/>
  <c r="R14" i="40"/>
  <c r="T134" i="37"/>
  <c r="H72" i="40"/>
  <c r="T128" i="37"/>
  <c r="F68" i="40"/>
  <c r="T173" i="37"/>
  <c r="T124" i="37"/>
  <c r="T126" i="37"/>
  <c r="R70" i="40"/>
  <c r="K71" i="40"/>
  <c r="T171" i="37"/>
  <c r="J183" i="37"/>
  <c r="J190" i="37" s="1"/>
  <c r="L97" i="37"/>
  <c r="I97" i="37"/>
  <c r="K97" i="37"/>
  <c r="H8" i="40"/>
  <c r="J97" i="37"/>
  <c r="R13" i="40"/>
  <c r="R10" i="40"/>
  <c r="J22" i="40"/>
  <c r="K6" i="55" s="1"/>
  <c r="K6" i="48" s="1"/>
  <c r="R12" i="40"/>
  <c r="R19" i="40"/>
  <c r="G22" i="40"/>
  <c r="H6" i="55" s="1"/>
  <c r="H6" i="48" s="1"/>
  <c r="R20" i="40"/>
  <c r="R11" i="40"/>
  <c r="F77" i="40"/>
  <c r="I32" i="45"/>
  <c r="I51" i="45" s="1"/>
  <c r="I47" i="56"/>
  <c r="R43" i="56"/>
  <c r="J136" i="37"/>
  <c r="M63" i="41" s="1"/>
  <c r="M19" i="41" s="1"/>
  <c r="M20" i="72" s="1"/>
  <c r="J49" i="39"/>
  <c r="J32" i="45"/>
  <c r="J54" i="45" s="1"/>
  <c r="K32" i="45"/>
  <c r="K51" i="45" s="1"/>
  <c r="H32" i="45"/>
  <c r="H54" i="45" s="1"/>
  <c r="J77" i="40"/>
  <c r="I77" i="40"/>
  <c r="G77" i="40"/>
  <c r="I49" i="39"/>
  <c r="L55" i="39"/>
  <c r="L49" i="39"/>
  <c r="K49" i="39"/>
  <c r="K55" i="39"/>
  <c r="I55" i="39" l="1"/>
  <c r="O20" i="64"/>
  <c r="M20" i="64"/>
  <c r="M5" i="62"/>
  <c r="O93" i="64"/>
  <c r="O113" i="64"/>
  <c r="O120" i="64"/>
  <c r="O50" i="64"/>
  <c r="O25" i="64"/>
  <c r="O75" i="64"/>
  <c r="O84" i="64"/>
  <c r="O101" i="64"/>
  <c r="O111" i="64"/>
  <c r="O41" i="64"/>
  <c r="O47" i="64"/>
  <c r="O92" i="64"/>
  <c r="O119" i="64"/>
  <c r="O38" i="64"/>
  <c r="O83" i="64"/>
  <c r="O100" i="64"/>
  <c r="O110" i="64"/>
  <c r="O78" i="64"/>
  <c r="O89" i="64"/>
  <c r="O116" i="64"/>
  <c r="O97" i="64"/>
  <c r="O107" i="64"/>
  <c r="O18" i="64"/>
  <c r="O96" i="64"/>
  <c r="O108" i="64"/>
  <c r="O42" i="64"/>
  <c r="O121" i="64"/>
  <c r="O81" i="64"/>
  <c r="O102" i="64"/>
  <c r="O91" i="64"/>
  <c r="O115" i="64"/>
  <c r="O117" i="64"/>
  <c r="O98" i="64"/>
  <c r="O106" i="64"/>
  <c r="O45" i="64"/>
  <c r="O87" i="64"/>
  <c r="O16" i="64"/>
  <c r="O99" i="64"/>
  <c r="O109" i="64"/>
  <c r="O85" i="64"/>
  <c r="O118" i="64"/>
  <c r="O88" i="64"/>
  <c r="O95" i="64"/>
  <c r="O90" i="64"/>
  <c r="O43" i="64"/>
  <c r="O122" i="64"/>
  <c r="O46" i="64"/>
  <c r="O114" i="64"/>
  <c r="O105" i="64"/>
  <c r="O112" i="64"/>
  <c r="O80" i="64"/>
  <c r="O52" i="64"/>
  <c r="O40" i="64"/>
  <c r="O51" i="64"/>
  <c r="O44" i="64"/>
  <c r="O77" i="64"/>
  <c r="O55" i="64"/>
  <c r="O48" i="64"/>
  <c r="O94" i="64"/>
  <c r="O79" i="64"/>
  <c r="O39" i="64"/>
  <c r="O49" i="64"/>
  <c r="O86" i="64"/>
  <c r="O82" i="64"/>
  <c r="O53" i="64"/>
  <c r="O104" i="64"/>
  <c r="O76" i="64"/>
  <c r="O103" i="64"/>
  <c r="O123" i="64"/>
  <c r="O54" i="64"/>
  <c r="O56" i="64"/>
  <c r="O124" i="64"/>
  <c r="O17" i="64"/>
  <c r="O36" i="64"/>
  <c r="O37" i="64"/>
  <c r="O35" i="64"/>
  <c r="O71" i="64"/>
  <c r="O69" i="64"/>
  <c r="O7" i="64"/>
  <c r="O68" i="64"/>
  <c r="O9" i="64"/>
  <c r="O11" i="64"/>
  <c r="O8" i="64"/>
  <c r="O31" i="64"/>
  <c r="O70" i="64"/>
  <c r="O12" i="64"/>
  <c r="O13" i="64"/>
  <c r="O74" i="64"/>
  <c r="O73" i="64"/>
  <c r="O66" i="64"/>
  <c r="O10" i="64"/>
  <c r="O30" i="64"/>
  <c r="O14" i="64"/>
  <c r="O29" i="64"/>
  <c r="O15" i="64"/>
  <c r="O72" i="64"/>
  <c r="O67" i="64"/>
  <c r="O33" i="64"/>
  <c r="O32" i="64"/>
  <c r="O34" i="64"/>
  <c r="AL21" i="40"/>
  <c r="AM21" i="40"/>
  <c r="N5" i="62"/>
  <c r="AM18" i="40"/>
  <c r="AL18" i="40"/>
  <c r="O5" i="62"/>
  <c r="AL11" i="40"/>
  <c r="AM11" i="40"/>
  <c r="K5" i="62"/>
  <c r="K60" i="72" s="1"/>
  <c r="M89" i="64"/>
  <c r="M106" i="64"/>
  <c r="M121" i="64"/>
  <c r="M41" i="64"/>
  <c r="M92" i="64"/>
  <c r="M90" i="64"/>
  <c r="M107" i="64"/>
  <c r="M122" i="64"/>
  <c r="M42" i="64"/>
  <c r="M109" i="64"/>
  <c r="M45" i="64"/>
  <c r="M91" i="64"/>
  <c r="M108" i="64"/>
  <c r="M43" i="64"/>
  <c r="M81" i="64"/>
  <c r="M98" i="64"/>
  <c r="M115" i="64"/>
  <c r="M75" i="64"/>
  <c r="M102" i="64"/>
  <c r="M16" i="64"/>
  <c r="M105" i="64"/>
  <c r="M18" i="64"/>
  <c r="M38" i="64"/>
  <c r="M111" i="64"/>
  <c r="M114" i="64"/>
  <c r="M78" i="64"/>
  <c r="M46" i="64"/>
  <c r="M83" i="64"/>
  <c r="M110" i="64"/>
  <c r="M84" i="64"/>
  <c r="M87" i="64"/>
  <c r="M50" i="64"/>
  <c r="M116" i="64"/>
  <c r="M85" i="64"/>
  <c r="M113" i="64"/>
  <c r="M47" i="64"/>
  <c r="M95" i="64"/>
  <c r="M118" i="64"/>
  <c r="M97" i="64"/>
  <c r="M100" i="64"/>
  <c r="M96" i="64"/>
  <c r="M99" i="64"/>
  <c r="M101" i="64"/>
  <c r="M88" i="64"/>
  <c r="M120" i="64"/>
  <c r="M25" i="64"/>
  <c r="M117" i="64"/>
  <c r="M119" i="64"/>
  <c r="M93" i="64"/>
  <c r="M7" i="64"/>
  <c r="M112" i="64"/>
  <c r="M82" i="64"/>
  <c r="M49" i="64"/>
  <c r="M52" i="64"/>
  <c r="M123" i="64"/>
  <c r="M51" i="64"/>
  <c r="M53" i="64"/>
  <c r="M104" i="64"/>
  <c r="M17" i="64"/>
  <c r="M86" i="64"/>
  <c r="M103" i="64"/>
  <c r="M55" i="64"/>
  <c r="M44" i="64"/>
  <c r="M54" i="64"/>
  <c r="M76" i="64"/>
  <c r="M94" i="64"/>
  <c r="M80" i="64"/>
  <c r="M48" i="64"/>
  <c r="M79" i="64"/>
  <c r="M77" i="64"/>
  <c r="M40" i="64"/>
  <c r="M39" i="64"/>
  <c r="M56" i="64"/>
  <c r="M124" i="64"/>
  <c r="M70" i="64"/>
  <c r="M68" i="64"/>
  <c r="M10" i="64"/>
  <c r="M67" i="64"/>
  <c r="M8" i="64"/>
  <c r="M30" i="64"/>
  <c r="M29" i="64"/>
  <c r="M69" i="64"/>
  <c r="M12" i="64"/>
  <c r="M73" i="64"/>
  <c r="M31" i="64"/>
  <c r="M9" i="64"/>
  <c r="M36" i="64"/>
  <c r="M13" i="64"/>
  <c r="M72" i="64"/>
  <c r="M74" i="64"/>
  <c r="M15" i="64"/>
  <c r="M14" i="64"/>
  <c r="M37" i="64"/>
  <c r="M11" i="64"/>
  <c r="M32" i="64"/>
  <c r="M33" i="64"/>
  <c r="M71" i="64"/>
  <c r="M66" i="64"/>
  <c r="M35" i="64"/>
  <c r="M34" i="64"/>
  <c r="AM13" i="40"/>
  <c r="AL13" i="40"/>
  <c r="AL16" i="40"/>
  <c r="AM16" i="40"/>
  <c r="AM14" i="40"/>
  <c r="AL14" i="40"/>
  <c r="L5" i="62"/>
  <c r="AM19" i="40"/>
  <c r="AL19" i="40"/>
  <c r="AM70" i="40"/>
  <c r="AL70" i="40"/>
  <c r="AM20" i="40"/>
  <c r="AL20" i="40"/>
  <c r="AL12" i="40"/>
  <c r="AM12" i="40"/>
  <c r="AL10" i="40"/>
  <c r="AM10" i="40"/>
  <c r="AQ87" i="40"/>
  <c r="AU87" i="40" s="1"/>
  <c r="H30" i="40"/>
  <c r="H49" i="40" s="1"/>
  <c r="I35" i="40"/>
  <c r="I54" i="40" s="1"/>
  <c r="J30" i="40"/>
  <c r="J49" i="40" s="1"/>
  <c r="H34" i="40"/>
  <c r="H53" i="40" s="1"/>
  <c r="K35" i="40"/>
  <c r="K54" i="40" s="1"/>
  <c r="M35" i="40"/>
  <c r="M54" i="40" s="1"/>
  <c r="I30" i="40"/>
  <c r="I49" i="40" s="1"/>
  <c r="G34" i="40"/>
  <c r="G53" i="40" s="1"/>
  <c r="J35" i="40"/>
  <c r="J54" i="40" s="1"/>
  <c r="N34" i="40"/>
  <c r="N53" i="40" s="1"/>
  <c r="F30" i="40"/>
  <c r="Q35" i="40"/>
  <c r="Q54" i="40" s="1"/>
  <c r="K30" i="40"/>
  <c r="K49" i="40" s="1"/>
  <c r="I34" i="40"/>
  <c r="I53" i="40" s="1"/>
  <c r="L35" i="40"/>
  <c r="L54" i="40" s="1"/>
  <c r="F35" i="40"/>
  <c r="L30" i="40"/>
  <c r="L49" i="40" s="1"/>
  <c r="J34" i="40"/>
  <c r="J53" i="40" s="1"/>
  <c r="F34" i="40"/>
  <c r="P35" i="40"/>
  <c r="P54" i="40" s="1"/>
  <c r="M30" i="40"/>
  <c r="M49" i="40" s="1"/>
  <c r="K34" i="40"/>
  <c r="K53" i="40" s="1"/>
  <c r="N35" i="40"/>
  <c r="N54" i="40" s="1"/>
  <c r="N30" i="40"/>
  <c r="N49" i="40" s="1"/>
  <c r="L34" i="40"/>
  <c r="L53" i="40" s="1"/>
  <c r="O35" i="40"/>
  <c r="O54" i="40" s="1"/>
  <c r="O30" i="40"/>
  <c r="O49" i="40" s="1"/>
  <c r="M34" i="40"/>
  <c r="M53" i="40" s="1"/>
  <c r="P30" i="40"/>
  <c r="P49" i="40" s="1"/>
  <c r="P34" i="40"/>
  <c r="P53" i="40" s="1"/>
  <c r="G35" i="40"/>
  <c r="G54" i="40" s="1"/>
  <c r="H35" i="40"/>
  <c r="H54" i="40" s="1"/>
  <c r="O34" i="40"/>
  <c r="O53" i="40" s="1"/>
  <c r="G30" i="40"/>
  <c r="G49" i="40" s="1"/>
  <c r="Q30" i="40"/>
  <c r="Q49" i="40" s="1"/>
  <c r="Q34" i="40"/>
  <c r="Q53" i="40" s="1"/>
  <c r="AQ85" i="40"/>
  <c r="P28" i="40"/>
  <c r="P47" i="40" s="1"/>
  <c r="K31" i="40"/>
  <c r="K50" i="40" s="1"/>
  <c r="J27" i="40"/>
  <c r="J46" i="40" s="1"/>
  <c r="I26" i="40"/>
  <c r="I45" i="40" s="1"/>
  <c r="G29" i="40"/>
  <c r="G48" i="40" s="1"/>
  <c r="M31" i="40"/>
  <c r="M50" i="40" s="1"/>
  <c r="L27" i="40"/>
  <c r="L46" i="40" s="1"/>
  <c r="K26" i="40"/>
  <c r="M26" i="40"/>
  <c r="F27" i="40"/>
  <c r="Q28" i="40"/>
  <c r="Q47" i="40" s="1"/>
  <c r="L31" i="40"/>
  <c r="L50" i="40" s="1"/>
  <c r="K27" i="40"/>
  <c r="K46" i="40" s="1"/>
  <c r="J26" i="40"/>
  <c r="J45" i="40" s="1"/>
  <c r="J28" i="40"/>
  <c r="J47" i="40" s="1"/>
  <c r="H29" i="40"/>
  <c r="H48" i="40" s="1"/>
  <c r="N31" i="40"/>
  <c r="N50" i="40" s="1"/>
  <c r="M27" i="40"/>
  <c r="M46" i="40" s="1"/>
  <c r="L26" i="40"/>
  <c r="I29" i="40"/>
  <c r="I48" i="40" s="1"/>
  <c r="O31" i="40"/>
  <c r="O50" i="40" s="1"/>
  <c r="N27" i="40"/>
  <c r="N46" i="40" s="1"/>
  <c r="M29" i="40"/>
  <c r="M48" i="40" s="1"/>
  <c r="Q26" i="40"/>
  <c r="G28" i="40"/>
  <c r="G47" i="40" s="1"/>
  <c r="J29" i="40"/>
  <c r="J48" i="40" s="1"/>
  <c r="P31" i="40"/>
  <c r="P50" i="40" s="1"/>
  <c r="O27" i="40"/>
  <c r="O46" i="40" s="1"/>
  <c r="N26" i="40"/>
  <c r="H28" i="40"/>
  <c r="H47" i="40" s="1"/>
  <c r="K29" i="40"/>
  <c r="K48" i="40" s="1"/>
  <c r="Q31" i="40"/>
  <c r="Q50" i="40" s="1"/>
  <c r="P27" i="40"/>
  <c r="P46" i="40" s="1"/>
  <c r="O26" i="40"/>
  <c r="I28" i="40"/>
  <c r="L29" i="40"/>
  <c r="L48" i="40" s="1"/>
  <c r="F31" i="40"/>
  <c r="Q27" i="40"/>
  <c r="Q46" i="40" s="1"/>
  <c r="P26" i="40"/>
  <c r="O28" i="40"/>
  <c r="O47" i="40" s="1"/>
  <c r="F29" i="40"/>
  <c r="N29" i="40"/>
  <c r="N48" i="40" s="1"/>
  <c r="F28" i="40"/>
  <c r="F47" i="40" s="1"/>
  <c r="O29" i="40"/>
  <c r="O48" i="40" s="1"/>
  <c r="G27" i="40"/>
  <c r="G46" i="40" s="1"/>
  <c r="I31" i="40"/>
  <c r="I50" i="40" s="1"/>
  <c r="K28" i="40"/>
  <c r="K47" i="40" s="1"/>
  <c r="F26" i="40"/>
  <c r="N28" i="40"/>
  <c r="N47" i="40" s="1"/>
  <c r="P29" i="40"/>
  <c r="P48" i="40" s="1"/>
  <c r="H27" i="40"/>
  <c r="H46" i="40" s="1"/>
  <c r="Q29" i="40"/>
  <c r="Q48" i="40" s="1"/>
  <c r="I27" i="40"/>
  <c r="I46" i="40" s="1"/>
  <c r="H31" i="40"/>
  <c r="H50" i="40" s="1"/>
  <c r="H26" i="40"/>
  <c r="H45" i="40" s="1"/>
  <c r="J31" i="40"/>
  <c r="J50" i="40" s="1"/>
  <c r="L28" i="40"/>
  <c r="L47" i="40" s="1"/>
  <c r="G31" i="40"/>
  <c r="G50" i="40" s="1"/>
  <c r="G26" i="40"/>
  <c r="G45" i="40" s="1"/>
  <c r="M28" i="40"/>
  <c r="M47" i="40" s="1"/>
  <c r="AQ86" i="40"/>
  <c r="N32" i="40"/>
  <c r="N51" i="40" s="1"/>
  <c r="Q33" i="40"/>
  <c r="Q52" i="40" s="1"/>
  <c r="P32" i="40"/>
  <c r="P51" i="40" s="1"/>
  <c r="K33" i="40"/>
  <c r="K52" i="40" s="1"/>
  <c r="O32" i="40"/>
  <c r="O51" i="40" s="1"/>
  <c r="J33" i="40"/>
  <c r="J52" i="40" s="1"/>
  <c r="H32" i="40"/>
  <c r="Q32" i="40"/>
  <c r="Q51" i="40" s="1"/>
  <c r="G33" i="40"/>
  <c r="G52" i="40" s="1"/>
  <c r="H33" i="40"/>
  <c r="H52" i="40" s="1"/>
  <c r="F33" i="40"/>
  <c r="I33" i="40"/>
  <c r="I52" i="40" s="1"/>
  <c r="F32" i="40"/>
  <c r="F51" i="40" s="1"/>
  <c r="G32" i="40"/>
  <c r="G51" i="40" s="1"/>
  <c r="L32" i="40"/>
  <c r="L51" i="40" s="1"/>
  <c r="M32" i="40"/>
  <c r="M51" i="40" s="1"/>
  <c r="L33" i="40"/>
  <c r="L52" i="40" s="1"/>
  <c r="M33" i="40"/>
  <c r="M52" i="40" s="1"/>
  <c r="N33" i="40"/>
  <c r="N52" i="40" s="1"/>
  <c r="K32" i="40"/>
  <c r="K51" i="40" s="1"/>
  <c r="O33" i="40"/>
  <c r="O52" i="40" s="1"/>
  <c r="P33" i="40"/>
  <c r="P52" i="40" s="1"/>
  <c r="I32" i="40"/>
  <c r="I51" i="40" s="1"/>
  <c r="J32" i="40"/>
  <c r="J51" i="40" s="1"/>
  <c r="AS31" i="40"/>
  <c r="AQ88" i="40"/>
  <c r="AV88" i="40" s="1"/>
  <c r="L38" i="40"/>
  <c r="L57" i="40" s="1"/>
  <c r="O39" i="40"/>
  <c r="O58" i="40" s="1"/>
  <c r="F40" i="40"/>
  <c r="F59" i="40" s="1"/>
  <c r="P39" i="40"/>
  <c r="P58" i="40" s="1"/>
  <c r="N38" i="40"/>
  <c r="N57" i="40" s="1"/>
  <c r="Q39" i="40"/>
  <c r="Q58" i="40" s="1"/>
  <c r="F38" i="40"/>
  <c r="F57" i="40" s="1"/>
  <c r="H39" i="40"/>
  <c r="H58" i="40" s="1"/>
  <c r="M38" i="40"/>
  <c r="M57" i="40" s="1"/>
  <c r="F39" i="40"/>
  <c r="H40" i="40"/>
  <c r="O38" i="40"/>
  <c r="O57" i="40" s="1"/>
  <c r="G40" i="40"/>
  <c r="G59" i="40" s="1"/>
  <c r="P38" i="40"/>
  <c r="P57" i="40" s="1"/>
  <c r="I39" i="40"/>
  <c r="I58" i="40" s="1"/>
  <c r="Q38" i="40"/>
  <c r="Q57" i="40" s="1"/>
  <c r="I40" i="40"/>
  <c r="I59" i="40" s="1"/>
  <c r="G39" i="40"/>
  <c r="G58" i="40" s="1"/>
  <c r="J40" i="40"/>
  <c r="J59" i="40" s="1"/>
  <c r="K40" i="40"/>
  <c r="K59" i="40" s="1"/>
  <c r="I38" i="40"/>
  <c r="I57" i="40" s="1"/>
  <c r="J38" i="40"/>
  <c r="J57" i="40" s="1"/>
  <c r="K38" i="40"/>
  <c r="K57" i="40" s="1"/>
  <c r="M40" i="40"/>
  <c r="M59" i="40" s="1"/>
  <c r="H38" i="40"/>
  <c r="H57" i="40" s="1"/>
  <c r="J39" i="40"/>
  <c r="J58" i="40" s="1"/>
  <c r="K39" i="40"/>
  <c r="K58" i="40" s="1"/>
  <c r="O40" i="40"/>
  <c r="O59" i="40" s="1"/>
  <c r="G38" i="40"/>
  <c r="L39" i="40"/>
  <c r="L58" i="40" s="1"/>
  <c r="M39" i="40"/>
  <c r="M58" i="40" s="1"/>
  <c r="N39" i="40"/>
  <c r="N58" i="40" s="1"/>
  <c r="L40" i="40"/>
  <c r="L59" i="40" s="1"/>
  <c r="N40" i="40"/>
  <c r="N59" i="40" s="1"/>
  <c r="P40" i="40"/>
  <c r="P59" i="40" s="1"/>
  <c r="Q40" i="40"/>
  <c r="Q59" i="40" s="1"/>
  <c r="G54" i="45"/>
  <c r="G25" i="45"/>
  <c r="G49" i="45" s="1"/>
  <c r="G53" i="45" s="1"/>
  <c r="R72" i="40"/>
  <c r="I191" i="37"/>
  <c r="I196" i="37" s="1"/>
  <c r="H18" i="55"/>
  <c r="L191" i="37"/>
  <c r="L196" i="37" s="1"/>
  <c r="K18" i="55"/>
  <c r="H191" i="37"/>
  <c r="H196" i="37" s="1"/>
  <c r="G18" i="55"/>
  <c r="J191" i="37"/>
  <c r="J196" i="37" s="1"/>
  <c r="I18" i="55"/>
  <c r="I18" i="48" s="1"/>
  <c r="K191" i="37"/>
  <c r="K196" i="37" s="1"/>
  <c r="J18" i="55"/>
  <c r="R15" i="40"/>
  <c r="K62" i="41"/>
  <c r="K65" i="41"/>
  <c r="K21" i="41" s="1"/>
  <c r="K22" i="72" s="1"/>
  <c r="K64" i="41"/>
  <c r="K20" i="41" s="1"/>
  <c r="K21" i="72" s="1"/>
  <c r="K69" i="41"/>
  <c r="K25" i="41" s="1"/>
  <c r="K26" i="72" s="1"/>
  <c r="K67" i="41"/>
  <c r="K23" i="41" s="1"/>
  <c r="K24" i="72" s="1"/>
  <c r="K66" i="41"/>
  <c r="K22" i="41" s="1"/>
  <c r="K23" i="72" s="1"/>
  <c r="M66" i="41"/>
  <c r="M62" i="41"/>
  <c r="M69" i="41"/>
  <c r="M64" i="41"/>
  <c r="M65" i="41"/>
  <c r="M67" i="41"/>
  <c r="M6" i="62"/>
  <c r="K6" i="62"/>
  <c r="I22" i="40"/>
  <c r="J6" i="55" s="1"/>
  <c r="J6" i="48" s="1"/>
  <c r="R79" i="40"/>
  <c r="J195" i="37"/>
  <c r="R76" i="40"/>
  <c r="R17" i="40"/>
  <c r="H80" i="40"/>
  <c r="H195" i="37"/>
  <c r="H22" i="40"/>
  <c r="I6" i="55" s="1"/>
  <c r="I6" i="48" s="1"/>
  <c r="R8" i="40"/>
  <c r="I25" i="45"/>
  <c r="I49" i="45" s="1"/>
  <c r="I50" i="45" s="1"/>
  <c r="F80" i="40"/>
  <c r="I54" i="45"/>
  <c r="I49" i="56"/>
  <c r="I50" i="56" s="1"/>
  <c r="R47" i="56"/>
  <c r="J51" i="45"/>
  <c r="J25" i="45"/>
  <c r="J49" i="45" s="1"/>
  <c r="K54" i="45"/>
  <c r="K25" i="45"/>
  <c r="K49" i="45" s="1"/>
  <c r="K53" i="45" s="1"/>
  <c r="H51" i="45"/>
  <c r="K136" i="37"/>
  <c r="N63" i="41" s="1"/>
  <c r="I136" i="37"/>
  <c r="L63" i="41" s="1"/>
  <c r="H25" i="45"/>
  <c r="H49" i="45" s="1"/>
  <c r="L136" i="37"/>
  <c r="O63" i="41" s="1"/>
  <c r="R71" i="40"/>
  <c r="R68" i="40"/>
  <c r="R69" i="40"/>
  <c r="I80" i="40"/>
  <c r="J80" i="40"/>
  <c r="R67" i="40"/>
  <c r="R78" i="40"/>
  <c r="G80" i="40"/>
  <c r="R66" i="40"/>
  <c r="Q60" i="64" l="1"/>
  <c r="Q64" i="64" s="1"/>
  <c r="O60" i="72"/>
  <c r="O64" i="72" s="1"/>
  <c r="P60" i="64"/>
  <c r="P64" i="64" s="1"/>
  <c r="N60" i="72"/>
  <c r="N64" i="72" s="1"/>
  <c r="O60" i="64"/>
  <c r="O64" i="64" s="1"/>
  <c r="M60" i="72"/>
  <c r="M64" i="72" s="1"/>
  <c r="N60" i="64"/>
  <c r="N64" i="64" s="1"/>
  <c r="L60" i="72"/>
  <c r="L64" i="72" s="1"/>
  <c r="K64" i="72"/>
  <c r="M60" i="64"/>
  <c r="M64" i="64" s="1"/>
  <c r="M23" i="64"/>
  <c r="M24" i="64"/>
  <c r="M26" i="64"/>
  <c r="M21" i="64"/>
  <c r="M22" i="64"/>
  <c r="G20" i="55"/>
  <c r="O28" i="64"/>
  <c r="M28" i="64"/>
  <c r="Q105" i="64"/>
  <c r="Q81" i="64"/>
  <c r="N48" i="64"/>
  <c r="N50" i="64"/>
  <c r="N110" i="64"/>
  <c r="N109" i="64"/>
  <c r="N96" i="64"/>
  <c r="N87" i="64"/>
  <c r="N69" i="64"/>
  <c r="N101" i="64"/>
  <c r="N8" i="64"/>
  <c r="N31" i="64"/>
  <c r="Q15" i="64"/>
  <c r="N32" i="64"/>
  <c r="Q72" i="64"/>
  <c r="N55" i="64"/>
  <c r="Q44" i="64"/>
  <c r="N82" i="64"/>
  <c r="Q104" i="64"/>
  <c r="N40" i="64"/>
  <c r="Q83" i="64"/>
  <c r="N84" i="64"/>
  <c r="AL67" i="40"/>
  <c r="AM67" i="40"/>
  <c r="AM15" i="40"/>
  <c r="AL15" i="40"/>
  <c r="N68" i="64"/>
  <c r="N29" i="64"/>
  <c r="N53" i="64"/>
  <c r="N77" i="64"/>
  <c r="N113" i="64"/>
  <c r="N78" i="64"/>
  <c r="Q73" i="64"/>
  <c r="Q36" i="64"/>
  <c r="Q76" i="64"/>
  <c r="Q88" i="64"/>
  <c r="Q122" i="64"/>
  <c r="Q85" i="64"/>
  <c r="P15" i="64"/>
  <c r="P32" i="64"/>
  <c r="P56" i="64"/>
  <c r="P76" i="64"/>
  <c r="P107" i="64"/>
  <c r="P75" i="64"/>
  <c r="P105" i="64"/>
  <c r="Q31" i="64"/>
  <c r="Q37" i="64"/>
  <c r="Q103" i="64"/>
  <c r="Q106" i="64"/>
  <c r="Q108" i="64"/>
  <c r="Q47" i="64"/>
  <c r="P30" i="64"/>
  <c r="P8" i="64"/>
  <c r="P86" i="64"/>
  <c r="P54" i="64"/>
  <c r="P88" i="64"/>
  <c r="P110" i="64"/>
  <c r="P38" i="64"/>
  <c r="P102" i="64"/>
  <c r="N35" i="64"/>
  <c r="N66" i="64"/>
  <c r="N86" i="64"/>
  <c r="N112" i="64"/>
  <c r="N99" i="64"/>
  <c r="N18" i="64"/>
  <c r="N38" i="64"/>
  <c r="Q33" i="64"/>
  <c r="Q35" i="64"/>
  <c r="Q53" i="64"/>
  <c r="Q78" i="64"/>
  <c r="Q45" i="64"/>
  <c r="Q98" i="64"/>
  <c r="Q111" i="64"/>
  <c r="P70" i="64"/>
  <c r="P74" i="64"/>
  <c r="P80" i="64"/>
  <c r="P40" i="64"/>
  <c r="P118" i="64"/>
  <c r="P100" i="64"/>
  <c r="P92" i="64"/>
  <c r="P95" i="64"/>
  <c r="AL69" i="40"/>
  <c r="AM69" i="40"/>
  <c r="AL68" i="40"/>
  <c r="AM68" i="40"/>
  <c r="N67" i="64"/>
  <c r="N15" i="64"/>
  <c r="N103" i="64"/>
  <c r="N114" i="64"/>
  <c r="N93" i="64"/>
  <c r="N115" i="64"/>
  <c r="N119" i="64"/>
  <c r="Q9" i="64"/>
  <c r="Q17" i="64"/>
  <c r="Q77" i="64"/>
  <c r="Q118" i="64"/>
  <c r="Q119" i="64"/>
  <c r="Q117" i="64"/>
  <c r="Q101" i="64"/>
  <c r="P71" i="64"/>
  <c r="P10" i="64"/>
  <c r="P52" i="64"/>
  <c r="P79" i="64"/>
  <c r="P43" i="64"/>
  <c r="P87" i="64"/>
  <c r="P47" i="64"/>
  <c r="P85" i="64"/>
  <c r="AL72" i="40"/>
  <c r="AM72" i="40"/>
  <c r="AM78" i="40"/>
  <c r="AL78" i="40"/>
  <c r="N7" i="64"/>
  <c r="N13" i="64"/>
  <c r="N44" i="64"/>
  <c r="N25" i="64"/>
  <c r="N89" i="64"/>
  <c r="N88" i="64"/>
  <c r="N92" i="64"/>
  <c r="Q68" i="64"/>
  <c r="Q13" i="64"/>
  <c r="Q124" i="64"/>
  <c r="Q39" i="64"/>
  <c r="Q107" i="64"/>
  <c r="Q115" i="64"/>
  <c r="Q90" i="64"/>
  <c r="Q84" i="64"/>
  <c r="P12" i="64"/>
  <c r="P34" i="64"/>
  <c r="P49" i="64"/>
  <c r="P123" i="64"/>
  <c r="P16" i="64"/>
  <c r="P117" i="64"/>
  <c r="P41" i="64"/>
  <c r="O126" i="64"/>
  <c r="AM71" i="40"/>
  <c r="AL71" i="40"/>
  <c r="N9" i="64"/>
  <c r="N14" i="64"/>
  <c r="N94" i="64"/>
  <c r="N105" i="64"/>
  <c r="N45" i="64"/>
  <c r="N43" i="64"/>
  <c r="N118" i="64"/>
  <c r="Q7" i="64"/>
  <c r="Q10" i="64"/>
  <c r="Q56" i="64"/>
  <c r="Q94" i="64"/>
  <c r="Q16" i="64"/>
  <c r="Q91" i="64"/>
  <c r="Q41" i="64"/>
  <c r="Q42" i="64"/>
  <c r="P13" i="64"/>
  <c r="P35" i="64"/>
  <c r="P48" i="64"/>
  <c r="P82" i="64"/>
  <c r="P97" i="64"/>
  <c r="P91" i="64"/>
  <c r="P111" i="64"/>
  <c r="N30" i="64"/>
  <c r="N37" i="64"/>
  <c r="N80" i="64"/>
  <c r="N120" i="64"/>
  <c r="N42" i="64"/>
  <c r="N91" i="64"/>
  <c r="Q34" i="64"/>
  <c r="Q69" i="64"/>
  <c r="Q54" i="64"/>
  <c r="Q51" i="64"/>
  <c r="Q116" i="64"/>
  <c r="Q89" i="64"/>
  <c r="Q25" i="64"/>
  <c r="Q121" i="64"/>
  <c r="P69" i="64"/>
  <c r="P37" i="64"/>
  <c r="P55" i="64"/>
  <c r="P44" i="64"/>
  <c r="P46" i="64"/>
  <c r="P122" i="64"/>
  <c r="P101" i="64"/>
  <c r="AM8" i="40"/>
  <c r="AL8" i="40"/>
  <c r="N33" i="64"/>
  <c r="N17" i="64"/>
  <c r="N39" i="64"/>
  <c r="N16" i="64"/>
  <c r="N108" i="64"/>
  <c r="N107" i="64"/>
  <c r="N81" i="64"/>
  <c r="Q74" i="64"/>
  <c r="Q8" i="64"/>
  <c r="Q80" i="64"/>
  <c r="Q55" i="64"/>
  <c r="Q43" i="64"/>
  <c r="Q75" i="64"/>
  <c r="Q50" i="64"/>
  <c r="Q114" i="64"/>
  <c r="P9" i="64"/>
  <c r="P31" i="64"/>
  <c r="P53" i="64"/>
  <c r="P112" i="64"/>
  <c r="P99" i="64"/>
  <c r="P116" i="64"/>
  <c r="P84" i="64"/>
  <c r="N73" i="64"/>
  <c r="N34" i="64"/>
  <c r="N124" i="64"/>
  <c r="N76" i="64"/>
  <c r="N116" i="64"/>
  <c r="N106" i="64"/>
  <c r="N97" i="64"/>
  <c r="N47" i="64"/>
  <c r="Q29" i="64"/>
  <c r="Q66" i="64"/>
  <c r="Q52" i="64"/>
  <c r="Q86" i="64"/>
  <c r="Q46" i="64"/>
  <c r="Q96" i="64"/>
  <c r="Q120" i="64"/>
  <c r="Q87" i="64"/>
  <c r="P67" i="64"/>
  <c r="P33" i="64"/>
  <c r="P39" i="64"/>
  <c r="P90" i="64"/>
  <c r="P89" i="64"/>
  <c r="P119" i="64"/>
  <c r="N71" i="64"/>
  <c r="N36" i="64"/>
  <c r="N56" i="64"/>
  <c r="N52" i="64"/>
  <c r="N95" i="64"/>
  <c r="N102" i="64"/>
  <c r="N46" i="64"/>
  <c r="N41" i="64"/>
  <c r="Q30" i="64"/>
  <c r="Q70" i="64"/>
  <c r="Q123" i="64"/>
  <c r="Q49" i="64"/>
  <c r="Q92" i="64"/>
  <c r="Q110" i="64"/>
  <c r="Q113" i="64"/>
  <c r="P11" i="64"/>
  <c r="P29" i="64"/>
  <c r="P103" i="64"/>
  <c r="P109" i="64"/>
  <c r="P42" i="64"/>
  <c r="P18" i="64"/>
  <c r="P25" i="64"/>
  <c r="AM17" i="40"/>
  <c r="AL17" i="40"/>
  <c r="AM66" i="40"/>
  <c r="AL66" i="40"/>
  <c r="AM76" i="40"/>
  <c r="AL76" i="40"/>
  <c r="N11" i="64"/>
  <c r="N72" i="64"/>
  <c r="N54" i="64"/>
  <c r="N49" i="64"/>
  <c r="N122" i="64"/>
  <c r="N98" i="64"/>
  <c r="N75" i="64"/>
  <c r="N111" i="64"/>
  <c r="Q11" i="64"/>
  <c r="Q12" i="64"/>
  <c r="Q40" i="64"/>
  <c r="Q48" i="64"/>
  <c r="Q97" i="64"/>
  <c r="Q18" i="64"/>
  <c r="Q93" i="64"/>
  <c r="P66" i="64"/>
  <c r="P73" i="64"/>
  <c r="P104" i="64"/>
  <c r="P106" i="64"/>
  <c r="P45" i="64"/>
  <c r="P50" i="64"/>
  <c r="P36" i="64"/>
  <c r="P72" i="64"/>
  <c r="P77" i="64"/>
  <c r="P78" i="64"/>
  <c r="P96" i="64"/>
  <c r="P108" i="64"/>
  <c r="P120" i="64"/>
  <c r="AM79" i="40"/>
  <c r="AL79" i="40"/>
  <c r="N70" i="64"/>
  <c r="N10" i="64"/>
  <c r="N51" i="64"/>
  <c r="N104" i="64"/>
  <c r="N85" i="64"/>
  <c r="N117" i="64"/>
  <c r="N100" i="64"/>
  <c r="Q14" i="64"/>
  <c r="Q67" i="64"/>
  <c r="Q79" i="64"/>
  <c r="Q112" i="64"/>
  <c r="Q100" i="64"/>
  <c r="Q102" i="64"/>
  <c r="P68" i="64"/>
  <c r="P17" i="64"/>
  <c r="P94" i="64"/>
  <c r="P121" i="64"/>
  <c r="P81" i="64"/>
  <c r="P98" i="64"/>
  <c r="P113" i="64"/>
  <c r="M126" i="64"/>
  <c r="N12" i="64"/>
  <c r="N74" i="64"/>
  <c r="N123" i="64"/>
  <c r="N79" i="64"/>
  <c r="N90" i="64"/>
  <c r="N121" i="64"/>
  <c r="N83" i="64"/>
  <c r="Q71" i="64"/>
  <c r="Q32" i="64"/>
  <c r="Q82" i="64"/>
  <c r="Q109" i="64"/>
  <c r="Q99" i="64"/>
  <c r="Q38" i="64"/>
  <c r="Q95" i="64"/>
  <c r="P14" i="64"/>
  <c r="P7" i="64"/>
  <c r="P124" i="64"/>
  <c r="P51" i="64"/>
  <c r="P114" i="64"/>
  <c r="P115" i="64"/>
  <c r="P83" i="64"/>
  <c r="P93" i="64"/>
  <c r="N36" i="40"/>
  <c r="N55" i="40" s="1"/>
  <c r="Q37" i="40"/>
  <c r="Q56" i="40" s="1"/>
  <c r="P36" i="40"/>
  <c r="P55" i="40" s="1"/>
  <c r="F36" i="40"/>
  <c r="K37" i="40"/>
  <c r="K56" i="40" s="1"/>
  <c r="O36" i="40"/>
  <c r="O55" i="40" s="1"/>
  <c r="F37" i="40"/>
  <c r="F56" i="40" s="1"/>
  <c r="Q36" i="40"/>
  <c r="Q55" i="40" s="1"/>
  <c r="G37" i="40"/>
  <c r="H37" i="40"/>
  <c r="H56" i="40" s="1"/>
  <c r="I37" i="40"/>
  <c r="I56" i="40" s="1"/>
  <c r="G36" i="40"/>
  <c r="G55" i="40" s="1"/>
  <c r="J37" i="40"/>
  <c r="J56" i="40" s="1"/>
  <c r="H36" i="40"/>
  <c r="H55" i="40" s="1"/>
  <c r="J36" i="40"/>
  <c r="J55" i="40" s="1"/>
  <c r="K36" i="40"/>
  <c r="K55" i="40" s="1"/>
  <c r="L36" i="40"/>
  <c r="L55" i="40" s="1"/>
  <c r="O37" i="40"/>
  <c r="O56" i="40" s="1"/>
  <c r="M36" i="40"/>
  <c r="M55" i="40" s="1"/>
  <c r="L37" i="40"/>
  <c r="L56" i="40" s="1"/>
  <c r="I36" i="40"/>
  <c r="I55" i="40" s="1"/>
  <c r="M37" i="40"/>
  <c r="M56" i="40" s="1"/>
  <c r="N37" i="40"/>
  <c r="N56" i="40" s="1"/>
  <c r="P37" i="40"/>
  <c r="P56" i="40" s="1"/>
  <c r="R38" i="40"/>
  <c r="G57" i="40"/>
  <c r="R57" i="40" s="1"/>
  <c r="H88" i="40"/>
  <c r="H108" i="40" s="1"/>
  <c r="N90" i="40"/>
  <c r="N110" i="40" s="1"/>
  <c r="Q91" i="40"/>
  <c r="Q111" i="40" s="1"/>
  <c r="L94" i="40"/>
  <c r="L114" i="40" s="1"/>
  <c r="O95" i="40"/>
  <c r="O115" i="40" s="1"/>
  <c r="F90" i="40"/>
  <c r="J88" i="40"/>
  <c r="J108" i="40" s="1"/>
  <c r="P90" i="40"/>
  <c r="P110" i="40" s="1"/>
  <c r="N94" i="40"/>
  <c r="N114" i="40" s="1"/>
  <c r="Q95" i="40"/>
  <c r="Q115" i="40" s="1"/>
  <c r="F88" i="40"/>
  <c r="O88" i="40"/>
  <c r="O108" i="40" s="1"/>
  <c r="K91" i="40"/>
  <c r="K111" i="40" s="1"/>
  <c r="I88" i="40"/>
  <c r="I108" i="40" s="1"/>
  <c r="O90" i="40"/>
  <c r="O110" i="40" s="1"/>
  <c r="M94" i="40"/>
  <c r="M114" i="40" s="1"/>
  <c r="P95" i="40"/>
  <c r="P115" i="40" s="1"/>
  <c r="P88" i="40"/>
  <c r="P108" i="40" s="1"/>
  <c r="K88" i="40"/>
  <c r="K108" i="40" s="1"/>
  <c r="Q90" i="40"/>
  <c r="Q110" i="40" s="1"/>
  <c r="O94" i="40"/>
  <c r="O114" i="40" s="1"/>
  <c r="L88" i="40"/>
  <c r="L108" i="40" s="1"/>
  <c r="G91" i="40"/>
  <c r="G111" i="40" s="1"/>
  <c r="P94" i="40"/>
  <c r="P114" i="40" s="1"/>
  <c r="H90" i="40"/>
  <c r="H110" i="40" s="1"/>
  <c r="I95" i="40"/>
  <c r="I115" i="40" s="1"/>
  <c r="M88" i="40"/>
  <c r="M108" i="40" s="1"/>
  <c r="H91" i="40"/>
  <c r="H111" i="40" s="1"/>
  <c r="Q94" i="40"/>
  <c r="Q114" i="40" s="1"/>
  <c r="N88" i="40"/>
  <c r="N108" i="40" s="1"/>
  <c r="I91" i="40"/>
  <c r="I111" i="40" s="1"/>
  <c r="G95" i="40"/>
  <c r="G115" i="40" s="1"/>
  <c r="G90" i="40"/>
  <c r="G110" i="40" s="1"/>
  <c r="J91" i="40"/>
  <c r="J111" i="40" s="1"/>
  <c r="H95" i="40"/>
  <c r="H115" i="40" s="1"/>
  <c r="M90" i="40"/>
  <c r="M110" i="40" s="1"/>
  <c r="J94" i="40"/>
  <c r="J114" i="40" s="1"/>
  <c r="L91" i="40"/>
  <c r="L111" i="40" s="1"/>
  <c r="K94" i="40"/>
  <c r="K114" i="40" s="1"/>
  <c r="M91" i="40"/>
  <c r="M111" i="40" s="1"/>
  <c r="J95" i="40"/>
  <c r="J115" i="40" s="1"/>
  <c r="I90" i="40"/>
  <c r="I110" i="40" s="1"/>
  <c r="G94" i="40"/>
  <c r="G114" i="40" s="1"/>
  <c r="N91" i="40"/>
  <c r="N111" i="40" s="1"/>
  <c r="K95" i="40"/>
  <c r="K115" i="40" s="1"/>
  <c r="G88" i="40"/>
  <c r="G108" i="40" s="1"/>
  <c r="O91" i="40"/>
  <c r="O111" i="40" s="1"/>
  <c r="L95" i="40"/>
  <c r="L115" i="40" s="1"/>
  <c r="F94" i="40"/>
  <c r="J90" i="40"/>
  <c r="J110" i="40" s="1"/>
  <c r="F91" i="40"/>
  <c r="L90" i="40"/>
  <c r="L110" i="40" s="1"/>
  <c r="I94" i="40"/>
  <c r="I114" i="40" s="1"/>
  <c r="Q88" i="40"/>
  <c r="Q108" i="40" s="1"/>
  <c r="P91" i="40"/>
  <c r="P111" i="40" s="1"/>
  <c r="M95" i="40"/>
  <c r="M115" i="40" s="1"/>
  <c r="N95" i="40"/>
  <c r="N115" i="40" s="1"/>
  <c r="F95" i="40"/>
  <c r="K90" i="40"/>
  <c r="K110" i="40" s="1"/>
  <c r="H94" i="40"/>
  <c r="H114" i="40" s="1"/>
  <c r="R26" i="40"/>
  <c r="F45" i="40"/>
  <c r="R35" i="40"/>
  <c r="F54" i="40"/>
  <c r="R54" i="40" s="1"/>
  <c r="J104" i="40"/>
  <c r="M105" i="40"/>
  <c r="P106" i="40"/>
  <c r="K109" i="40"/>
  <c r="O105" i="40"/>
  <c r="G107" i="40"/>
  <c r="M109" i="40"/>
  <c r="N105" i="40"/>
  <c r="Q106" i="40"/>
  <c r="L109" i="40"/>
  <c r="L107" i="40"/>
  <c r="G105" i="40"/>
  <c r="P105" i="40"/>
  <c r="H107" i="40"/>
  <c r="N109" i="40"/>
  <c r="Q105" i="40"/>
  <c r="I107" i="40"/>
  <c r="O109" i="40"/>
  <c r="J106" i="40"/>
  <c r="M107" i="40"/>
  <c r="G106" i="40"/>
  <c r="J107" i="40"/>
  <c r="P109" i="40"/>
  <c r="H106" i="40"/>
  <c r="K107" i="40"/>
  <c r="Q109" i="40"/>
  <c r="I106" i="40"/>
  <c r="N107" i="40"/>
  <c r="G104" i="40"/>
  <c r="O107" i="40"/>
  <c r="H104" i="40"/>
  <c r="P107" i="40"/>
  <c r="I109" i="40"/>
  <c r="O106" i="40"/>
  <c r="I104" i="40"/>
  <c r="Q107" i="40"/>
  <c r="H105" i="40"/>
  <c r="K105" i="40"/>
  <c r="J109" i="40"/>
  <c r="I105" i="40"/>
  <c r="J105" i="40"/>
  <c r="G109" i="40"/>
  <c r="H109" i="40"/>
  <c r="L105" i="40"/>
  <c r="K106" i="40"/>
  <c r="L106" i="40"/>
  <c r="M106" i="40"/>
  <c r="N106" i="40"/>
  <c r="R29" i="40"/>
  <c r="F48" i="40"/>
  <c r="R48" i="40" s="1"/>
  <c r="G97" i="40"/>
  <c r="G117" i="40" s="1"/>
  <c r="J98" i="40"/>
  <c r="J118" i="40" s="1"/>
  <c r="M99" i="40"/>
  <c r="I97" i="40"/>
  <c r="I117" i="40" s="1"/>
  <c r="L98" i="40"/>
  <c r="L118" i="40" s="1"/>
  <c r="O99" i="40"/>
  <c r="H96" i="40"/>
  <c r="H116" i="40" s="1"/>
  <c r="O97" i="40"/>
  <c r="O117" i="40" s="1"/>
  <c r="H97" i="40"/>
  <c r="H117" i="40" s="1"/>
  <c r="K98" i="40"/>
  <c r="K118" i="40" s="1"/>
  <c r="N99" i="40"/>
  <c r="L96" i="40"/>
  <c r="F96" i="40"/>
  <c r="G96" i="40"/>
  <c r="G116" i="40" s="1"/>
  <c r="J97" i="40"/>
  <c r="J117" i="40" s="1"/>
  <c r="M98" i="40"/>
  <c r="M118" i="40" s="1"/>
  <c r="P99" i="40"/>
  <c r="K97" i="40"/>
  <c r="K117" i="40" s="1"/>
  <c r="N98" i="40"/>
  <c r="N118" i="40" s="1"/>
  <c r="Q99" i="40"/>
  <c r="G99" i="40"/>
  <c r="I96" i="40"/>
  <c r="I116" i="40" s="1"/>
  <c r="L97" i="40"/>
  <c r="L117" i="40" s="1"/>
  <c r="O98" i="40"/>
  <c r="O118" i="40" s="1"/>
  <c r="F99" i="40"/>
  <c r="J96" i="40"/>
  <c r="J116" i="40" s="1"/>
  <c r="M97" i="40"/>
  <c r="M117" i="40" s="1"/>
  <c r="P98" i="40"/>
  <c r="P118" i="40" s="1"/>
  <c r="F98" i="40"/>
  <c r="K96" i="40"/>
  <c r="N97" i="40"/>
  <c r="N117" i="40" s="1"/>
  <c r="Q98" i="40"/>
  <c r="Q118" i="40" s="1"/>
  <c r="F97" i="40"/>
  <c r="G98" i="40"/>
  <c r="G118" i="40" s="1"/>
  <c r="H98" i="40"/>
  <c r="H118" i="40" s="1"/>
  <c r="I98" i="40"/>
  <c r="I118" i="40" s="1"/>
  <c r="O96" i="40"/>
  <c r="P96" i="40"/>
  <c r="Q97" i="40"/>
  <c r="Q117" i="40" s="1"/>
  <c r="H99" i="40"/>
  <c r="I99" i="40"/>
  <c r="J99" i="40"/>
  <c r="K99" i="40"/>
  <c r="M96" i="40"/>
  <c r="L99" i="40"/>
  <c r="N96" i="40"/>
  <c r="Q96" i="40"/>
  <c r="P97" i="40"/>
  <c r="P117" i="40" s="1"/>
  <c r="R34" i="40"/>
  <c r="F53" i="40"/>
  <c r="R53" i="40" s="1"/>
  <c r="R39" i="40"/>
  <c r="F58" i="40"/>
  <c r="R58" i="40" s="1"/>
  <c r="I93" i="40"/>
  <c r="I113" i="40" s="1"/>
  <c r="H92" i="40"/>
  <c r="H112" i="40" s="1"/>
  <c r="K93" i="40"/>
  <c r="K113" i="40" s="1"/>
  <c r="G92" i="40"/>
  <c r="G112" i="40" s="1"/>
  <c r="J93" i="40"/>
  <c r="J113" i="40" s="1"/>
  <c r="N92" i="40"/>
  <c r="N112" i="40" s="1"/>
  <c r="I92" i="40"/>
  <c r="I112" i="40" s="1"/>
  <c r="L93" i="40"/>
  <c r="L113" i="40" s="1"/>
  <c r="J92" i="40"/>
  <c r="J112" i="40" s="1"/>
  <c r="M93" i="40"/>
  <c r="M113" i="40" s="1"/>
  <c r="K92" i="40"/>
  <c r="K112" i="40" s="1"/>
  <c r="N93" i="40"/>
  <c r="N113" i="40" s="1"/>
  <c r="L92" i="40"/>
  <c r="L112" i="40" s="1"/>
  <c r="O93" i="40"/>
  <c r="O113" i="40" s="1"/>
  <c r="M92" i="40"/>
  <c r="M112" i="40" s="1"/>
  <c r="P93" i="40"/>
  <c r="P113" i="40" s="1"/>
  <c r="Q93" i="40"/>
  <c r="Q113" i="40" s="1"/>
  <c r="F92" i="40"/>
  <c r="G93" i="40"/>
  <c r="G113" i="40" s="1"/>
  <c r="H93" i="40"/>
  <c r="H113" i="40" s="1"/>
  <c r="O92" i="40"/>
  <c r="O112" i="40" s="1"/>
  <c r="P92" i="40"/>
  <c r="P112" i="40" s="1"/>
  <c r="Q92" i="40"/>
  <c r="Q112" i="40" s="1"/>
  <c r="F93" i="40"/>
  <c r="R33" i="40"/>
  <c r="F52" i="40"/>
  <c r="R52" i="40" s="1"/>
  <c r="R32" i="40"/>
  <c r="H51" i="40"/>
  <c r="R51" i="40" s="1"/>
  <c r="R27" i="40"/>
  <c r="F46" i="40"/>
  <c r="R46" i="40" s="1"/>
  <c r="R40" i="40"/>
  <c r="H59" i="40"/>
  <c r="R59" i="40" s="1"/>
  <c r="R31" i="40"/>
  <c r="F50" i="40"/>
  <c r="R50" i="40" s="1"/>
  <c r="R28" i="40"/>
  <c r="I47" i="40"/>
  <c r="R47" i="40" s="1"/>
  <c r="R30" i="40"/>
  <c r="F49" i="40"/>
  <c r="R49" i="40" s="1"/>
  <c r="AL49" i="40" s="1"/>
  <c r="O19" i="41"/>
  <c r="L19" i="41"/>
  <c r="L20" i="72" s="1"/>
  <c r="N19" i="41"/>
  <c r="G50" i="45"/>
  <c r="M8" i="62"/>
  <c r="K8" i="62"/>
  <c r="J197" i="37"/>
  <c r="J199" i="37" s="1"/>
  <c r="M49" i="41"/>
  <c r="K49" i="41"/>
  <c r="H197" i="37"/>
  <c r="H199" i="37" s="1"/>
  <c r="G18" i="48"/>
  <c r="M20" i="41"/>
  <c r="M23" i="41"/>
  <c r="M25" i="41"/>
  <c r="M21" i="41"/>
  <c r="M22" i="41"/>
  <c r="G7" i="55"/>
  <c r="G7" i="48" s="1"/>
  <c r="H204" i="37"/>
  <c r="J7" i="55"/>
  <c r="J7" i="48" s="1"/>
  <c r="J5" i="48" s="1"/>
  <c r="K204" i="37"/>
  <c r="H7" i="55"/>
  <c r="H7" i="48" s="1"/>
  <c r="H5" i="48" s="1"/>
  <c r="I204" i="37"/>
  <c r="I7" i="55"/>
  <c r="I7" i="48" s="1"/>
  <c r="I5" i="48" s="1"/>
  <c r="J204" i="37"/>
  <c r="K7" i="55"/>
  <c r="K5" i="55" s="1"/>
  <c r="L204" i="37"/>
  <c r="L66" i="41"/>
  <c r="L62" i="41"/>
  <c r="L67" i="41"/>
  <c r="L69" i="41"/>
  <c r="L65" i="41"/>
  <c r="L64" i="41"/>
  <c r="N62" i="41"/>
  <c r="N69" i="41"/>
  <c r="N65" i="41"/>
  <c r="N67" i="41"/>
  <c r="N66" i="41"/>
  <c r="N64" i="41"/>
  <c r="K18" i="41"/>
  <c r="M18" i="41"/>
  <c r="O6" i="62"/>
  <c r="O69" i="41"/>
  <c r="O66" i="41"/>
  <c r="O65" i="41"/>
  <c r="O21" i="41" s="1"/>
  <c r="O67" i="41"/>
  <c r="O62" i="41"/>
  <c r="O64" i="41"/>
  <c r="O20" i="41" s="1"/>
  <c r="I195" i="37"/>
  <c r="I197" i="37" s="1"/>
  <c r="L6" i="62"/>
  <c r="J18" i="48"/>
  <c r="N6" i="62"/>
  <c r="L195" i="37"/>
  <c r="L197" i="37" s="1"/>
  <c r="L199" i="37" s="1"/>
  <c r="K195" i="37"/>
  <c r="K197" i="37" s="1"/>
  <c r="K199" i="37" s="1"/>
  <c r="J50" i="45"/>
  <c r="I53" i="45"/>
  <c r="I52" i="56"/>
  <c r="I53" i="56" s="1"/>
  <c r="R49" i="56"/>
  <c r="R50" i="56" s="1"/>
  <c r="J53" i="45"/>
  <c r="K18" i="48"/>
  <c r="K50" i="45"/>
  <c r="H50" i="45"/>
  <c r="H53" i="45"/>
  <c r="Q21" i="64" l="1"/>
  <c r="O21" i="72"/>
  <c r="P20" i="64"/>
  <c r="N20" i="72"/>
  <c r="Q20" i="64"/>
  <c r="O20" i="72"/>
  <c r="Q22" i="64"/>
  <c r="O22" i="72"/>
  <c r="O21" i="64"/>
  <c r="M21" i="72"/>
  <c r="O23" i="64"/>
  <c r="M23" i="72"/>
  <c r="O22" i="64"/>
  <c r="M22" i="72"/>
  <c r="O26" i="64"/>
  <c r="M26" i="72"/>
  <c r="O24" i="64"/>
  <c r="M24" i="72"/>
  <c r="O19" i="64"/>
  <c r="M19" i="72"/>
  <c r="K5" i="41"/>
  <c r="K106" i="41" s="1"/>
  <c r="K163" i="41" s="1"/>
  <c r="K19" i="72"/>
  <c r="K6" i="72" s="1"/>
  <c r="K58" i="72" s="1"/>
  <c r="K127" i="72" s="1"/>
  <c r="N20" i="64"/>
  <c r="M19" i="64"/>
  <c r="M6" i="64" s="1"/>
  <c r="M58" i="64" s="1"/>
  <c r="M127" i="64" s="1"/>
  <c r="Q28" i="64"/>
  <c r="N28" i="64"/>
  <c r="P28" i="64"/>
  <c r="J60" i="40"/>
  <c r="K10" i="55" s="1"/>
  <c r="K10" i="48" s="1"/>
  <c r="P126" i="64"/>
  <c r="I119" i="40"/>
  <c r="K201" i="37" s="1"/>
  <c r="J119" i="40"/>
  <c r="L201" i="37" s="1"/>
  <c r="Q126" i="64"/>
  <c r="N126" i="64"/>
  <c r="I60" i="40"/>
  <c r="K200" i="37" s="1"/>
  <c r="AL51" i="40"/>
  <c r="AM51" i="40"/>
  <c r="AL57" i="40"/>
  <c r="AM57" i="40"/>
  <c r="AL58" i="40"/>
  <c r="AM58" i="40"/>
  <c r="AL29" i="40"/>
  <c r="AM29" i="40"/>
  <c r="AM32" i="40"/>
  <c r="AL32" i="40"/>
  <c r="AL28" i="40"/>
  <c r="AM28" i="40"/>
  <c r="AL34" i="40"/>
  <c r="AM34" i="40"/>
  <c r="G119" i="40"/>
  <c r="R89" i="40"/>
  <c r="F109" i="40"/>
  <c r="R109" i="40" s="1"/>
  <c r="AM31" i="40"/>
  <c r="AL31" i="40"/>
  <c r="R93" i="40"/>
  <c r="F113" i="40"/>
  <c r="R113" i="40" s="1"/>
  <c r="AM35" i="40"/>
  <c r="AL35" i="40"/>
  <c r="R94" i="40"/>
  <c r="F114" i="40"/>
  <c r="R114" i="40" s="1"/>
  <c r="AM59" i="40"/>
  <c r="AL59" i="40"/>
  <c r="R97" i="40"/>
  <c r="F117" i="40"/>
  <c r="R117" i="40" s="1"/>
  <c r="R86" i="40"/>
  <c r="F106" i="40"/>
  <c r="R106" i="40" s="1"/>
  <c r="R90" i="40"/>
  <c r="F110" i="40"/>
  <c r="R110" i="40" s="1"/>
  <c r="R96" i="40"/>
  <c r="F116" i="40"/>
  <c r="H60" i="40"/>
  <c r="R88" i="40"/>
  <c r="F108" i="40"/>
  <c r="R108" i="40" s="1"/>
  <c r="AL53" i="40"/>
  <c r="AM38" i="40"/>
  <c r="AL38" i="40"/>
  <c r="R99" i="40"/>
  <c r="AM47" i="40"/>
  <c r="AL47" i="40"/>
  <c r="AM49" i="40"/>
  <c r="R91" i="40"/>
  <c r="F111" i="40"/>
  <c r="R111" i="40" s="1"/>
  <c r="AL26" i="40"/>
  <c r="AM26" i="40"/>
  <c r="R36" i="40"/>
  <c r="F55" i="40"/>
  <c r="R55" i="40" s="1"/>
  <c r="AM53" i="40"/>
  <c r="AM40" i="40"/>
  <c r="AL40" i="40"/>
  <c r="R85" i="40"/>
  <c r="F105" i="40"/>
  <c r="R105" i="40" s="1"/>
  <c r="AM30" i="40"/>
  <c r="AL30" i="40"/>
  <c r="AL52" i="40"/>
  <c r="AM52" i="40"/>
  <c r="AL33" i="40"/>
  <c r="AM33" i="40"/>
  <c r="AL54" i="40"/>
  <c r="AM54" i="40"/>
  <c r="F104" i="40"/>
  <c r="R84" i="40"/>
  <c r="R98" i="40"/>
  <c r="F118" i="40"/>
  <c r="R118" i="40" s="1"/>
  <c r="R95" i="40"/>
  <c r="F115" i="40"/>
  <c r="R115" i="40" s="1"/>
  <c r="AM27" i="40"/>
  <c r="AL27" i="40"/>
  <c r="AL39" i="40"/>
  <c r="AM39" i="40"/>
  <c r="H119" i="40"/>
  <c r="R37" i="40"/>
  <c r="G56" i="40"/>
  <c r="G60" i="40" s="1"/>
  <c r="AM50" i="40"/>
  <c r="AL50" i="40"/>
  <c r="R92" i="40"/>
  <c r="F112" i="40"/>
  <c r="R112" i="40" s="1"/>
  <c r="AM48" i="40"/>
  <c r="AL48" i="40"/>
  <c r="R87" i="40"/>
  <c r="F107" i="40"/>
  <c r="R107" i="40" s="1"/>
  <c r="AM46" i="40"/>
  <c r="AL46" i="40"/>
  <c r="J5" i="55"/>
  <c r="I20" i="55"/>
  <c r="L8" i="62"/>
  <c r="O8" i="62"/>
  <c r="N8" i="62"/>
  <c r="I24" i="55"/>
  <c r="G24" i="55"/>
  <c r="G24" i="48" s="1"/>
  <c r="G23" i="48" s="1"/>
  <c r="O49" i="41"/>
  <c r="G5" i="55"/>
  <c r="L49" i="41"/>
  <c r="N49" i="41"/>
  <c r="G21" i="55"/>
  <c r="G21" i="48" s="1"/>
  <c r="I21" i="55"/>
  <c r="I21" i="48" s="1"/>
  <c r="M5" i="41"/>
  <c r="M106" i="41" s="1"/>
  <c r="K7" i="48"/>
  <c r="K5" i="48" s="1"/>
  <c r="I5" i="55"/>
  <c r="H5" i="55"/>
  <c r="N20" i="41"/>
  <c r="L25" i="41"/>
  <c r="L26" i="72" s="1"/>
  <c r="O22" i="41"/>
  <c r="N22" i="41"/>
  <c r="L23" i="41"/>
  <c r="L24" i="72" s="1"/>
  <c r="O25" i="41"/>
  <c r="N23" i="41"/>
  <c r="N21" i="41"/>
  <c r="L22" i="41"/>
  <c r="L23" i="72" s="1"/>
  <c r="N25" i="41"/>
  <c r="L20" i="41"/>
  <c r="L21" i="72" s="1"/>
  <c r="O23" i="41"/>
  <c r="L21" i="41"/>
  <c r="L22" i="72" s="1"/>
  <c r="I199" i="37"/>
  <c r="L18" i="41"/>
  <c r="N18" i="41"/>
  <c r="O18" i="41"/>
  <c r="R52" i="56"/>
  <c r="R53" i="56" s="1"/>
  <c r="H18" i="48"/>
  <c r="G5" i="48"/>
  <c r="P26" i="64" l="1"/>
  <c r="N26" i="72"/>
  <c r="P24" i="64"/>
  <c r="N24" i="72"/>
  <c r="Q26" i="64"/>
  <c r="O26" i="72"/>
  <c r="P23" i="64"/>
  <c r="N23" i="72"/>
  <c r="Q23" i="64"/>
  <c r="O23" i="72"/>
  <c r="P22" i="64"/>
  <c r="N22" i="72"/>
  <c r="P21" i="64"/>
  <c r="N21" i="72"/>
  <c r="Q24" i="64"/>
  <c r="O24" i="72"/>
  <c r="M6" i="72"/>
  <c r="M58" i="72" s="1"/>
  <c r="M127" i="72" s="1"/>
  <c r="O6" i="64"/>
  <c r="O58" i="64" s="1"/>
  <c r="O127" i="64" s="1"/>
  <c r="Q19" i="64"/>
  <c r="O19" i="72"/>
  <c r="N19" i="64"/>
  <c r="L19" i="72"/>
  <c r="L6" i="72" s="1"/>
  <c r="L58" i="72" s="1"/>
  <c r="L127" i="72" s="1"/>
  <c r="P19" i="64"/>
  <c r="N19" i="72"/>
  <c r="G15" i="55"/>
  <c r="J11" i="55"/>
  <c r="J11" i="48" s="1"/>
  <c r="J41" i="40"/>
  <c r="L200" i="37"/>
  <c r="L202" i="37" s="1"/>
  <c r="L203" i="37" s="1"/>
  <c r="L205" i="37" s="1"/>
  <c r="K11" i="55"/>
  <c r="K11" i="48" s="1"/>
  <c r="K9" i="48" s="1"/>
  <c r="K19" i="48" s="1"/>
  <c r="N26" i="64"/>
  <c r="N23" i="64"/>
  <c r="N22" i="64"/>
  <c r="N21" i="64"/>
  <c r="N24" i="64"/>
  <c r="J10" i="55"/>
  <c r="J10" i="48" s="1"/>
  <c r="I41" i="40"/>
  <c r="I200" i="37"/>
  <c r="H10" i="55"/>
  <c r="H10" i="48" s="1"/>
  <c r="G41" i="40"/>
  <c r="AL111" i="40"/>
  <c r="AM111" i="40"/>
  <c r="AM110" i="40"/>
  <c r="AL110" i="40"/>
  <c r="AL99" i="40"/>
  <c r="AM99" i="40"/>
  <c r="AM117" i="40"/>
  <c r="AL117" i="40"/>
  <c r="I201" i="37"/>
  <c r="H11" i="55"/>
  <c r="AL114" i="40"/>
  <c r="AM114" i="40"/>
  <c r="AM115" i="40"/>
  <c r="AL115" i="40"/>
  <c r="AL88" i="40"/>
  <c r="AM88" i="40"/>
  <c r="AM94" i="40"/>
  <c r="AL94" i="40"/>
  <c r="I11" i="55"/>
  <c r="I11" i="48" s="1"/>
  <c r="J201" i="37"/>
  <c r="AM97" i="40"/>
  <c r="AL97" i="40"/>
  <c r="AL92" i="40"/>
  <c r="AM92" i="40"/>
  <c r="AL118" i="40"/>
  <c r="AM118" i="40"/>
  <c r="AM86" i="40"/>
  <c r="AL86" i="40"/>
  <c r="AL107" i="40"/>
  <c r="AM107" i="40"/>
  <c r="AM87" i="40"/>
  <c r="AL87" i="40"/>
  <c r="F60" i="40"/>
  <c r="AL108" i="40"/>
  <c r="AM108" i="40"/>
  <c r="R56" i="40"/>
  <c r="AL98" i="40"/>
  <c r="AM98" i="40"/>
  <c r="AL105" i="40"/>
  <c r="AM105" i="40"/>
  <c r="AL96" i="40"/>
  <c r="AM96" i="40"/>
  <c r="AM113" i="40"/>
  <c r="AL113" i="40"/>
  <c r="AL109" i="40"/>
  <c r="AM109" i="40"/>
  <c r="AM55" i="40"/>
  <c r="AL55" i="40"/>
  <c r="AM95" i="40"/>
  <c r="AL95" i="40"/>
  <c r="AM84" i="40"/>
  <c r="AL84" i="40"/>
  <c r="AM85" i="40"/>
  <c r="AL85" i="40"/>
  <c r="AM93" i="40"/>
  <c r="AL93" i="40"/>
  <c r="AM106" i="40"/>
  <c r="AL106" i="40"/>
  <c r="AL37" i="40"/>
  <c r="AM37" i="40"/>
  <c r="AL89" i="40"/>
  <c r="AM89" i="40"/>
  <c r="AL36" i="40"/>
  <c r="AM36" i="40"/>
  <c r="AL112" i="40"/>
  <c r="AM112" i="40"/>
  <c r="AL91" i="40"/>
  <c r="AM91" i="40"/>
  <c r="J200" i="37"/>
  <c r="I10" i="55"/>
  <c r="H41" i="40"/>
  <c r="F119" i="40"/>
  <c r="AM90" i="40"/>
  <c r="AL90" i="40"/>
  <c r="H20" i="55"/>
  <c r="J20" i="55"/>
  <c r="K20" i="55"/>
  <c r="G23" i="55"/>
  <c r="H24" i="55"/>
  <c r="K202" i="37"/>
  <c r="K203" i="37" s="1"/>
  <c r="K205" i="37" s="1"/>
  <c r="K24" i="55"/>
  <c r="J24" i="55"/>
  <c r="I23" i="55"/>
  <c r="I24" i="48"/>
  <c r="I23" i="48" s="1"/>
  <c r="H21" i="55"/>
  <c r="H21" i="48" s="1"/>
  <c r="L5" i="41"/>
  <c r="L106" i="41" s="1"/>
  <c r="J21" i="55"/>
  <c r="J21" i="48" s="1"/>
  <c r="N5" i="41"/>
  <c r="N106" i="41" s="1"/>
  <c r="O5" i="41"/>
  <c r="O106" i="41" s="1"/>
  <c r="K21" i="55"/>
  <c r="K21" i="48" s="1"/>
  <c r="Q6" i="64" l="1"/>
  <c r="Q58" i="64" s="1"/>
  <c r="Q127" i="64" s="1"/>
  <c r="P6" i="64"/>
  <c r="P58" i="64" s="1"/>
  <c r="P127" i="64" s="1"/>
  <c r="O6" i="72"/>
  <c r="O58" i="72" s="1"/>
  <c r="O127" i="72" s="1"/>
  <c r="N6" i="72"/>
  <c r="N58" i="72" s="1"/>
  <c r="N127" i="72" s="1"/>
  <c r="J9" i="48"/>
  <c r="J19" i="48" s="1"/>
  <c r="J9" i="55"/>
  <c r="J19" i="55" s="1"/>
  <c r="K9" i="55"/>
  <c r="K19" i="55" s="1"/>
  <c r="N6" i="64"/>
  <c r="N58" i="64" s="1"/>
  <c r="N127" i="64" s="1"/>
  <c r="J202" i="37"/>
  <c r="J203" i="37" s="1"/>
  <c r="J205" i="37" s="1"/>
  <c r="I202" i="37"/>
  <c r="I203" i="37" s="1"/>
  <c r="I205" i="37" s="1"/>
  <c r="AL56" i="40"/>
  <c r="AM56" i="40"/>
  <c r="H9" i="55"/>
  <c r="H19" i="55" s="1"/>
  <c r="H11" i="48"/>
  <c r="H9" i="48" s="1"/>
  <c r="H19" i="48" s="1"/>
  <c r="I10" i="48"/>
  <c r="I9" i="48" s="1"/>
  <c r="I19" i="48" s="1"/>
  <c r="I9" i="55"/>
  <c r="I19" i="55" s="1"/>
  <c r="H200" i="37"/>
  <c r="F41" i="40"/>
  <c r="G10" i="55"/>
  <c r="H201" i="37"/>
  <c r="G11" i="55"/>
  <c r="G11" i="48" s="1"/>
  <c r="H24" i="48"/>
  <c r="H23" i="48" s="1"/>
  <c r="H23" i="55"/>
  <c r="J23" i="55"/>
  <c r="J24" i="48"/>
  <c r="J23" i="48" s="1"/>
  <c r="K23" i="55"/>
  <c r="K24" i="48"/>
  <c r="K23" i="48" s="1"/>
  <c r="G20" i="48"/>
  <c r="G15" i="48" s="1"/>
  <c r="G14" i="48" s="1"/>
  <c r="G14" i="55"/>
  <c r="I20" i="48"/>
  <c r="I15" i="48" s="1"/>
  <c r="I14" i="48" s="1"/>
  <c r="I15" i="55"/>
  <c r="I14" i="55" l="1"/>
  <c r="I25" i="48"/>
  <c r="I32" i="48" s="1"/>
  <c r="I33" i="48" s="1"/>
  <c r="G10" i="48"/>
  <c r="G9" i="48" s="1"/>
  <c r="G9" i="55"/>
  <c r="G19" i="55" s="1"/>
  <c r="H202" i="37"/>
  <c r="H203" i="37" s="1"/>
  <c r="H205" i="37" s="1"/>
  <c r="H20" i="48"/>
  <c r="H15" i="48" s="1"/>
  <c r="H14" i="48" s="1"/>
  <c r="H25" i="48" s="1"/>
  <c r="H15" i="55"/>
  <c r="K20" i="48"/>
  <c r="K15" i="48" s="1"/>
  <c r="K14" i="48" s="1"/>
  <c r="K15" i="55"/>
  <c r="J20" i="48"/>
  <c r="J15" i="48" s="1"/>
  <c r="J14" i="48" s="1"/>
  <c r="J25" i="48" s="1"/>
  <c r="J15" i="55"/>
  <c r="I25" i="55" l="1"/>
  <c r="I32" i="55" s="1"/>
  <c r="J14" i="55"/>
  <c r="K14" i="55"/>
  <c r="H14" i="55"/>
  <c r="G25" i="55"/>
  <c r="I26" i="48"/>
  <c r="G19" i="48"/>
  <c r="G25" i="48"/>
  <c r="J32" i="48"/>
  <c r="J26" i="48"/>
  <c r="H26" i="48"/>
  <c r="H32" i="48"/>
  <c r="K25" i="48"/>
  <c r="I26" i="55" l="1"/>
  <c r="I33" i="55"/>
  <c r="H25" i="55"/>
  <c r="G26" i="55"/>
  <c r="K25" i="55"/>
  <c r="J25" i="55"/>
  <c r="G32" i="55"/>
  <c r="G32" i="48"/>
  <c r="G26" i="48"/>
  <c r="H33" i="48"/>
  <c r="J33" i="48"/>
  <c r="K32" i="48"/>
  <c r="K26" i="48"/>
  <c r="J32" i="55" l="1"/>
  <c r="J26" i="55"/>
  <c r="K32" i="55"/>
  <c r="K26" i="55"/>
  <c r="H32" i="55"/>
  <c r="H26" i="55"/>
  <c r="G33" i="55"/>
  <c r="G33" i="48"/>
  <c r="K33" i="48"/>
  <c r="H33" i="55" l="1"/>
  <c r="K33" i="55"/>
  <c r="J33" i="55"/>
  <c r="F107" i="38"/>
  <c r="F108" i="38" s="1"/>
  <c r="J107" i="38"/>
  <c r="J108" i="38" s="1"/>
  <c r="H107" i="38"/>
  <c r="H108" i="38" s="1"/>
  <c r="I107" i="38"/>
  <c r="I108" i="38" s="1"/>
  <c r="G107" i="38"/>
  <c r="G108" i="38" s="1"/>
  <c r="M107" i="38"/>
  <c r="M108" i="38" s="1"/>
  <c r="O59" i="37"/>
  <c r="O63" i="37"/>
  <c r="O107" i="38"/>
  <c r="O108" i="38" s="1"/>
  <c r="Q59" i="37"/>
  <c r="N107" i="38"/>
  <c r="N108" i="38" s="1"/>
  <c r="P59" i="37"/>
  <c r="P63" i="37"/>
  <c r="P107" i="38"/>
  <c r="P108" i="38" s="1"/>
  <c r="R59" i="37"/>
  <c r="R63" i="37"/>
  <c r="R102" i="37" s="1"/>
  <c r="Q107" i="38"/>
  <c r="Q108" i="38" s="1"/>
  <c r="L107" i="38"/>
  <c r="L108" i="38" s="1"/>
  <c r="N59" i="37"/>
  <c r="N63" i="37"/>
  <c r="K107" i="38"/>
  <c r="K108" i="38" s="1"/>
  <c r="M63" i="37"/>
  <c r="R168" i="37" l="1"/>
  <c r="R183" i="37" s="1"/>
  <c r="R190" i="37" s="1"/>
  <c r="R82" i="37"/>
  <c r="R121" i="37"/>
  <c r="P65" i="40" s="1"/>
  <c r="P104" i="40" s="1"/>
  <c r="R78" i="37"/>
  <c r="U41" i="41" s="1"/>
  <c r="M78" i="37"/>
  <c r="P41" i="41" s="1"/>
  <c r="M102" i="37"/>
  <c r="N102" i="37"/>
  <c r="S59" i="37"/>
  <c r="S63" i="37"/>
  <c r="P102" i="37"/>
  <c r="P82" i="37" s="1"/>
  <c r="N78" i="37"/>
  <c r="Q41" i="41" s="1"/>
  <c r="T44" i="37"/>
  <c r="T59" i="37" s="1"/>
  <c r="M59" i="37"/>
  <c r="Q63" i="37"/>
  <c r="P78" i="37"/>
  <c r="S41" i="41" s="1"/>
  <c r="R117" i="37"/>
  <c r="O102" i="37"/>
  <c r="O78" i="37"/>
  <c r="R41" i="41" s="1"/>
  <c r="N173" i="63" l="1"/>
  <c r="N175" i="63" s="1"/>
  <c r="P51" i="43"/>
  <c r="P78" i="43" s="1"/>
  <c r="P56" i="39" s="1"/>
  <c r="R191" i="37"/>
  <c r="R196" i="37" s="1"/>
  <c r="Q18" i="55"/>
  <c r="U44" i="41"/>
  <c r="U43" i="41"/>
  <c r="U47" i="41"/>
  <c r="U42" i="41"/>
  <c r="U45" i="41"/>
  <c r="U40" i="41"/>
  <c r="S43" i="41"/>
  <c r="S44" i="41"/>
  <c r="S47" i="41"/>
  <c r="S42" i="41"/>
  <c r="S45" i="41"/>
  <c r="S40" i="41"/>
  <c r="R43" i="41"/>
  <c r="R44" i="41"/>
  <c r="R47" i="41"/>
  <c r="R42" i="41"/>
  <c r="R45" i="41"/>
  <c r="R40" i="41"/>
  <c r="Q43" i="41"/>
  <c r="Q44" i="41"/>
  <c r="Q47" i="41"/>
  <c r="Q42" i="41"/>
  <c r="Q45" i="41"/>
  <c r="Q40" i="41"/>
  <c r="P43" i="41"/>
  <c r="P44" i="41"/>
  <c r="P47" i="41"/>
  <c r="P42" i="41"/>
  <c r="P45" i="41"/>
  <c r="P40" i="41"/>
  <c r="O168" i="37"/>
  <c r="O183" i="37" s="1"/>
  <c r="O190" i="37" s="1"/>
  <c r="O82" i="37"/>
  <c r="M7" i="40" s="1"/>
  <c r="M168" i="37"/>
  <c r="M183" i="37" s="1"/>
  <c r="M190" i="37" s="1"/>
  <c r="M82" i="37"/>
  <c r="M97" i="37" s="1"/>
  <c r="N168" i="37"/>
  <c r="N183" i="37" s="1"/>
  <c r="N190" i="37" s="1"/>
  <c r="N82" i="37"/>
  <c r="N97" i="37" s="1"/>
  <c r="P121" i="37"/>
  <c r="N65" i="40" s="1"/>
  <c r="N104" i="40" s="1"/>
  <c r="P168" i="37"/>
  <c r="P183" i="37" s="1"/>
  <c r="P190" i="37" s="1"/>
  <c r="M121" i="37"/>
  <c r="K65" i="40" s="1"/>
  <c r="K104" i="40" s="1"/>
  <c r="O121" i="37"/>
  <c r="M65" i="40" s="1"/>
  <c r="M104" i="40" s="1"/>
  <c r="N121" i="37"/>
  <c r="L65" i="40" s="1"/>
  <c r="L104" i="40" s="1"/>
  <c r="N7" i="40"/>
  <c r="Q34" i="45"/>
  <c r="R50" i="39"/>
  <c r="R49" i="39" s="1"/>
  <c r="Q33" i="45"/>
  <c r="R97" i="37"/>
  <c r="P7" i="40"/>
  <c r="Q78" i="37"/>
  <c r="T41" i="41" s="1"/>
  <c r="Q102" i="37"/>
  <c r="N117" i="37"/>
  <c r="O117" i="37"/>
  <c r="M117" i="37"/>
  <c r="P77" i="40"/>
  <c r="P116" i="40" s="1"/>
  <c r="N50" i="39"/>
  <c r="M33" i="45"/>
  <c r="M34" i="45"/>
  <c r="L34" i="45"/>
  <c r="M50" i="39"/>
  <c r="L33" i="45"/>
  <c r="S78" i="37"/>
  <c r="V41" i="41" s="1"/>
  <c r="S102" i="37"/>
  <c r="N34" i="45"/>
  <c r="O50" i="39"/>
  <c r="N33" i="45"/>
  <c r="P50" i="39"/>
  <c r="O33" i="45"/>
  <c r="O34" i="45"/>
  <c r="P117" i="37"/>
  <c r="T63" i="37"/>
  <c r="T78" i="37" s="1"/>
  <c r="W41" i="41" l="1"/>
  <c r="P79" i="43"/>
  <c r="Z357" i="67"/>
  <c r="Q5" i="62"/>
  <c r="P5" i="62"/>
  <c r="U5" i="62"/>
  <c r="P173" i="63"/>
  <c r="P175" i="63" s="1"/>
  <c r="R51" i="43"/>
  <c r="R78" i="43" s="1"/>
  <c r="R56" i="39" s="1"/>
  <c r="R55" i="39" s="1"/>
  <c r="L173" i="63"/>
  <c r="L175" i="63" s="1"/>
  <c r="N51" i="43"/>
  <c r="N78" i="43" s="1"/>
  <c r="N56" i="39" s="1"/>
  <c r="M173" i="63"/>
  <c r="M175" i="63" s="1"/>
  <c r="O51" i="43"/>
  <c r="O78" i="43" s="1"/>
  <c r="O56" i="39" s="1"/>
  <c r="O55" i="39" s="1"/>
  <c r="O173" i="63"/>
  <c r="O175" i="63" s="1"/>
  <c r="Q51" i="43"/>
  <c r="Q78" i="43" s="1"/>
  <c r="Q56" i="39" s="1"/>
  <c r="S27" i="41"/>
  <c r="R27" i="41"/>
  <c r="Q27" i="41"/>
  <c r="P27" i="41"/>
  <c r="U27" i="41"/>
  <c r="N191" i="37"/>
  <c r="N196" i="37" s="1"/>
  <c r="M18" i="55"/>
  <c r="M191" i="37"/>
  <c r="M196" i="37" s="1"/>
  <c r="L18" i="55"/>
  <c r="O191" i="37"/>
  <c r="O196" i="37" s="1"/>
  <c r="N18" i="55"/>
  <c r="L7" i="40"/>
  <c r="L22" i="40" s="1"/>
  <c r="P191" i="37"/>
  <c r="P196" i="37" s="1"/>
  <c r="O18" i="55"/>
  <c r="V44" i="41"/>
  <c r="V43" i="41"/>
  <c r="V47" i="41"/>
  <c r="V42" i="41"/>
  <c r="V45" i="41"/>
  <c r="V40" i="41"/>
  <c r="T44" i="41"/>
  <c r="T43" i="41"/>
  <c r="T47" i="41"/>
  <c r="T42" i="41"/>
  <c r="T45" i="41"/>
  <c r="T40" i="41"/>
  <c r="Q168" i="37"/>
  <c r="Q183" i="37" s="1"/>
  <c r="Q190" i="37" s="1"/>
  <c r="Q82" i="37"/>
  <c r="S168" i="37"/>
  <c r="S183" i="37" s="1"/>
  <c r="S190" i="37" s="1"/>
  <c r="S82" i="37"/>
  <c r="Q7" i="40" s="1"/>
  <c r="P97" i="37"/>
  <c r="Q32" i="45"/>
  <c r="Q51" i="45" s="1"/>
  <c r="K7" i="40"/>
  <c r="K45" i="40" s="1"/>
  <c r="K60" i="40" s="1"/>
  <c r="M200" i="37" s="1"/>
  <c r="Q121" i="37"/>
  <c r="O65" i="40" s="1"/>
  <c r="O104" i="40" s="1"/>
  <c r="S121" i="37"/>
  <c r="Q65" i="40" s="1"/>
  <c r="Q104" i="40" s="1"/>
  <c r="T102" i="37"/>
  <c r="T117" i="37" s="1"/>
  <c r="P22" i="40"/>
  <c r="Q6" i="55" s="1"/>
  <c r="Q6" i="48" s="1"/>
  <c r="P45" i="40"/>
  <c r="P60" i="40" s="1"/>
  <c r="R200" i="37" s="1"/>
  <c r="R136" i="37"/>
  <c r="U63" i="41" s="1"/>
  <c r="U19" i="41" s="1"/>
  <c r="L77" i="40"/>
  <c r="L116" i="40" s="1"/>
  <c r="O32" i="45"/>
  <c r="O49" i="39"/>
  <c r="S117" i="37"/>
  <c r="L32" i="45"/>
  <c r="Q117" i="37"/>
  <c r="M49" i="39"/>
  <c r="N22" i="40"/>
  <c r="N45" i="40"/>
  <c r="N60" i="40" s="1"/>
  <c r="P200" i="37" s="1"/>
  <c r="O97" i="37"/>
  <c r="N77" i="40"/>
  <c r="N116" i="40" s="1"/>
  <c r="M77" i="40"/>
  <c r="M116" i="40" s="1"/>
  <c r="N32" i="45"/>
  <c r="M32" i="45"/>
  <c r="P55" i="39"/>
  <c r="P49" i="39"/>
  <c r="S50" i="39"/>
  <c r="R33" i="45"/>
  <c r="R34" i="45"/>
  <c r="N49" i="39"/>
  <c r="N55" i="39"/>
  <c r="P34" i="45"/>
  <c r="Q50" i="39"/>
  <c r="P33" i="45"/>
  <c r="K77" i="40"/>
  <c r="K116" i="40" s="1"/>
  <c r="W60" i="64" l="1"/>
  <c r="W64" i="64" s="1"/>
  <c r="U60" i="72"/>
  <c r="U64" i="72" s="1"/>
  <c r="W20" i="64"/>
  <c r="U20" i="72"/>
  <c r="R60" i="64"/>
  <c r="R64" i="64" s="1"/>
  <c r="P60" i="72"/>
  <c r="S60" i="64"/>
  <c r="S64" i="64" s="1"/>
  <c r="Q60" i="72"/>
  <c r="Q64" i="72" s="1"/>
  <c r="W70" i="64"/>
  <c r="W47" i="41"/>
  <c r="W69" i="64"/>
  <c r="W71" i="64"/>
  <c r="W82" i="64"/>
  <c r="W44" i="64"/>
  <c r="W42" i="41"/>
  <c r="W40" i="41"/>
  <c r="R79" i="43"/>
  <c r="AB357" i="67"/>
  <c r="Q79" i="43"/>
  <c r="AA357" i="67"/>
  <c r="N79" i="43"/>
  <c r="X357" i="67"/>
  <c r="O79" i="43"/>
  <c r="Y357" i="67"/>
  <c r="W45" i="41"/>
  <c r="W43" i="41"/>
  <c r="W44" i="41"/>
  <c r="W31" i="64"/>
  <c r="W49" i="64"/>
  <c r="W39" i="64"/>
  <c r="W81" i="64"/>
  <c r="W78" i="64"/>
  <c r="W93" i="64"/>
  <c r="W121" i="64"/>
  <c r="W85" i="64"/>
  <c r="W120" i="64"/>
  <c r="W117" i="64"/>
  <c r="W36" i="64"/>
  <c r="W15" i="64"/>
  <c r="W103" i="64"/>
  <c r="W123" i="64"/>
  <c r="W16" i="64"/>
  <c r="W83" i="64"/>
  <c r="W113" i="64"/>
  <c r="W90" i="64"/>
  <c r="W34" i="64"/>
  <c r="W9" i="64"/>
  <c r="W54" i="64"/>
  <c r="W86" i="64"/>
  <c r="W47" i="64"/>
  <c r="W115" i="64"/>
  <c r="W33" i="64"/>
  <c r="W10" i="64"/>
  <c r="W79" i="64"/>
  <c r="W51" i="64"/>
  <c r="W91" i="64"/>
  <c r="W122" i="64"/>
  <c r="W107" i="64"/>
  <c r="W8" i="64"/>
  <c r="W67" i="64"/>
  <c r="W48" i="64"/>
  <c r="W112" i="64"/>
  <c r="W87" i="64"/>
  <c r="W41" i="64"/>
  <c r="W30" i="64"/>
  <c r="W32" i="64"/>
  <c r="W76" i="64"/>
  <c r="W110" i="64"/>
  <c r="W75" i="64"/>
  <c r="W114" i="64"/>
  <c r="W116" i="64"/>
  <c r="R5" i="62"/>
  <c r="W74" i="64"/>
  <c r="W7" i="64"/>
  <c r="W104" i="64"/>
  <c r="W42" i="64"/>
  <c r="W38" i="64"/>
  <c r="W92" i="64"/>
  <c r="W89" i="64"/>
  <c r="W12" i="64"/>
  <c r="W29" i="64"/>
  <c r="W55" i="64"/>
  <c r="W46" i="64"/>
  <c r="W88" i="64"/>
  <c r="W43" i="64"/>
  <c r="W13" i="64"/>
  <c r="W37" i="64"/>
  <c r="W40" i="64"/>
  <c r="W119" i="64"/>
  <c r="W118" i="64"/>
  <c r="W111" i="64"/>
  <c r="W97" i="64"/>
  <c r="W72" i="64"/>
  <c r="W17" i="64"/>
  <c r="W77" i="64"/>
  <c r="W100" i="64"/>
  <c r="W109" i="64"/>
  <c r="W101" i="64"/>
  <c r="W18" i="64"/>
  <c r="W66" i="64"/>
  <c r="W124" i="64"/>
  <c r="W53" i="64"/>
  <c r="W106" i="64"/>
  <c r="W105" i="64"/>
  <c r="W84" i="64"/>
  <c r="W45" i="64"/>
  <c r="W102" i="64"/>
  <c r="W25" i="64"/>
  <c r="W108" i="64"/>
  <c r="W11" i="64"/>
  <c r="W14" i="64"/>
  <c r="W73" i="64"/>
  <c r="W94" i="64"/>
  <c r="W99" i="64"/>
  <c r="S5" i="62"/>
  <c r="W68" i="64"/>
  <c r="W35" i="64"/>
  <c r="W80" i="64"/>
  <c r="W52" i="64"/>
  <c r="W96" i="64"/>
  <c r="W95" i="64"/>
  <c r="W50" i="64"/>
  <c r="W98" i="64"/>
  <c r="AQ41" i="41"/>
  <c r="AR41" i="41"/>
  <c r="Q173" i="63"/>
  <c r="Q175" i="63" s="1"/>
  <c r="S51" i="43"/>
  <c r="S78" i="43" s="1"/>
  <c r="S56" i="39" s="1"/>
  <c r="K173" i="63"/>
  <c r="K175" i="63" s="1"/>
  <c r="M51" i="43"/>
  <c r="M78" i="43" s="1"/>
  <c r="M56" i="39" s="1"/>
  <c r="O7" i="40"/>
  <c r="T82" i="37"/>
  <c r="T97" i="37" s="1"/>
  <c r="L45" i="40"/>
  <c r="L60" i="40" s="1"/>
  <c r="V27" i="41"/>
  <c r="T27" i="41"/>
  <c r="S191" i="37"/>
  <c r="S196" i="37" s="1"/>
  <c r="R18" i="55"/>
  <c r="Q191" i="37"/>
  <c r="Q196" i="37" s="1"/>
  <c r="P18" i="55"/>
  <c r="U66" i="41"/>
  <c r="U62" i="41"/>
  <c r="U69" i="41"/>
  <c r="U65" i="41"/>
  <c r="U64" i="41"/>
  <c r="U20" i="41" s="1"/>
  <c r="U67" i="41"/>
  <c r="U23" i="41" s="1"/>
  <c r="R195" i="37"/>
  <c r="R197" i="37" s="1"/>
  <c r="R199" i="37" s="1"/>
  <c r="U6" i="62"/>
  <c r="T51" i="43"/>
  <c r="T78" i="43" s="1"/>
  <c r="T79" i="43" s="1"/>
  <c r="T168" i="37"/>
  <c r="T183" i="37" s="1"/>
  <c r="T190" i="37" s="1"/>
  <c r="T191" i="37" s="1"/>
  <c r="Q54" i="45"/>
  <c r="Q25" i="45"/>
  <c r="Q49" i="45" s="1"/>
  <c r="K22" i="40"/>
  <c r="L6" i="55" s="1"/>
  <c r="L6" i="48" s="1"/>
  <c r="S97" i="37"/>
  <c r="L10" i="55"/>
  <c r="L10" i="48" s="1"/>
  <c r="Q10" i="55"/>
  <c r="Q10" i="48" s="1"/>
  <c r="P41" i="40"/>
  <c r="O10" i="55"/>
  <c r="O10" i="48" s="1"/>
  <c r="N41" i="40"/>
  <c r="S34" i="45"/>
  <c r="T121" i="37"/>
  <c r="S33" i="45"/>
  <c r="N136" i="37"/>
  <c r="M6" i="55"/>
  <c r="Q77" i="40"/>
  <c r="Q116" i="40" s="1"/>
  <c r="Q49" i="39"/>
  <c r="Q55" i="39"/>
  <c r="O77" i="40"/>
  <c r="O116" i="40" s="1"/>
  <c r="R32" i="45"/>
  <c r="Q22" i="40"/>
  <c r="Q45" i="40"/>
  <c r="Q60" i="40" s="1"/>
  <c r="S200" i="37" s="1"/>
  <c r="O136" i="37"/>
  <c r="R63" i="41" s="1"/>
  <c r="O51" i="45"/>
  <c r="O25" i="45"/>
  <c r="O49" i="45" s="1"/>
  <c r="O54" i="45"/>
  <c r="O6" i="55"/>
  <c r="P32" i="45"/>
  <c r="N25" i="45"/>
  <c r="N49" i="45" s="1"/>
  <c r="N51" i="45"/>
  <c r="N54" i="45"/>
  <c r="S55" i="39"/>
  <c r="S49" i="39"/>
  <c r="T50" i="39"/>
  <c r="T49" i="39" s="1"/>
  <c r="M80" i="40"/>
  <c r="M119" i="40"/>
  <c r="N80" i="40"/>
  <c r="N119" i="40"/>
  <c r="M136" i="37"/>
  <c r="L119" i="40"/>
  <c r="L80" i="40"/>
  <c r="N204" i="37" s="1"/>
  <c r="M25" i="45"/>
  <c r="M49" i="45" s="1"/>
  <c r="M51" i="45"/>
  <c r="M54" i="45"/>
  <c r="P136" i="37"/>
  <c r="S63" i="41" s="1"/>
  <c r="Q18" i="48"/>
  <c r="Q97" i="37"/>
  <c r="M45" i="40"/>
  <c r="M60" i="40" s="1"/>
  <c r="O200" i="37" s="1"/>
  <c r="M22" i="40"/>
  <c r="L51" i="45"/>
  <c r="L25" i="45"/>
  <c r="L49" i="45" s="1"/>
  <c r="L54" i="45"/>
  <c r="P119" i="40"/>
  <c r="P80" i="40"/>
  <c r="R204" i="37" s="1"/>
  <c r="M55" i="39" l="1"/>
  <c r="T56" i="39"/>
  <c r="P64" i="72"/>
  <c r="W24" i="64"/>
  <c r="U24" i="72"/>
  <c r="W21" i="64"/>
  <c r="U21" i="72"/>
  <c r="U60" i="64"/>
  <c r="U64" i="64" s="1"/>
  <c r="S60" i="72"/>
  <c r="S64" i="72" s="1"/>
  <c r="T60" i="64"/>
  <c r="T64" i="64" s="1"/>
  <c r="R60" i="72"/>
  <c r="R64" i="72" s="1"/>
  <c r="T31" i="64"/>
  <c r="M79" i="43"/>
  <c r="W357" i="67"/>
  <c r="S79" i="43"/>
  <c r="AC357" i="67"/>
  <c r="T70" i="64"/>
  <c r="T94" i="64"/>
  <c r="T86" i="64"/>
  <c r="T119" i="64"/>
  <c r="T108" i="64"/>
  <c r="T87" i="64"/>
  <c r="U109" i="64"/>
  <c r="U107" i="64"/>
  <c r="V5" i="62"/>
  <c r="U7" i="64"/>
  <c r="U15" i="64"/>
  <c r="U123" i="64"/>
  <c r="U81" i="64"/>
  <c r="U25" i="64"/>
  <c r="U90" i="64"/>
  <c r="T33" i="64"/>
  <c r="T35" i="64"/>
  <c r="T80" i="64"/>
  <c r="T104" i="64"/>
  <c r="T92" i="64"/>
  <c r="T117" i="64"/>
  <c r="T83" i="64"/>
  <c r="T97" i="64"/>
  <c r="U110" i="64"/>
  <c r="U36" i="64"/>
  <c r="U11" i="64"/>
  <c r="U124" i="64"/>
  <c r="U52" i="64"/>
  <c r="U84" i="64"/>
  <c r="U121" i="64"/>
  <c r="U100" i="64"/>
  <c r="U97" i="64"/>
  <c r="T9" i="64"/>
  <c r="T69" i="64"/>
  <c r="T49" i="64"/>
  <c r="T52" i="64"/>
  <c r="T98" i="64"/>
  <c r="T106" i="64"/>
  <c r="U33" i="64"/>
  <c r="U12" i="64"/>
  <c r="U56" i="64"/>
  <c r="U44" i="64"/>
  <c r="U47" i="64"/>
  <c r="U42" i="64"/>
  <c r="U83" i="64"/>
  <c r="U96" i="64"/>
  <c r="T10" i="64"/>
  <c r="T71" i="64"/>
  <c r="T44" i="64"/>
  <c r="T40" i="64"/>
  <c r="T41" i="64"/>
  <c r="T113" i="64"/>
  <c r="T96" i="64"/>
  <c r="Q63" i="41"/>
  <c r="Q19" i="41" s="1"/>
  <c r="S102" i="64"/>
  <c r="S119" i="64"/>
  <c r="S41" i="64"/>
  <c r="S53" i="64"/>
  <c r="S82" i="64"/>
  <c r="S71" i="64"/>
  <c r="S31" i="64"/>
  <c r="S88" i="64"/>
  <c r="S75" i="64"/>
  <c r="S84" i="64"/>
  <c r="S120" i="64"/>
  <c r="S51" i="64"/>
  <c r="S40" i="64"/>
  <c r="S74" i="64"/>
  <c r="S30" i="64"/>
  <c r="S115" i="64"/>
  <c r="S78" i="64"/>
  <c r="S98" i="64"/>
  <c r="S116" i="64"/>
  <c r="S79" i="64"/>
  <c r="S123" i="64"/>
  <c r="S9" i="64"/>
  <c r="S33" i="64"/>
  <c r="S122" i="64"/>
  <c r="S81" i="64"/>
  <c r="S108" i="64"/>
  <c r="S50" i="64"/>
  <c r="S86" i="64"/>
  <c r="S124" i="64"/>
  <c r="S70" i="64"/>
  <c r="S12" i="64"/>
  <c r="S16" i="64"/>
  <c r="S91" i="64"/>
  <c r="S117" i="64"/>
  <c r="S48" i="64"/>
  <c r="S56" i="64"/>
  <c r="S11" i="64"/>
  <c r="S66" i="64"/>
  <c r="S85" i="64"/>
  <c r="S118" i="64"/>
  <c r="S93" i="64"/>
  <c r="S83" i="64"/>
  <c r="S54" i="64"/>
  <c r="S17" i="64"/>
  <c r="S10" i="64"/>
  <c r="S95" i="64"/>
  <c r="S46" i="64"/>
  <c r="S113" i="64"/>
  <c r="S104" i="64"/>
  <c r="S8" i="64"/>
  <c r="S67" i="64"/>
  <c r="S105" i="64"/>
  <c r="S99" i="64"/>
  <c r="S18" i="64"/>
  <c r="S90" i="64"/>
  <c r="S52" i="64"/>
  <c r="S69" i="64"/>
  <c r="S34" i="64"/>
  <c r="S96" i="64"/>
  <c r="S109" i="64"/>
  <c r="S97" i="64"/>
  <c r="S25" i="64"/>
  <c r="S77" i="64"/>
  <c r="S35" i="64"/>
  <c r="S72" i="64"/>
  <c r="S106" i="64"/>
  <c r="S100" i="64"/>
  <c r="S111" i="64"/>
  <c r="S101" i="64"/>
  <c r="S94" i="64"/>
  <c r="S36" i="64"/>
  <c r="S15" i="64"/>
  <c r="S87" i="64"/>
  <c r="S110" i="64"/>
  <c r="S43" i="64"/>
  <c r="S49" i="64"/>
  <c r="S37" i="64"/>
  <c r="S32" i="64"/>
  <c r="S114" i="64"/>
  <c r="S47" i="64"/>
  <c r="S45" i="64"/>
  <c r="S112" i="64"/>
  <c r="S44" i="64"/>
  <c r="S73" i="64"/>
  <c r="S14" i="64"/>
  <c r="S121" i="64"/>
  <c r="S89" i="64"/>
  <c r="S92" i="64"/>
  <c r="S80" i="64"/>
  <c r="S39" i="64"/>
  <c r="S13" i="64"/>
  <c r="S68" i="64"/>
  <c r="S103" i="64"/>
  <c r="S42" i="64"/>
  <c r="S38" i="64"/>
  <c r="S107" i="64"/>
  <c r="S76" i="64"/>
  <c r="S7" i="64"/>
  <c r="S29" i="64"/>
  <c r="U69" i="64"/>
  <c r="U71" i="64"/>
  <c r="U40" i="64"/>
  <c r="U39" i="64"/>
  <c r="U114" i="64"/>
  <c r="U113" i="64"/>
  <c r="T13" i="64"/>
  <c r="T74" i="64"/>
  <c r="T77" i="64"/>
  <c r="T112" i="64"/>
  <c r="T111" i="64"/>
  <c r="T18" i="64"/>
  <c r="T16" i="64"/>
  <c r="U31" i="64"/>
  <c r="U10" i="64"/>
  <c r="U49" i="64"/>
  <c r="U86" i="64"/>
  <c r="U117" i="64"/>
  <c r="U93" i="64"/>
  <c r="U38" i="64"/>
  <c r="U116" i="64"/>
  <c r="T12" i="64"/>
  <c r="T29" i="64"/>
  <c r="T39" i="64"/>
  <c r="T25" i="64"/>
  <c r="T90" i="64"/>
  <c r="T93" i="64"/>
  <c r="T122" i="64"/>
  <c r="U32" i="64"/>
  <c r="U72" i="64"/>
  <c r="U80" i="64"/>
  <c r="U48" i="64"/>
  <c r="U105" i="64"/>
  <c r="U75" i="64"/>
  <c r="U119" i="64"/>
  <c r="U89" i="64"/>
  <c r="T36" i="64"/>
  <c r="T30" i="64"/>
  <c r="T53" i="64"/>
  <c r="T47" i="64"/>
  <c r="T118" i="64"/>
  <c r="T50" i="64"/>
  <c r="T115" i="64"/>
  <c r="U17" i="64"/>
  <c r="U8" i="64"/>
  <c r="U35" i="64"/>
  <c r="U79" i="64"/>
  <c r="U104" i="64"/>
  <c r="U98" i="64"/>
  <c r="U102" i="64"/>
  <c r="U92" i="64"/>
  <c r="T37" i="64"/>
  <c r="T68" i="64"/>
  <c r="T54" i="64"/>
  <c r="T101" i="64"/>
  <c r="T45" i="64"/>
  <c r="T120" i="64"/>
  <c r="T88" i="64"/>
  <c r="U82" i="64"/>
  <c r="P63" i="41"/>
  <c r="P19" i="41" s="1"/>
  <c r="P20" i="72" s="1"/>
  <c r="R85" i="64"/>
  <c r="R38" i="64"/>
  <c r="R92" i="64"/>
  <c r="R53" i="64"/>
  <c r="R29" i="64"/>
  <c r="R8" i="64"/>
  <c r="R95" i="64"/>
  <c r="R89" i="64"/>
  <c r="R88" i="64"/>
  <c r="R82" i="64"/>
  <c r="R15" i="64"/>
  <c r="R69" i="64"/>
  <c r="R102" i="64"/>
  <c r="R45" i="64"/>
  <c r="R16" i="64"/>
  <c r="R112" i="64"/>
  <c r="R52" i="64"/>
  <c r="R74" i="64"/>
  <c r="R37" i="64"/>
  <c r="R105" i="64"/>
  <c r="R84" i="64"/>
  <c r="R107" i="64"/>
  <c r="R49" i="64"/>
  <c r="R86" i="64"/>
  <c r="R30" i="64"/>
  <c r="R71" i="64"/>
  <c r="R113" i="64"/>
  <c r="R98" i="64"/>
  <c r="R41" i="64"/>
  <c r="R104" i="64"/>
  <c r="R39" i="64"/>
  <c r="R34" i="64"/>
  <c r="R10" i="64"/>
  <c r="R120" i="64"/>
  <c r="R100" i="64"/>
  <c r="R101" i="64"/>
  <c r="R103" i="64"/>
  <c r="R51" i="64"/>
  <c r="R7" i="64"/>
  <c r="R73" i="64"/>
  <c r="R96" i="64"/>
  <c r="R50" i="64"/>
  <c r="R108" i="64"/>
  <c r="R97" i="64"/>
  <c r="R48" i="64"/>
  <c r="R80" i="64"/>
  <c r="R68" i="64"/>
  <c r="R70" i="64"/>
  <c r="R106" i="64"/>
  <c r="R99" i="64"/>
  <c r="R110" i="64"/>
  <c r="R118" i="64"/>
  <c r="R54" i="64"/>
  <c r="R55" i="64"/>
  <c r="R36" i="64"/>
  <c r="R14" i="64"/>
  <c r="R93" i="64"/>
  <c r="R109" i="64"/>
  <c r="R117" i="64"/>
  <c r="R78" i="64"/>
  <c r="R76" i="64"/>
  <c r="R79" i="64"/>
  <c r="R35" i="64"/>
  <c r="R13" i="64"/>
  <c r="R87" i="64"/>
  <c r="R90" i="64"/>
  <c r="R47" i="64"/>
  <c r="R40" i="64"/>
  <c r="R124" i="64"/>
  <c r="R72" i="64"/>
  <c r="R66" i="64"/>
  <c r="R114" i="64"/>
  <c r="R18" i="64"/>
  <c r="R75" i="64"/>
  <c r="R46" i="64"/>
  <c r="R94" i="64"/>
  <c r="R56" i="64"/>
  <c r="R32" i="64"/>
  <c r="R67" i="64"/>
  <c r="R121" i="64"/>
  <c r="R115" i="64"/>
  <c r="R91" i="64"/>
  <c r="R83" i="64"/>
  <c r="R77" i="64"/>
  <c r="R17" i="64"/>
  <c r="R11" i="64"/>
  <c r="R42" i="64"/>
  <c r="R81" i="64"/>
  <c r="R119" i="64"/>
  <c r="R116" i="64"/>
  <c r="R44" i="64"/>
  <c r="R31" i="64"/>
  <c r="R12" i="64"/>
  <c r="R25" i="64"/>
  <c r="R122" i="64"/>
  <c r="R43" i="64"/>
  <c r="R111" i="64"/>
  <c r="R123" i="64"/>
  <c r="R33" i="64"/>
  <c r="R9" i="64"/>
  <c r="U30" i="64"/>
  <c r="U74" i="64"/>
  <c r="U54" i="64"/>
  <c r="U94" i="64"/>
  <c r="U108" i="64"/>
  <c r="U87" i="64"/>
  <c r="U106" i="64"/>
  <c r="T66" i="64"/>
  <c r="T32" i="64"/>
  <c r="T48" i="64"/>
  <c r="T89" i="64"/>
  <c r="T85" i="64"/>
  <c r="T91" i="64"/>
  <c r="T42" i="64"/>
  <c r="U45" i="64"/>
  <c r="U67" i="64"/>
  <c r="U37" i="64"/>
  <c r="U51" i="64"/>
  <c r="U77" i="64"/>
  <c r="U78" i="64"/>
  <c r="U120" i="64"/>
  <c r="U16" i="64"/>
  <c r="W126" i="64"/>
  <c r="T15" i="64"/>
  <c r="T17" i="64"/>
  <c r="T51" i="64"/>
  <c r="T116" i="64"/>
  <c r="T81" i="64"/>
  <c r="T121" i="64"/>
  <c r="U14" i="64"/>
  <c r="U13" i="64"/>
  <c r="U55" i="64"/>
  <c r="U112" i="64"/>
  <c r="U99" i="64"/>
  <c r="U91" i="64"/>
  <c r="U122" i="64"/>
  <c r="T72" i="64"/>
  <c r="T8" i="64"/>
  <c r="T56" i="64"/>
  <c r="T123" i="64"/>
  <c r="T46" i="64"/>
  <c r="T105" i="64"/>
  <c r="T78" i="64"/>
  <c r="T114" i="64"/>
  <c r="U34" i="64"/>
  <c r="U70" i="64"/>
  <c r="U76" i="64"/>
  <c r="U101" i="64"/>
  <c r="U85" i="64"/>
  <c r="U50" i="64"/>
  <c r="U115" i="64"/>
  <c r="T73" i="64"/>
  <c r="T14" i="64"/>
  <c r="T124" i="64"/>
  <c r="T76" i="64"/>
  <c r="T95" i="64"/>
  <c r="T84" i="64"/>
  <c r="T75" i="64"/>
  <c r="T43" i="64"/>
  <c r="U68" i="64"/>
  <c r="U29" i="64"/>
  <c r="U9" i="64"/>
  <c r="U95" i="64"/>
  <c r="U18" i="64"/>
  <c r="U46" i="64"/>
  <c r="U88" i="64"/>
  <c r="T7" i="64"/>
  <c r="T34" i="64"/>
  <c r="T55" i="64"/>
  <c r="T103" i="64"/>
  <c r="T109" i="64"/>
  <c r="T38" i="64"/>
  <c r="T110" i="64"/>
  <c r="U103" i="64"/>
  <c r="T5" i="62"/>
  <c r="U73" i="64"/>
  <c r="U66" i="64"/>
  <c r="U53" i="64"/>
  <c r="U41" i="64"/>
  <c r="U111" i="64"/>
  <c r="U118" i="64"/>
  <c r="U43" i="64"/>
  <c r="T11" i="64"/>
  <c r="T67" i="64"/>
  <c r="T79" i="64"/>
  <c r="T82" i="64"/>
  <c r="T99" i="64"/>
  <c r="T102" i="64"/>
  <c r="T100" i="64"/>
  <c r="T107" i="64"/>
  <c r="R175" i="63"/>
  <c r="AQ45" i="41"/>
  <c r="AR45" i="41"/>
  <c r="AQ40" i="41"/>
  <c r="AR40" i="41"/>
  <c r="AR44" i="41"/>
  <c r="AQ44" i="41"/>
  <c r="AR43" i="41"/>
  <c r="AQ43" i="41"/>
  <c r="AR47" i="41"/>
  <c r="AQ47" i="41"/>
  <c r="AQ42" i="41"/>
  <c r="AR42" i="41"/>
  <c r="R19" i="41"/>
  <c r="S19" i="41"/>
  <c r="S18" i="55"/>
  <c r="U8" i="62"/>
  <c r="T196" i="37"/>
  <c r="U17" i="55" s="1"/>
  <c r="U49" i="41"/>
  <c r="W27" i="41"/>
  <c r="U22" i="41"/>
  <c r="U21" i="41"/>
  <c r="U25" i="41"/>
  <c r="Q11" i="55"/>
  <c r="Q11" i="48" s="1"/>
  <c r="Q9" i="48" s="1"/>
  <c r="R201" i="37"/>
  <c r="O11" i="55"/>
  <c r="O11" i="48" s="1"/>
  <c r="O9" i="48" s="1"/>
  <c r="P201" i="37"/>
  <c r="P202" i="37" s="1"/>
  <c r="N11" i="55"/>
  <c r="N11" i="48" s="1"/>
  <c r="O201" i="37"/>
  <c r="O202" i="37" s="1"/>
  <c r="M11" i="55"/>
  <c r="M11" i="48" s="1"/>
  <c r="N201" i="37"/>
  <c r="N7" i="55"/>
  <c r="N7" i="48" s="1"/>
  <c r="O204" i="37"/>
  <c r="O7" i="55"/>
  <c r="O7" i="48" s="1"/>
  <c r="P204" i="37"/>
  <c r="L41" i="40"/>
  <c r="N200" i="37"/>
  <c r="S64" i="41"/>
  <c r="S20" i="41" s="1"/>
  <c r="S66" i="41"/>
  <c r="S67" i="41"/>
  <c r="S23" i="41" s="1"/>
  <c r="S62" i="41"/>
  <c r="S69" i="41"/>
  <c r="S65" i="41"/>
  <c r="Q6" i="62"/>
  <c r="Q67" i="41"/>
  <c r="Q23" i="41" s="1"/>
  <c r="Q65" i="41"/>
  <c r="Q64" i="41"/>
  <c r="Q69" i="41"/>
  <c r="Q25" i="41" s="1"/>
  <c r="Q66" i="41"/>
  <c r="Q62" i="41"/>
  <c r="R67" i="41"/>
  <c r="R64" i="41"/>
  <c r="R66" i="41"/>
  <c r="R62" i="41"/>
  <c r="R69" i="41"/>
  <c r="R65" i="41"/>
  <c r="P65" i="41"/>
  <c r="P21" i="41" s="1"/>
  <c r="P22" i="72" s="1"/>
  <c r="P62" i="41"/>
  <c r="P67" i="41"/>
  <c r="P23" i="41" s="1"/>
  <c r="P24" i="72" s="1"/>
  <c r="P64" i="41"/>
  <c r="P20" i="41" s="1"/>
  <c r="P21" i="72" s="1"/>
  <c r="P69" i="41"/>
  <c r="P25" i="41" s="1"/>
  <c r="P26" i="72" s="1"/>
  <c r="P66" i="41"/>
  <c r="P22" i="41" s="1"/>
  <c r="P23" i="72" s="1"/>
  <c r="U18" i="41"/>
  <c r="M7" i="55"/>
  <c r="M7" i="48" s="1"/>
  <c r="P195" i="37"/>
  <c r="P197" i="37" s="1"/>
  <c r="S6" i="62"/>
  <c r="O195" i="37"/>
  <c r="O197" i="37" s="1"/>
  <c r="O199" i="37" s="1"/>
  <c r="R6" i="62"/>
  <c r="M195" i="37"/>
  <c r="M197" i="37" s="1"/>
  <c r="P6" i="62"/>
  <c r="Q53" i="45"/>
  <c r="Q50" i="45"/>
  <c r="Q22" i="48"/>
  <c r="R116" i="40"/>
  <c r="N195" i="37"/>
  <c r="N197" i="37" s="1"/>
  <c r="N199" i="37" s="1"/>
  <c r="K41" i="40"/>
  <c r="R10" i="55"/>
  <c r="R10" i="48" s="1"/>
  <c r="Q41" i="40"/>
  <c r="R77" i="40"/>
  <c r="Q136" i="37"/>
  <c r="T63" i="41" s="1"/>
  <c r="N10" i="55"/>
  <c r="N10" i="48" s="1"/>
  <c r="M41" i="40"/>
  <c r="R65" i="40"/>
  <c r="M18" i="48"/>
  <c r="R73" i="40"/>
  <c r="O45" i="40"/>
  <c r="O60" i="40" s="1"/>
  <c r="Q200" i="37" s="1"/>
  <c r="O22" i="40"/>
  <c r="R7" i="40"/>
  <c r="N50" i="45"/>
  <c r="N53" i="45"/>
  <c r="P25" i="45"/>
  <c r="P49" i="45" s="1"/>
  <c r="P51" i="45"/>
  <c r="P54" i="45"/>
  <c r="N18" i="48"/>
  <c r="M10" i="55"/>
  <c r="O22" i="48"/>
  <c r="M6" i="48"/>
  <c r="O18" i="48"/>
  <c r="Q119" i="40"/>
  <c r="Q80" i="40"/>
  <c r="T55" i="39"/>
  <c r="K80" i="40"/>
  <c r="M204" i="37" s="1"/>
  <c r="R6" i="55"/>
  <c r="R25" i="45"/>
  <c r="R49" i="45" s="1"/>
  <c r="R54" i="45"/>
  <c r="R51" i="45"/>
  <c r="O119" i="40"/>
  <c r="O80" i="40"/>
  <c r="S32" i="45"/>
  <c r="O6" i="48"/>
  <c r="L50" i="45"/>
  <c r="L53" i="45"/>
  <c r="M53" i="45"/>
  <c r="M50" i="45"/>
  <c r="S136" i="37"/>
  <c r="V63" i="41" s="1"/>
  <c r="Q7" i="55"/>
  <c r="N22" i="48"/>
  <c r="O53" i="45"/>
  <c r="O50" i="45"/>
  <c r="N6" i="55"/>
  <c r="U24" i="64" l="1"/>
  <c r="S24" i="72"/>
  <c r="S20" i="64"/>
  <c r="Q20" i="72"/>
  <c r="S26" i="64"/>
  <c r="Q26" i="72"/>
  <c r="S24" i="64"/>
  <c r="Q24" i="72"/>
  <c r="W26" i="64"/>
  <c r="U26" i="72"/>
  <c r="X60" i="64"/>
  <c r="X64" i="64" s="1"/>
  <c r="V60" i="72"/>
  <c r="V64" i="72" s="1"/>
  <c r="U20" i="64"/>
  <c r="S20" i="72"/>
  <c r="U21" i="64"/>
  <c r="S21" i="72"/>
  <c r="W22" i="64"/>
  <c r="U22" i="72"/>
  <c r="W23" i="64"/>
  <c r="U23" i="72"/>
  <c r="T20" i="64"/>
  <c r="R20" i="72"/>
  <c r="V60" i="64"/>
  <c r="V64" i="64" s="1"/>
  <c r="T60" i="72"/>
  <c r="T64" i="72" s="1"/>
  <c r="W19" i="64"/>
  <c r="U19" i="72"/>
  <c r="X10" i="64"/>
  <c r="AD357" i="67"/>
  <c r="R21" i="64"/>
  <c r="R26" i="64"/>
  <c r="R23" i="64"/>
  <c r="R20" i="64"/>
  <c r="R24" i="64"/>
  <c r="R22" i="64"/>
  <c r="R28" i="64"/>
  <c r="T28" i="64"/>
  <c r="U28" i="64"/>
  <c r="X49" i="64"/>
  <c r="X106" i="64"/>
  <c r="X118" i="64"/>
  <c r="W5" i="62"/>
  <c r="AQ5" i="62" s="1"/>
  <c r="V8" i="64"/>
  <c r="V108" i="64"/>
  <c r="V34" i="64"/>
  <c r="X30" i="64"/>
  <c r="V7" i="64"/>
  <c r="X97" i="64"/>
  <c r="V55" i="64"/>
  <c r="X80" i="64"/>
  <c r="V25" i="64"/>
  <c r="V103" i="64"/>
  <c r="V121" i="64"/>
  <c r="V100" i="64"/>
  <c r="R126" i="64"/>
  <c r="V96" i="64"/>
  <c r="V79" i="64"/>
  <c r="V101" i="64"/>
  <c r="V48" i="64"/>
  <c r="V84" i="64"/>
  <c r="V12" i="64"/>
  <c r="V45" i="64"/>
  <c r="V72" i="64"/>
  <c r="V69" i="64"/>
  <c r="V56" i="64"/>
  <c r="V94" i="64"/>
  <c r="V75" i="64"/>
  <c r="V106" i="64"/>
  <c r="V111" i="64"/>
  <c r="V18" i="64"/>
  <c r="X68" i="64"/>
  <c r="X74" i="64"/>
  <c r="X40" i="64"/>
  <c r="X110" i="64"/>
  <c r="X78" i="64"/>
  <c r="X101" i="64"/>
  <c r="X98" i="64"/>
  <c r="V71" i="64"/>
  <c r="V36" i="64"/>
  <c r="V123" i="64"/>
  <c r="V53" i="64"/>
  <c r="V91" i="64"/>
  <c r="V38" i="64"/>
  <c r="V16" i="64"/>
  <c r="V98" i="64"/>
  <c r="X70" i="64"/>
  <c r="X13" i="64"/>
  <c r="X54" i="64"/>
  <c r="X100" i="64"/>
  <c r="X92" i="64"/>
  <c r="X93" i="64"/>
  <c r="X117" i="64"/>
  <c r="AM73" i="40"/>
  <c r="AL73" i="40"/>
  <c r="X66" i="64"/>
  <c r="X73" i="64"/>
  <c r="X38" i="64"/>
  <c r="X103" i="64"/>
  <c r="X114" i="64"/>
  <c r="X113" i="64"/>
  <c r="X77" i="64"/>
  <c r="AM65" i="40"/>
  <c r="AL65" i="40"/>
  <c r="V10" i="64"/>
  <c r="V32" i="64"/>
  <c r="V82" i="64"/>
  <c r="V104" i="64"/>
  <c r="V119" i="64"/>
  <c r="V109" i="64"/>
  <c r="V122" i="64"/>
  <c r="S126" i="64"/>
  <c r="X8" i="64"/>
  <c r="X71" i="64"/>
  <c r="X53" i="64"/>
  <c r="X96" i="64"/>
  <c r="X88" i="64"/>
  <c r="X105" i="64"/>
  <c r="X90" i="64"/>
  <c r="V11" i="64"/>
  <c r="V30" i="64"/>
  <c r="V77" i="64"/>
  <c r="V80" i="64"/>
  <c r="V117" i="64"/>
  <c r="V105" i="64"/>
  <c r="V115" i="64"/>
  <c r="T126" i="64"/>
  <c r="X37" i="64"/>
  <c r="X17" i="64"/>
  <c r="X121" i="64"/>
  <c r="X84" i="64"/>
  <c r="X52" i="64"/>
  <c r="X102" i="64"/>
  <c r="X82" i="64"/>
  <c r="V14" i="64"/>
  <c r="V31" i="64"/>
  <c r="V44" i="64"/>
  <c r="V112" i="64"/>
  <c r="V81" i="64"/>
  <c r="V99" i="64"/>
  <c r="V43" i="64"/>
  <c r="X36" i="64"/>
  <c r="X9" i="64"/>
  <c r="X124" i="64"/>
  <c r="X16" i="64"/>
  <c r="X51" i="64"/>
  <c r="X46" i="64"/>
  <c r="X95" i="64"/>
  <c r="X79" i="64"/>
  <c r="V13" i="64"/>
  <c r="V70" i="64"/>
  <c r="V39" i="64"/>
  <c r="V52" i="64"/>
  <c r="V102" i="64"/>
  <c r="V95" i="64"/>
  <c r="X72" i="64"/>
  <c r="X69" i="64"/>
  <c r="X56" i="64"/>
  <c r="X104" i="64"/>
  <c r="X122" i="64"/>
  <c r="X44" i="64"/>
  <c r="X85" i="64"/>
  <c r="X76" i="64"/>
  <c r="V37" i="64"/>
  <c r="V33" i="64"/>
  <c r="V76" i="64"/>
  <c r="V42" i="64"/>
  <c r="V120" i="64"/>
  <c r="V85" i="64"/>
  <c r="V107" i="64"/>
  <c r="X11" i="64"/>
  <c r="X33" i="64"/>
  <c r="X48" i="64"/>
  <c r="X94" i="64"/>
  <c r="X123" i="64"/>
  <c r="X41" i="64"/>
  <c r="X55" i="64"/>
  <c r="V66" i="64"/>
  <c r="V73" i="64"/>
  <c r="V49" i="64"/>
  <c r="V114" i="64"/>
  <c r="V50" i="64"/>
  <c r="V83" i="64"/>
  <c r="V97" i="64"/>
  <c r="X12" i="64"/>
  <c r="X7" i="64"/>
  <c r="X47" i="64"/>
  <c r="X91" i="64"/>
  <c r="X50" i="64"/>
  <c r="X25" i="64"/>
  <c r="X116" i="64"/>
  <c r="X109" i="64"/>
  <c r="V67" i="64"/>
  <c r="V74" i="64"/>
  <c r="V54" i="64"/>
  <c r="V93" i="64"/>
  <c r="V46" i="64"/>
  <c r="V78" i="64"/>
  <c r="X15" i="64"/>
  <c r="X35" i="64"/>
  <c r="X87" i="64"/>
  <c r="X120" i="64"/>
  <c r="X89" i="64"/>
  <c r="X99" i="64"/>
  <c r="U126" i="64"/>
  <c r="V68" i="64"/>
  <c r="V15" i="64"/>
  <c r="V51" i="64"/>
  <c r="V87" i="64"/>
  <c r="V118" i="64"/>
  <c r="V92" i="64"/>
  <c r="V116" i="64"/>
  <c r="X14" i="64"/>
  <c r="X31" i="64"/>
  <c r="X119" i="64"/>
  <c r="X75" i="64"/>
  <c r="X112" i="64"/>
  <c r="X43" i="64"/>
  <c r="X18" i="64"/>
  <c r="V9" i="64"/>
  <c r="V86" i="64"/>
  <c r="V90" i="64"/>
  <c r="V47" i="64"/>
  <c r="V89" i="64"/>
  <c r="X29" i="64"/>
  <c r="X32" i="64"/>
  <c r="X115" i="64"/>
  <c r="X42" i="64"/>
  <c r="X86" i="64"/>
  <c r="X111" i="64"/>
  <c r="X45" i="64"/>
  <c r="AL77" i="40"/>
  <c r="AM77" i="40"/>
  <c r="V17" i="64"/>
  <c r="AL7" i="40"/>
  <c r="AM7" i="40"/>
  <c r="V29" i="64"/>
  <c r="V35" i="64"/>
  <c r="V124" i="64"/>
  <c r="V40" i="64"/>
  <c r="V113" i="64"/>
  <c r="V110" i="64"/>
  <c r="V41" i="64"/>
  <c r="V88" i="64"/>
  <c r="X67" i="64"/>
  <c r="X34" i="64"/>
  <c r="X81" i="64"/>
  <c r="X39" i="64"/>
  <c r="X83" i="64"/>
  <c r="X107" i="64"/>
  <c r="X108" i="64"/>
  <c r="AQ27" i="41"/>
  <c r="AR27" i="41"/>
  <c r="T19" i="41"/>
  <c r="V19" i="41"/>
  <c r="AM116" i="40"/>
  <c r="AL116" i="40"/>
  <c r="U18" i="55"/>
  <c r="Q9" i="55"/>
  <c r="Q19" i="55" s="1"/>
  <c r="W63" i="41"/>
  <c r="N202" i="37"/>
  <c r="N203" i="37" s="1"/>
  <c r="N205" i="37" s="1"/>
  <c r="Q20" i="55"/>
  <c r="L20" i="55"/>
  <c r="S8" i="62"/>
  <c r="P8" i="62"/>
  <c r="R8" i="62"/>
  <c r="Q8" i="62"/>
  <c r="Q24" i="55"/>
  <c r="Q23" i="55" s="1"/>
  <c r="O203" i="37"/>
  <c r="O205" i="37" s="1"/>
  <c r="P203" i="37"/>
  <c r="P205" i="37" s="1"/>
  <c r="R202" i="37"/>
  <c r="R203" i="37" s="1"/>
  <c r="R205" i="37" s="1"/>
  <c r="S49" i="41"/>
  <c r="R49" i="41"/>
  <c r="P49" i="41"/>
  <c r="Q49" i="41"/>
  <c r="U5" i="41"/>
  <c r="O5" i="55"/>
  <c r="O9" i="55"/>
  <c r="O19" i="55" s="1"/>
  <c r="Q21" i="41"/>
  <c r="R23" i="41"/>
  <c r="S21" i="41"/>
  <c r="S25" i="41"/>
  <c r="Q22" i="41"/>
  <c r="Q21" i="55"/>
  <c r="Q21" i="48" s="1"/>
  <c r="R21" i="41"/>
  <c r="R22" i="41"/>
  <c r="R20" i="41"/>
  <c r="R25" i="41"/>
  <c r="Q20" i="41"/>
  <c r="S22" i="41"/>
  <c r="O5" i="48"/>
  <c r="N9" i="48"/>
  <c r="N19" i="48" s="1"/>
  <c r="P11" i="55"/>
  <c r="P11" i="48" s="1"/>
  <c r="Q201" i="37"/>
  <c r="Q202" i="37" s="1"/>
  <c r="R7" i="55"/>
  <c r="R7" i="48" s="1"/>
  <c r="S204" i="37"/>
  <c r="R11" i="55"/>
  <c r="R11" i="48" s="1"/>
  <c r="R9" i="48" s="1"/>
  <c r="S201" i="37"/>
  <c r="S202" i="37" s="1"/>
  <c r="P7" i="55"/>
  <c r="P7" i="48" s="1"/>
  <c r="Q204" i="37"/>
  <c r="P199" i="37"/>
  <c r="M199" i="37"/>
  <c r="M5" i="55"/>
  <c r="T64" i="41"/>
  <c r="T66" i="41"/>
  <c r="T67" i="41"/>
  <c r="T62" i="41"/>
  <c r="T69" i="41"/>
  <c r="T65" i="41"/>
  <c r="P18" i="41"/>
  <c r="P19" i="72" s="1"/>
  <c r="P6" i="72" s="1"/>
  <c r="P58" i="72" s="1"/>
  <c r="P127" i="72" s="1"/>
  <c r="Q18" i="41"/>
  <c r="S18" i="41"/>
  <c r="V62" i="41"/>
  <c r="V69" i="41"/>
  <c r="V25" i="41" s="1"/>
  <c r="V65" i="41"/>
  <c r="V67" i="41"/>
  <c r="V64" i="41"/>
  <c r="V66" i="41"/>
  <c r="R18" i="41"/>
  <c r="T6" i="62"/>
  <c r="S195" i="37"/>
  <c r="S197" i="37" s="1"/>
  <c r="V6" i="62"/>
  <c r="Q195" i="37"/>
  <c r="Q197" i="37" s="1"/>
  <c r="Q199" i="37" s="1"/>
  <c r="P18" i="48"/>
  <c r="N9" i="55"/>
  <c r="N19" i="55" s="1"/>
  <c r="P10" i="55"/>
  <c r="O41" i="40"/>
  <c r="L7" i="55"/>
  <c r="R80" i="40"/>
  <c r="K119" i="40"/>
  <c r="M201" i="37" s="1"/>
  <c r="R45" i="40"/>
  <c r="R60" i="40"/>
  <c r="J65" i="42" s="1"/>
  <c r="S51" i="45"/>
  <c r="R18" i="48"/>
  <c r="M5" i="48"/>
  <c r="P6" i="55"/>
  <c r="R22" i="40"/>
  <c r="E7" i="40" s="1"/>
  <c r="R50" i="45"/>
  <c r="R53" i="45"/>
  <c r="R6" i="48"/>
  <c r="P53" i="45"/>
  <c r="P50" i="45"/>
  <c r="N6" i="48"/>
  <c r="N5" i="48" s="1"/>
  <c r="N5" i="55"/>
  <c r="L18" i="48"/>
  <c r="S49" i="45"/>
  <c r="S53" i="45" s="1"/>
  <c r="Q7" i="48"/>
  <c r="Q5" i="48" s="1"/>
  <c r="Q5" i="55"/>
  <c r="T136" i="37"/>
  <c r="Q19" i="48"/>
  <c r="M22" i="48"/>
  <c r="S54" i="45"/>
  <c r="S25" i="45"/>
  <c r="R104" i="40"/>
  <c r="O19" i="48"/>
  <c r="R22" i="48"/>
  <c r="M10" i="48"/>
  <c r="M9" i="55"/>
  <c r="P22" i="48"/>
  <c r="W6" i="64" l="1"/>
  <c r="X26" i="64"/>
  <c r="V26" i="72"/>
  <c r="T23" i="64"/>
  <c r="R23" i="72"/>
  <c r="W60" i="72"/>
  <c r="T22" i="64"/>
  <c r="R22" i="72"/>
  <c r="X20" i="64"/>
  <c r="V20" i="72"/>
  <c r="V20" i="64"/>
  <c r="T20" i="72"/>
  <c r="T24" i="64"/>
  <c r="R24" i="72"/>
  <c r="S22" i="64"/>
  <c r="Q22" i="72"/>
  <c r="U6" i="72"/>
  <c r="U22" i="64"/>
  <c r="S22" i="72"/>
  <c r="U23" i="64"/>
  <c r="S23" i="72"/>
  <c r="S21" i="64"/>
  <c r="Q21" i="72"/>
  <c r="U26" i="64"/>
  <c r="S26" i="72"/>
  <c r="S23" i="64"/>
  <c r="Q23" i="72"/>
  <c r="T26" i="64"/>
  <c r="R26" i="72"/>
  <c r="T21" i="64"/>
  <c r="R21" i="72"/>
  <c r="U19" i="64"/>
  <c r="S19" i="72"/>
  <c r="S19" i="64"/>
  <c r="Q19" i="72"/>
  <c r="T19" i="64"/>
  <c r="R19" i="72"/>
  <c r="AR5" i="62"/>
  <c r="Y60" i="64"/>
  <c r="Y64" i="64" s="1"/>
  <c r="J100" i="41"/>
  <c r="J102" i="41"/>
  <c r="J103" i="41"/>
  <c r="J64" i="42"/>
  <c r="J104" i="41"/>
  <c r="W19" i="41"/>
  <c r="R19" i="64"/>
  <c r="R6" i="64" s="1"/>
  <c r="R58" i="64" s="1"/>
  <c r="R127" i="64" s="1"/>
  <c r="X28" i="64"/>
  <c r="V28" i="64"/>
  <c r="J14" i="42"/>
  <c r="J49" i="42"/>
  <c r="J52" i="42"/>
  <c r="J20" i="42"/>
  <c r="J53" i="42"/>
  <c r="J22" i="42"/>
  <c r="J54" i="42"/>
  <c r="J24" i="42"/>
  <c r="J55" i="42"/>
  <c r="J26" i="42"/>
  <c r="J29" i="42"/>
  <c r="J31" i="42"/>
  <c r="J32" i="42"/>
  <c r="J34" i="42"/>
  <c r="J36" i="42"/>
  <c r="J17" i="42"/>
  <c r="J56" i="42"/>
  <c r="J58" i="42"/>
  <c r="J59" i="42"/>
  <c r="J60" i="42"/>
  <c r="J38" i="42"/>
  <c r="J37" i="42"/>
  <c r="J44" i="42"/>
  <c r="J93" i="41"/>
  <c r="J88" i="41"/>
  <c r="J89" i="41"/>
  <c r="J81" i="41"/>
  <c r="J85" i="41"/>
  <c r="J86" i="41"/>
  <c r="J90" i="41"/>
  <c r="J24" i="41"/>
  <c r="J15" i="41"/>
  <c r="J39" i="41"/>
  <c r="J43" i="42"/>
  <c r="J97" i="41"/>
  <c r="J83" i="41"/>
  <c r="J38" i="41"/>
  <c r="J32" i="41"/>
  <c r="J34" i="41"/>
  <c r="J31" i="41"/>
  <c r="J16" i="41"/>
  <c r="J50" i="42"/>
  <c r="J30" i="42"/>
  <c r="J16" i="42"/>
  <c r="J47" i="42"/>
  <c r="J87" i="41"/>
  <c r="J25" i="42"/>
  <c r="J18" i="42"/>
  <c r="J61" i="42"/>
  <c r="J40" i="42"/>
  <c r="J35" i="42"/>
  <c r="J82" i="41"/>
  <c r="J48" i="42"/>
  <c r="J27" i="42"/>
  <c r="J46" i="42"/>
  <c r="J39" i="42"/>
  <c r="J15" i="42"/>
  <c r="J63" i="42"/>
  <c r="J45" i="42"/>
  <c r="J57" i="42"/>
  <c r="J62" i="42"/>
  <c r="J95" i="41"/>
  <c r="J21" i="42"/>
  <c r="J42" i="42"/>
  <c r="J51" i="42"/>
  <c r="J23" i="42"/>
  <c r="J33" i="42"/>
  <c r="J94" i="41"/>
  <c r="J19" i="42"/>
  <c r="J92" i="41"/>
  <c r="J41" i="42"/>
  <c r="J10" i="42"/>
  <c r="J78" i="41"/>
  <c r="J80" i="41"/>
  <c r="J9" i="42"/>
  <c r="J12" i="42"/>
  <c r="J7" i="41"/>
  <c r="J13" i="41"/>
  <c r="J79" i="41"/>
  <c r="J74" i="41"/>
  <c r="J77" i="41"/>
  <c r="J14" i="41"/>
  <c r="J73" i="41"/>
  <c r="J6" i="41"/>
  <c r="J76" i="41"/>
  <c r="J75" i="41"/>
  <c r="J8" i="42"/>
  <c r="J8" i="41"/>
  <c r="J12" i="41"/>
  <c r="J10" i="41"/>
  <c r="J11" i="42"/>
  <c r="J9" i="41"/>
  <c r="J13" i="42"/>
  <c r="J11" i="41"/>
  <c r="J72" i="41"/>
  <c r="J7" i="42"/>
  <c r="J29" i="41"/>
  <c r="J30" i="41"/>
  <c r="J35" i="41"/>
  <c r="J28" i="41"/>
  <c r="J33" i="41"/>
  <c r="J36" i="41"/>
  <c r="J91" i="41"/>
  <c r="J96" i="41"/>
  <c r="J84" i="41"/>
  <c r="J5" i="42"/>
  <c r="J6" i="42"/>
  <c r="J41" i="41"/>
  <c r="J47" i="41"/>
  <c r="J43" i="41"/>
  <c r="J45" i="41"/>
  <c r="J42" i="41"/>
  <c r="J40" i="41"/>
  <c r="J44" i="41"/>
  <c r="J5" i="62"/>
  <c r="X126" i="64"/>
  <c r="AM80" i="40"/>
  <c r="AL80" i="40"/>
  <c r="Y108" i="64"/>
  <c r="Y97" i="64"/>
  <c r="Y100" i="64"/>
  <c r="Y16" i="64"/>
  <c r="Y123" i="64"/>
  <c r="Y32" i="64"/>
  <c r="Y71" i="64"/>
  <c r="Y99" i="64"/>
  <c r="Y84" i="64"/>
  <c r="Y9" i="64"/>
  <c r="Y90" i="64"/>
  <c r="Y101" i="64"/>
  <c r="Y106" i="64"/>
  <c r="Y104" i="64"/>
  <c r="Y82" i="64"/>
  <c r="Y8" i="64"/>
  <c r="Y36" i="64"/>
  <c r="Y117" i="64"/>
  <c r="Y107" i="64"/>
  <c r="Y110" i="64"/>
  <c r="Y54" i="64"/>
  <c r="Y52" i="64"/>
  <c r="Y37" i="64"/>
  <c r="Y34" i="64"/>
  <c r="Y73" i="64"/>
  <c r="Y87" i="64"/>
  <c r="Y111" i="64"/>
  <c r="Y40" i="64"/>
  <c r="Y77" i="64"/>
  <c r="Y14" i="64"/>
  <c r="Y13" i="64"/>
  <c r="Y114" i="64"/>
  <c r="Y122" i="64"/>
  <c r="Y119" i="64"/>
  <c r="Y17" i="64"/>
  <c r="Y86" i="64"/>
  <c r="Y69" i="64"/>
  <c r="Y48" i="64"/>
  <c r="Y116" i="64"/>
  <c r="Y121" i="64"/>
  <c r="Y88" i="64"/>
  <c r="Y42" i="64"/>
  <c r="Y49" i="64"/>
  <c r="Y112" i="64"/>
  <c r="Y72" i="64"/>
  <c r="Y53" i="64"/>
  <c r="Y45" i="64"/>
  <c r="Y75" i="64"/>
  <c r="Y92" i="64"/>
  <c r="Y46" i="64"/>
  <c r="Y79" i="64"/>
  <c r="Y94" i="64"/>
  <c r="Y10" i="64"/>
  <c r="Y76" i="64"/>
  <c r="Y78" i="64"/>
  <c r="Y85" i="64"/>
  <c r="Y120" i="64"/>
  <c r="Y50" i="64"/>
  <c r="Y51" i="64"/>
  <c r="Y12" i="64"/>
  <c r="Y29" i="64"/>
  <c r="Y67" i="64"/>
  <c r="Y124" i="64"/>
  <c r="Y81" i="64"/>
  <c r="Y95" i="64"/>
  <c r="Y47" i="64"/>
  <c r="Y44" i="64"/>
  <c r="Y7" i="64"/>
  <c r="Y74" i="64"/>
  <c r="Y91" i="64"/>
  <c r="Y102" i="64"/>
  <c r="Y93" i="64"/>
  <c r="Y25" i="64"/>
  <c r="Y11" i="64"/>
  <c r="Y68" i="64"/>
  <c r="Y98" i="64"/>
  <c r="Y115" i="64"/>
  <c r="Y43" i="64"/>
  <c r="Y70" i="64"/>
  <c r="Y118" i="64"/>
  <c r="Y105" i="64"/>
  <c r="Y113" i="64"/>
  <c r="Y41" i="64"/>
  <c r="Y80" i="64"/>
  <c r="Y35" i="64"/>
  <c r="Y15" i="64"/>
  <c r="Y109" i="64"/>
  <c r="Y83" i="64"/>
  <c r="Y96" i="64"/>
  <c r="Y38" i="64"/>
  <c r="Y103" i="64"/>
  <c r="Y30" i="64"/>
  <c r="Y33" i="64"/>
  <c r="Y31" i="64"/>
  <c r="AM22" i="40"/>
  <c r="AL22" i="40"/>
  <c r="E9" i="40"/>
  <c r="E12" i="40"/>
  <c r="E18" i="40"/>
  <c r="E10" i="40"/>
  <c r="E13" i="40"/>
  <c r="E21" i="40"/>
  <c r="E19" i="40"/>
  <c r="E16" i="40"/>
  <c r="E11" i="40"/>
  <c r="E14" i="40"/>
  <c r="E20" i="40"/>
  <c r="E8" i="40"/>
  <c r="E17" i="40"/>
  <c r="E15" i="40"/>
  <c r="V126" i="64"/>
  <c r="J17" i="41"/>
  <c r="Y18" i="64"/>
  <c r="AQ63" i="41"/>
  <c r="AR63" i="41"/>
  <c r="AQ17" i="41"/>
  <c r="AR17" i="41"/>
  <c r="W62" i="41"/>
  <c r="E45" i="40"/>
  <c r="R41" i="40"/>
  <c r="AL41" i="40" s="1"/>
  <c r="E47" i="40"/>
  <c r="E46" i="40"/>
  <c r="E49" i="40"/>
  <c r="E54" i="40"/>
  <c r="E51" i="40"/>
  <c r="E57" i="40"/>
  <c r="E50" i="40"/>
  <c r="E52" i="40"/>
  <c r="E59" i="40"/>
  <c r="E53" i="40"/>
  <c r="E58" i="40"/>
  <c r="E48" i="40"/>
  <c r="E55" i="40"/>
  <c r="E56" i="40"/>
  <c r="AM104" i="40"/>
  <c r="AL104" i="40"/>
  <c r="AM60" i="40"/>
  <c r="AL60" i="40"/>
  <c r="AL45" i="40"/>
  <c r="AM45" i="40"/>
  <c r="N20" i="55"/>
  <c r="O20" i="55"/>
  <c r="M20" i="55"/>
  <c r="V8" i="62"/>
  <c r="T8" i="62"/>
  <c r="Q24" i="48"/>
  <c r="Q23" i="48" s="1"/>
  <c r="Q203" i="37"/>
  <c r="Q205" i="37" s="1"/>
  <c r="M202" i="37"/>
  <c r="M203" i="37" s="1"/>
  <c r="M205" i="37" s="1"/>
  <c r="U5" i="55"/>
  <c r="M24" i="55"/>
  <c r="O24" i="55"/>
  <c r="P9" i="55"/>
  <c r="P19" i="55" s="1"/>
  <c r="L24" i="55"/>
  <c r="L23" i="55" s="1"/>
  <c r="N24" i="55"/>
  <c r="S203" i="37"/>
  <c r="S205" i="37" s="1"/>
  <c r="R5" i="55"/>
  <c r="T49" i="41"/>
  <c r="V49" i="41"/>
  <c r="S5" i="41"/>
  <c r="S106" i="41" s="1"/>
  <c r="Q5" i="41"/>
  <c r="R5" i="41"/>
  <c r="R106" i="41" s="1"/>
  <c r="L21" i="55"/>
  <c r="L21" i="48" s="1"/>
  <c r="P5" i="41"/>
  <c r="P106" i="41" s="1"/>
  <c r="R5" i="48"/>
  <c r="S7" i="55"/>
  <c r="T200" i="37"/>
  <c r="V20" i="41"/>
  <c r="V23" i="41"/>
  <c r="T20" i="41"/>
  <c r="T21" i="41"/>
  <c r="T22" i="72" s="1"/>
  <c r="T25" i="41"/>
  <c r="N21" i="55"/>
  <c r="N21" i="48" s="1"/>
  <c r="O21" i="55"/>
  <c r="O21" i="48" s="1"/>
  <c r="T23" i="41"/>
  <c r="V21" i="41"/>
  <c r="V22" i="41"/>
  <c r="M21" i="55"/>
  <c r="M21" i="48" s="1"/>
  <c r="T22" i="41"/>
  <c r="R9" i="55"/>
  <c r="R19" i="55" s="1"/>
  <c r="T204" i="37"/>
  <c r="S199" i="37"/>
  <c r="W67" i="41"/>
  <c r="V18" i="41"/>
  <c r="W66" i="41"/>
  <c r="W64" i="41"/>
  <c r="W65" i="41"/>
  <c r="T18" i="41"/>
  <c r="W69" i="41"/>
  <c r="W6" i="62"/>
  <c r="T195" i="37"/>
  <c r="T197" i="37" s="1"/>
  <c r="T199" i="37" s="1"/>
  <c r="L7" i="48"/>
  <c r="S7" i="48" s="1"/>
  <c r="S10" i="55"/>
  <c r="P10" i="48"/>
  <c r="P9" i="48" s="1"/>
  <c r="P19" i="48" s="1"/>
  <c r="L5" i="55"/>
  <c r="L11" i="55"/>
  <c r="R119" i="40"/>
  <c r="S18" i="48"/>
  <c r="S50" i="45"/>
  <c r="S22" i="55"/>
  <c r="P6" i="48"/>
  <c r="P5" i="48" s="1"/>
  <c r="P5" i="55"/>
  <c r="S6" i="55"/>
  <c r="M19" i="55"/>
  <c r="M9" i="48"/>
  <c r="R19" i="48"/>
  <c r="Q20" i="48"/>
  <c r="Q15" i="48" s="1"/>
  <c r="Q15" i="55"/>
  <c r="S22" i="48"/>
  <c r="Q14" i="55" l="1"/>
  <c r="S6" i="64"/>
  <c r="W20" i="72"/>
  <c r="AS20" i="72" s="1"/>
  <c r="T6" i="64"/>
  <c r="T58" i="64" s="1"/>
  <c r="T127" i="64" s="1"/>
  <c r="U6" i="64"/>
  <c r="U58" i="64" s="1"/>
  <c r="U127" i="64" s="1"/>
  <c r="X21" i="64"/>
  <c r="V21" i="72"/>
  <c r="V23" i="64"/>
  <c r="T23" i="72"/>
  <c r="X23" i="64"/>
  <c r="V23" i="72"/>
  <c r="X22" i="64"/>
  <c r="V22" i="72"/>
  <c r="W22" i="72" s="1"/>
  <c r="V24" i="64"/>
  <c r="T24" i="72"/>
  <c r="R6" i="72"/>
  <c r="R58" i="72" s="1"/>
  <c r="R127" i="72" s="1"/>
  <c r="Q6" i="72"/>
  <c r="Q58" i="72" s="1"/>
  <c r="Q127" i="72" s="1"/>
  <c r="AS60" i="72"/>
  <c r="W64" i="72"/>
  <c r="AR60" i="72"/>
  <c r="V26" i="64"/>
  <c r="T26" i="72"/>
  <c r="W26" i="72" s="1"/>
  <c r="S6" i="72"/>
  <c r="S58" i="72" s="1"/>
  <c r="S127" i="72" s="1"/>
  <c r="X24" i="64"/>
  <c r="V24" i="72"/>
  <c r="V21" i="64"/>
  <c r="T21" i="72"/>
  <c r="V19" i="64"/>
  <c r="T19" i="72"/>
  <c r="X19" i="64"/>
  <c r="V19" i="72"/>
  <c r="W20" i="41"/>
  <c r="Y21" i="64" s="1"/>
  <c r="V22" i="64"/>
  <c r="W21" i="41"/>
  <c r="Y22" i="64" s="1"/>
  <c r="W23" i="41"/>
  <c r="Y24" i="64" s="1"/>
  <c r="W18" i="41"/>
  <c r="W25" i="41"/>
  <c r="Y26" i="64" s="1"/>
  <c r="W22" i="41"/>
  <c r="Y23" i="64" s="1"/>
  <c r="AM41" i="40"/>
  <c r="E22" i="40"/>
  <c r="E5" i="56"/>
  <c r="E23" i="56"/>
  <c r="E14" i="56" s="1"/>
  <c r="F28" i="48"/>
  <c r="J6" i="62"/>
  <c r="S135" i="67" s="1"/>
  <c r="S133" i="67" s="1"/>
  <c r="AR6" i="62"/>
  <c r="AQ6" i="62"/>
  <c r="F39" i="48"/>
  <c r="F41" i="48"/>
  <c r="J27" i="41"/>
  <c r="F22" i="48"/>
  <c r="J19" i="41"/>
  <c r="Y20" i="64"/>
  <c r="AQ19" i="41"/>
  <c r="AR19" i="41"/>
  <c r="AQ67" i="41"/>
  <c r="AR67" i="41"/>
  <c r="AQ65" i="41"/>
  <c r="AR65" i="41"/>
  <c r="AR64" i="41"/>
  <c r="AQ64" i="41"/>
  <c r="AQ62" i="41"/>
  <c r="AR62" i="41"/>
  <c r="AQ69" i="41"/>
  <c r="AR69" i="41"/>
  <c r="AQ66" i="41"/>
  <c r="AR66" i="41"/>
  <c r="E60" i="40"/>
  <c r="T201" i="37"/>
  <c r="T202" i="37" s="1"/>
  <c r="T203" i="37" s="1"/>
  <c r="T205" i="37" s="1"/>
  <c r="AM119" i="40"/>
  <c r="AL119" i="40"/>
  <c r="R20" i="55"/>
  <c r="P20" i="55"/>
  <c r="P20" i="48" s="1"/>
  <c r="W8" i="62"/>
  <c r="L24" i="48"/>
  <c r="L23" i="48" s="1"/>
  <c r="O23" i="55"/>
  <c r="O24" i="48"/>
  <c r="O23" i="48" s="1"/>
  <c r="P24" i="55"/>
  <c r="N23" i="55"/>
  <c r="N24" i="48"/>
  <c r="N23" i="48" s="1"/>
  <c r="M23" i="55"/>
  <c r="M24" i="48"/>
  <c r="M23" i="48" s="1"/>
  <c r="R24" i="55"/>
  <c r="W49" i="41"/>
  <c r="T5" i="41"/>
  <c r="T106" i="41" s="1"/>
  <c r="V5" i="41"/>
  <c r="V106" i="41" s="1"/>
  <c r="S5" i="55"/>
  <c r="U9" i="55"/>
  <c r="R21" i="55"/>
  <c r="R21" i="48" s="1"/>
  <c r="P21" i="55"/>
  <c r="P21" i="48" s="1"/>
  <c r="L15" i="55"/>
  <c r="M20" i="48"/>
  <c r="M15" i="48" s="1"/>
  <c r="N20" i="48"/>
  <c r="N15" i="48" s="1"/>
  <c r="S10" i="48"/>
  <c r="L5" i="48"/>
  <c r="S5" i="48" s="1"/>
  <c r="L11" i="48"/>
  <c r="S11" i="55"/>
  <c r="L9" i="55"/>
  <c r="O15" i="55"/>
  <c r="O20" i="48"/>
  <c r="O15" i="48" s="1"/>
  <c r="S6" i="48"/>
  <c r="N15" i="55"/>
  <c r="Q14" i="48"/>
  <c r="Q25" i="48" s="1"/>
  <c r="M19" i="48"/>
  <c r="Q25" i="55" l="1"/>
  <c r="W21" i="72"/>
  <c r="AR21" i="72" s="1"/>
  <c r="AR20" i="72"/>
  <c r="X6" i="64"/>
  <c r="W23" i="72"/>
  <c r="AR23" i="72" s="1"/>
  <c r="W24" i="72"/>
  <c r="AS24" i="72" s="1"/>
  <c r="AR22" i="72"/>
  <c r="AS22" i="72"/>
  <c r="V6" i="64"/>
  <c r="V58" i="64" s="1"/>
  <c r="V127" i="64" s="1"/>
  <c r="AS26" i="72"/>
  <c r="AR26" i="72"/>
  <c r="AS64" i="72"/>
  <c r="AR64" i="72"/>
  <c r="T6" i="72"/>
  <c r="T58" i="72" s="1"/>
  <c r="T127" i="72" s="1"/>
  <c r="W19" i="72"/>
  <c r="V6" i="72"/>
  <c r="V58" i="72" s="1"/>
  <c r="V127" i="72" s="1"/>
  <c r="R15" i="55"/>
  <c r="AJ135" i="67"/>
  <c r="AJ133" i="67" s="1"/>
  <c r="AL135" i="67"/>
  <c r="AL133" i="67" s="1"/>
  <c r="R135" i="67"/>
  <c r="AF135" i="67"/>
  <c r="AO135" i="67"/>
  <c r="AO133" i="67" s="1"/>
  <c r="AQ135" i="67"/>
  <c r="AQ133" i="67" s="1"/>
  <c r="AN135" i="67"/>
  <c r="AN133" i="67" s="1"/>
  <c r="T135" i="67"/>
  <c r="T133" i="67" s="1"/>
  <c r="AP135" i="67"/>
  <c r="AP133" i="67" s="1"/>
  <c r="AM135" i="67"/>
  <c r="AM133" i="67" s="1"/>
  <c r="AK135" i="67"/>
  <c r="AK133" i="67" s="1"/>
  <c r="AI135" i="67"/>
  <c r="AI133" i="67" s="1"/>
  <c r="AH135" i="67"/>
  <c r="AH133" i="67" s="1"/>
  <c r="AG135" i="67"/>
  <c r="AG133" i="67" s="1"/>
  <c r="AA135" i="67"/>
  <c r="AA133" i="67" s="1"/>
  <c r="Y135" i="67"/>
  <c r="Y133" i="67" s="1"/>
  <c r="AC135" i="67"/>
  <c r="AC133" i="67" s="1"/>
  <c r="Z135" i="67"/>
  <c r="Z133" i="67" s="1"/>
  <c r="X135" i="67"/>
  <c r="X133" i="67" s="1"/>
  <c r="W135" i="67"/>
  <c r="W133" i="67" s="1"/>
  <c r="V135" i="67"/>
  <c r="V133" i="67" s="1"/>
  <c r="U135" i="67"/>
  <c r="U133" i="67" s="1"/>
  <c r="AB135" i="67"/>
  <c r="AB133" i="67" s="1"/>
  <c r="U20" i="55"/>
  <c r="J8" i="62"/>
  <c r="U23" i="55"/>
  <c r="AR8" i="62"/>
  <c r="AQ8" i="62"/>
  <c r="J18" i="41"/>
  <c r="Y19" i="64"/>
  <c r="Y6" i="64" s="1"/>
  <c r="AR18" i="41"/>
  <c r="AQ18" i="41"/>
  <c r="J20" i="41"/>
  <c r="AQ20" i="41"/>
  <c r="AR20" i="41"/>
  <c r="AR49" i="41"/>
  <c r="AQ49" i="41"/>
  <c r="J23" i="41"/>
  <c r="AR23" i="41"/>
  <c r="AQ23" i="41"/>
  <c r="J25" i="41"/>
  <c r="AR25" i="41"/>
  <c r="AQ25" i="41"/>
  <c r="J21" i="41"/>
  <c r="AR21" i="41"/>
  <c r="AQ21" i="41"/>
  <c r="J22" i="41"/>
  <c r="AR22" i="41"/>
  <c r="AQ22" i="41"/>
  <c r="G203" i="37"/>
  <c r="G205" i="37" s="1"/>
  <c r="E9" i="56"/>
  <c r="E25" i="56" s="1"/>
  <c r="E26" i="56" s="1"/>
  <c r="S24" i="55"/>
  <c r="N14" i="55"/>
  <c r="O14" i="55"/>
  <c r="U21" i="55"/>
  <c r="O14" i="48"/>
  <c r="O25" i="48" s="1"/>
  <c r="M14" i="48"/>
  <c r="M25" i="48" s="1"/>
  <c r="N14" i="48"/>
  <c r="N25" i="48" s="1"/>
  <c r="P24" i="48"/>
  <c r="P23" i="55"/>
  <c r="R23" i="55"/>
  <c r="R24" i="48"/>
  <c r="R23" i="48" s="1"/>
  <c r="S20" i="55"/>
  <c r="W5" i="41"/>
  <c r="P15" i="48"/>
  <c r="S21" i="48"/>
  <c r="L20" i="48"/>
  <c r="L15" i="48" s="1"/>
  <c r="M15" i="55"/>
  <c r="S21" i="55"/>
  <c r="P15" i="55"/>
  <c r="L9" i="48"/>
  <c r="S11" i="48"/>
  <c r="S9" i="55"/>
  <c r="L19" i="55"/>
  <c r="L14" i="55"/>
  <c r="Q26" i="48"/>
  <c r="X58" i="64" l="1"/>
  <c r="S19" i="55"/>
  <c r="F65" i="55"/>
  <c r="M14" i="55"/>
  <c r="O25" i="55"/>
  <c r="O32" i="55" s="1"/>
  <c r="N25" i="55"/>
  <c r="Q26" i="55"/>
  <c r="AR24" i="72"/>
  <c r="AS23" i="72"/>
  <c r="AS21" i="72"/>
  <c r="R14" i="55"/>
  <c r="AS19" i="72"/>
  <c r="AR19" i="72"/>
  <c r="W6" i="72"/>
  <c r="AF133" i="67"/>
  <c r="AR135" i="67"/>
  <c r="AR133" i="67" s="1"/>
  <c r="AD135" i="67"/>
  <c r="L58" i="64"/>
  <c r="F21" i="48"/>
  <c r="J5" i="41"/>
  <c r="AR5" i="41"/>
  <c r="AQ5" i="41"/>
  <c r="E19" i="56"/>
  <c r="S23" i="55"/>
  <c r="O26" i="48"/>
  <c r="O32" i="48"/>
  <c r="N26" i="48"/>
  <c r="N32" i="48"/>
  <c r="M26" i="48"/>
  <c r="P14" i="55"/>
  <c r="S24" i="48"/>
  <c r="P23" i="48"/>
  <c r="S23" i="48" s="1"/>
  <c r="R20" i="48"/>
  <c r="R15" i="48" s="1"/>
  <c r="R14" i="48" s="1"/>
  <c r="R25" i="48" s="1"/>
  <c r="S9" i="48"/>
  <c r="V11" i="48" s="1"/>
  <c r="L19" i="48"/>
  <c r="L25" i="55"/>
  <c r="L14" i="48"/>
  <c r="S19" i="48" l="1"/>
  <c r="V19" i="48" s="1"/>
  <c r="V54" i="48"/>
  <c r="V44" i="48"/>
  <c r="V35" i="48"/>
  <c r="V17" i="48"/>
  <c r="Y9" i="48"/>
  <c r="Z9" i="48" s="1"/>
  <c r="V24" i="48"/>
  <c r="V34" i="48"/>
  <c r="V16" i="48"/>
  <c r="V9" i="48"/>
  <c r="V42" i="48"/>
  <c r="V23" i="48"/>
  <c r="V21" i="48"/>
  <c r="V13" i="48"/>
  <c r="V48" i="48"/>
  <c r="V39" i="48"/>
  <c r="V36" i="48"/>
  <c r="V10" i="48"/>
  <c r="V29" i="48"/>
  <c r="V20" i="48"/>
  <c r="V12" i="48"/>
  <c r="V46" i="48"/>
  <c r="V37" i="48"/>
  <c r="V28" i="48"/>
  <c r="V45" i="48"/>
  <c r="V18" i="48"/>
  <c r="V41" i="48"/>
  <c r="V30" i="48"/>
  <c r="V27" i="48"/>
  <c r="V22" i="48"/>
  <c r="X127" i="64"/>
  <c r="N32" i="55"/>
  <c r="N33" i="55" s="1"/>
  <c r="N26" i="55"/>
  <c r="O33" i="55"/>
  <c r="P25" i="55"/>
  <c r="P32" i="55" s="1"/>
  <c r="M25" i="55"/>
  <c r="O26" i="55"/>
  <c r="AR6" i="72"/>
  <c r="AS6" i="72"/>
  <c r="R25" i="55"/>
  <c r="F14" i="55"/>
  <c r="E32" i="56"/>
  <c r="O33" i="48"/>
  <c r="N33" i="48"/>
  <c r="P14" i="48"/>
  <c r="P25" i="48" s="1"/>
  <c r="S15" i="48"/>
  <c r="S14" i="55"/>
  <c r="R26" i="48"/>
  <c r="R32" i="48"/>
  <c r="R33" i="48" s="1"/>
  <c r="S20" i="48"/>
  <c r="S15" i="55"/>
  <c r="L25" i="48"/>
  <c r="L26" i="55"/>
  <c r="L32" i="55"/>
  <c r="V15" i="48" l="1"/>
  <c r="S25" i="55"/>
  <c r="S26" i="55" s="1"/>
  <c r="P26" i="55"/>
  <c r="M26" i="55"/>
  <c r="R26" i="55"/>
  <c r="R32" i="55"/>
  <c r="F20" i="48"/>
  <c r="E33" i="56"/>
  <c r="E43" i="56"/>
  <c r="E47" i="56" s="1"/>
  <c r="E49" i="56" s="1"/>
  <c r="S25" i="48"/>
  <c r="V25" i="48" s="1"/>
  <c r="P33" i="55"/>
  <c r="S14" i="48"/>
  <c r="V14" i="48" s="1"/>
  <c r="P32" i="48"/>
  <c r="P26" i="48"/>
  <c r="L32" i="48"/>
  <c r="L26" i="48"/>
  <c r="L33" i="55"/>
  <c r="R33" i="55" l="1"/>
  <c r="E52" i="56"/>
  <c r="E53" i="56" s="1"/>
  <c r="E50" i="56"/>
  <c r="S26" i="48"/>
  <c r="V26" i="48" s="1"/>
  <c r="P33" i="48"/>
  <c r="L33" i="48"/>
  <c r="F25" i="55" l="1"/>
  <c r="F32" i="55" s="1"/>
  <c r="F14" i="48"/>
  <c r="F33" i="55" l="1"/>
  <c r="F25" i="48"/>
  <c r="U25" i="48" s="1"/>
  <c r="AR54" i="65" l="1"/>
  <c r="AS54" i="65" s="1"/>
  <c r="AS9" i="65"/>
  <c r="AS52" i="65"/>
  <c r="AS50" i="65" s="1"/>
  <c r="AR53" i="65"/>
  <c r="AS53" i="65" s="1"/>
  <c r="AS55" i="65" l="1"/>
  <c r="AS57" i="65" s="1"/>
  <c r="AR55" i="65"/>
  <c r="U101" i="41" s="1"/>
  <c r="Q31" i="55" l="1"/>
  <c r="U99" i="41"/>
  <c r="W101" i="41"/>
  <c r="U71" i="41" l="1"/>
  <c r="U106" i="41" s="1"/>
  <c r="U56" i="72"/>
  <c r="J101" i="41"/>
  <c r="AQ101" i="41"/>
  <c r="AR101" i="41"/>
  <c r="W99" i="41"/>
  <c r="W71" i="41" s="1"/>
  <c r="W56" i="64"/>
  <c r="W28" i="64" s="1"/>
  <c r="W58" i="64" s="1"/>
  <c r="W127" i="64" s="1"/>
  <c r="Q51" i="55"/>
  <c r="Q51" i="48" s="1"/>
  <c r="Q31" i="48"/>
  <c r="Q32" i="48" s="1"/>
  <c r="Q33" i="48" s="1"/>
  <c r="Q32" i="55"/>
  <c r="F31" i="45"/>
  <c r="F25" i="45" s="1"/>
  <c r="F49" i="45" s="1"/>
  <c r="Q33" i="55" l="1"/>
  <c r="U28" i="72"/>
  <c r="U58" i="72" s="1"/>
  <c r="U127" i="72" s="1"/>
  <c r="W56" i="72"/>
  <c r="Y56" i="64"/>
  <c r="AR99" i="41"/>
  <c r="J99" i="41"/>
  <c r="AQ99" i="41"/>
  <c r="F31" i="48"/>
  <c r="F53" i="45"/>
  <c r="F55" i="45"/>
  <c r="F51" i="45"/>
  <c r="F50" i="45" s="1"/>
  <c r="AS56" i="72" l="1"/>
  <c r="AR56" i="72"/>
  <c r="W28" i="72"/>
  <c r="W58" i="72" s="1"/>
  <c r="W28" i="42"/>
  <c r="AS28" i="72" l="1"/>
  <c r="AR28" i="72"/>
  <c r="Y89" i="64"/>
  <c r="Y126" i="64" s="1"/>
  <c r="W68" i="42"/>
  <c r="I40" i="48"/>
  <c r="I38" i="48" s="1"/>
  <c r="I43" i="48" s="1"/>
  <c r="I47" i="48" s="1"/>
  <c r="I49" i="48" s="1"/>
  <c r="I38" i="55"/>
  <c r="AQ28" i="42"/>
  <c r="J28" i="42"/>
  <c r="AR28" i="42"/>
  <c r="H40" i="48"/>
  <c r="H38" i="48" s="1"/>
  <c r="H38" i="55"/>
  <c r="O38" i="55"/>
  <c r="O40" i="48"/>
  <c r="O38" i="48" s="1"/>
  <c r="M40" i="48"/>
  <c r="M38" i="48" s="1"/>
  <c r="M38" i="55"/>
  <c r="G40" i="48"/>
  <c r="G38" i="55"/>
  <c r="S40" i="55"/>
  <c r="R38" i="55"/>
  <c r="R43" i="55" s="1"/>
  <c r="R40" i="48"/>
  <c r="R38" i="48" s="1"/>
  <c r="Q38" i="55"/>
  <c r="Q40" i="48"/>
  <c r="Q38" i="48" s="1"/>
  <c r="K40" i="48"/>
  <c r="K38" i="48" s="1"/>
  <c r="K38" i="55"/>
  <c r="P40" i="48"/>
  <c r="P38" i="48" s="1"/>
  <c r="P38" i="55"/>
  <c r="L38" i="55"/>
  <c r="L40" i="48"/>
  <c r="L38" i="48" s="1"/>
  <c r="J40" i="48"/>
  <c r="J38" i="48" s="1"/>
  <c r="J38" i="55"/>
  <c r="N38" i="55"/>
  <c r="N40" i="48"/>
  <c r="N38" i="48" s="1"/>
  <c r="G43" i="55" l="1"/>
  <c r="G47" i="55" s="1"/>
  <c r="I58" i="55"/>
  <c r="I59" i="55" s="1"/>
  <c r="W127" i="72"/>
  <c r="AS58" i="72"/>
  <c r="AR58" i="72"/>
  <c r="I62" i="48"/>
  <c r="I63" i="48" s="1"/>
  <c r="I43" i="55"/>
  <c r="I62" i="55"/>
  <c r="I61" i="55" s="1"/>
  <c r="I58" i="48"/>
  <c r="I59" i="48" s="1"/>
  <c r="J68" i="42"/>
  <c r="G38" i="48"/>
  <c r="S40" i="48"/>
  <c r="V40" i="48" s="1"/>
  <c r="J62" i="55"/>
  <c r="J43" i="55"/>
  <c r="J58" i="55"/>
  <c r="R58" i="48"/>
  <c r="R57" i="48" s="1"/>
  <c r="R43" i="48"/>
  <c r="R47" i="48" s="1"/>
  <c r="R49" i="48" s="1"/>
  <c r="R62" i="48"/>
  <c r="I52" i="48"/>
  <c r="I53" i="48" s="1"/>
  <c r="I50" i="48"/>
  <c r="P43" i="48"/>
  <c r="P47" i="48" s="1"/>
  <c r="P49" i="48" s="1"/>
  <c r="P62" i="48"/>
  <c r="P58" i="48"/>
  <c r="J62" i="48"/>
  <c r="J58" i="48"/>
  <c r="J43" i="48"/>
  <c r="J47" i="48" s="1"/>
  <c r="J49" i="48" s="1"/>
  <c r="K43" i="55"/>
  <c r="K62" i="55"/>
  <c r="K58" i="55"/>
  <c r="K58" i="48"/>
  <c r="K43" i="48"/>
  <c r="K47" i="48" s="1"/>
  <c r="K49" i="48" s="1"/>
  <c r="K62" i="48"/>
  <c r="Q62" i="48"/>
  <c r="Q43" i="48"/>
  <c r="Q47" i="48" s="1"/>
  <c r="Q49" i="48" s="1"/>
  <c r="Q58" i="48"/>
  <c r="O58" i="48"/>
  <c r="O43" i="48"/>
  <c r="O47" i="48" s="1"/>
  <c r="O49" i="48" s="1"/>
  <c r="O62" i="48"/>
  <c r="G62" i="55"/>
  <c r="S38" i="55"/>
  <c r="G58" i="55"/>
  <c r="Q43" i="55"/>
  <c r="Q58" i="55"/>
  <c r="Q62" i="55"/>
  <c r="O58" i="55"/>
  <c r="O62" i="55"/>
  <c r="O43" i="55"/>
  <c r="R62" i="55"/>
  <c r="R58" i="55"/>
  <c r="R47" i="55"/>
  <c r="R49" i="55" s="1"/>
  <c r="L58" i="48"/>
  <c r="L62" i="48"/>
  <c r="L43" i="48"/>
  <c r="L47" i="48" s="1"/>
  <c r="L49" i="48" s="1"/>
  <c r="L62" i="55"/>
  <c r="L58" i="55"/>
  <c r="L43" i="55"/>
  <c r="N58" i="48"/>
  <c r="N62" i="48"/>
  <c r="N43" i="48"/>
  <c r="N47" i="48" s="1"/>
  <c r="N49" i="48" s="1"/>
  <c r="H43" i="55"/>
  <c r="H58" i="55"/>
  <c r="H62" i="55"/>
  <c r="P43" i="55"/>
  <c r="P58" i="55"/>
  <c r="P62" i="55"/>
  <c r="N58" i="55"/>
  <c r="N62" i="55"/>
  <c r="N43" i="55"/>
  <c r="H62" i="48"/>
  <c r="H43" i="48"/>
  <c r="H47" i="48" s="1"/>
  <c r="H49" i="48" s="1"/>
  <c r="H58" i="48"/>
  <c r="I57" i="55" l="1"/>
  <c r="H47" i="55"/>
  <c r="H49" i="55" s="1"/>
  <c r="H50" i="55" s="1"/>
  <c r="J47" i="55"/>
  <c r="J49" i="55" s="1"/>
  <c r="J50" i="55" s="1"/>
  <c r="O47" i="55"/>
  <c r="O49" i="55" s="1"/>
  <c r="O52" i="55" s="1"/>
  <c r="O53" i="55" s="1"/>
  <c r="N47" i="55"/>
  <c r="N49" i="55" s="1"/>
  <c r="N50" i="55" s="1"/>
  <c r="K47" i="55"/>
  <c r="K49" i="55" s="1"/>
  <c r="K52" i="55" s="1"/>
  <c r="K53" i="55" s="1"/>
  <c r="L47" i="55"/>
  <c r="L49" i="55" s="1"/>
  <c r="L52" i="55" s="1"/>
  <c r="L53" i="55" s="1"/>
  <c r="Q47" i="55"/>
  <c r="Q49" i="55" s="1"/>
  <c r="Q50" i="55" s="1"/>
  <c r="P47" i="55"/>
  <c r="P49" i="55" s="1"/>
  <c r="P52" i="55" s="1"/>
  <c r="P53" i="55" s="1"/>
  <c r="I47" i="55"/>
  <c r="I49" i="55" s="1"/>
  <c r="I50" i="55" s="1"/>
  <c r="AS127" i="72"/>
  <c r="AR127" i="72"/>
  <c r="AG342" i="67"/>
  <c r="AQ345" i="67"/>
  <c r="AP349" i="67"/>
  <c r="AO353" i="67"/>
  <c r="AO343" i="67"/>
  <c r="AM342" i="67"/>
  <c r="AL346" i="67"/>
  <c r="AK350" i="67"/>
  <c r="AJ354" i="67"/>
  <c r="AJ344" i="67"/>
  <c r="AI348" i="67"/>
  <c r="AM344" i="67"/>
  <c r="AK352" i="67"/>
  <c r="AJ346" i="67"/>
  <c r="AG349" i="67"/>
  <c r="AQ342" i="67"/>
  <c r="AO350" i="67"/>
  <c r="AO349" i="67"/>
  <c r="AN343" i="67"/>
  <c r="AK346" i="67"/>
  <c r="AI354" i="67"/>
  <c r="AH348" i="67"/>
  <c r="AH347" i="67"/>
  <c r="AQ354" i="67"/>
  <c r="AP348" i="67"/>
  <c r="AM351" i="67"/>
  <c r="AL345" i="67"/>
  <c r="AJ353" i="67"/>
  <c r="AJ352" i="67"/>
  <c r="AI346" i="67"/>
  <c r="AQ348" i="67"/>
  <c r="AP342" i="67"/>
  <c r="AN350" i="67"/>
  <c r="AN349" i="67"/>
  <c r="AM343" i="67"/>
  <c r="AL344" i="67"/>
  <c r="AH354" i="67"/>
  <c r="AG348" i="67"/>
  <c r="AP355" i="67"/>
  <c r="AP354" i="67"/>
  <c r="AO348" i="67"/>
  <c r="AL351" i="67"/>
  <c r="AK345" i="67"/>
  <c r="AI353" i="67"/>
  <c r="AI352" i="67"/>
  <c r="AH346" i="67"/>
  <c r="AM349" i="67"/>
  <c r="AO342" i="67"/>
  <c r="AM350" i="67"/>
  <c r="AO345" i="67"/>
  <c r="AL343" i="67"/>
  <c r="AJ351" i="67"/>
  <c r="AH352" i="67"/>
  <c r="AG344" i="67"/>
  <c r="AP351" i="67"/>
  <c r="AJ348" i="67"/>
  <c r="AO344" i="67"/>
  <c r="AM352" i="67"/>
  <c r="AJ355" i="67"/>
  <c r="AI349" i="67"/>
  <c r="AH343" i="67"/>
  <c r="AH342" i="67"/>
  <c r="AQ349" i="67"/>
  <c r="AN352" i="67"/>
  <c r="AM346" i="67"/>
  <c r="AK354" i="67"/>
  <c r="AK353" i="67"/>
  <c r="AJ347" i="67"/>
  <c r="AH355" i="67"/>
  <c r="AQ343" i="67"/>
  <c r="AO351" i="67"/>
  <c r="AN345" i="67"/>
  <c r="AN344" i="67"/>
  <c r="AL352" i="67"/>
  <c r="AI355" i="67"/>
  <c r="AH349" i="67"/>
  <c r="AJ343" i="67"/>
  <c r="AI347" i="67"/>
  <c r="AH351" i="67"/>
  <c r="AG355" i="67"/>
  <c r="AG345" i="67"/>
  <c r="AP343" i="67"/>
  <c r="AO347" i="67"/>
  <c r="AN351" i="67"/>
  <c r="AM355" i="67"/>
  <c r="AM345" i="67"/>
  <c r="AL349" i="67"/>
  <c r="AL348" i="67"/>
  <c r="AK342" i="67"/>
  <c r="AH345" i="67"/>
  <c r="AQ352" i="67"/>
  <c r="AP346" i="67"/>
  <c r="AP345" i="67"/>
  <c r="AN353" i="67"/>
  <c r="AM347" i="67"/>
  <c r="AJ350" i="67"/>
  <c r="AI344" i="67"/>
  <c r="AG352" i="67"/>
  <c r="AG351" i="67"/>
  <c r="AQ344" i="67"/>
  <c r="AN347" i="67"/>
  <c r="AL355" i="67"/>
  <c r="AK349" i="67"/>
  <c r="AK348" i="67"/>
  <c r="AJ342" i="67"/>
  <c r="AH350" i="67"/>
  <c r="AP352" i="67"/>
  <c r="AO346" i="67"/>
  <c r="AM354" i="67"/>
  <c r="AM353" i="67"/>
  <c r="AL347" i="67"/>
  <c r="AI350" i="67"/>
  <c r="AH344" i="67"/>
  <c r="AQ351" i="67"/>
  <c r="AQ350" i="67"/>
  <c r="AP344" i="67"/>
  <c r="AG347" i="67"/>
  <c r="AK355" i="67"/>
  <c r="AJ349" i="67"/>
  <c r="AI343" i="67"/>
  <c r="AI342" i="67"/>
  <c r="AG350" i="67"/>
  <c r="AO352" i="67"/>
  <c r="AN346" i="67"/>
  <c r="AL354" i="67"/>
  <c r="AL353" i="67"/>
  <c r="AK347" i="67"/>
  <c r="AG354" i="67"/>
  <c r="AQ347" i="67"/>
  <c r="AO355" i="67"/>
  <c r="AO354" i="67"/>
  <c r="AN348" i="67"/>
  <c r="AK351" i="67"/>
  <c r="AJ345" i="67"/>
  <c r="AH353" i="67"/>
  <c r="AP350" i="67"/>
  <c r="AG346" i="67"/>
  <c r="AP353" i="67"/>
  <c r="AN342" i="67"/>
  <c r="AL350" i="67"/>
  <c r="AK344" i="67"/>
  <c r="AK343" i="67"/>
  <c r="AI351" i="67"/>
  <c r="AQ353" i="67"/>
  <c r="AP347" i="67"/>
  <c r="AN355" i="67"/>
  <c r="AN354" i="67"/>
  <c r="AM348" i="67"/>
  <c r="AL342" i="67"/>
  <c r="AI345" i="67"/>
  <c r="AG343" i="67"/>
  <c r="AQ346" i="67"/>
  <c r="AG353" i="67"/>
  <c r="AQ355" i="67"/>
  <c r="AF355" i="67"/>
  <c r="AF353" i="67"/>
  <c r="AF351" i="67"/>
  <c r="AF350" i="67"/>
  <c r="AF348" i="67"/>
  <c r="AF346" i="67"/>
  <c r="AF344" i="67"/>
  <c r="AF342" i="67"/>
  <c r="AF354" i="67"/>
  <c r="AF352" i="67"/>
  <c r="AF349" i="67"/>
  <c r="AF347" i="67"/>
  <c r="AF345" i="67"/>
  <c r="AF343" i="67"/>
  <c r="AG254" i="67"/>
  <c r="AP271" i="67"/>
  <c r="AN289" i="67"/>
  <c r="AL307" i="67"/>
  <c r="AJ325" i="67"/>
  <c r="AN270" i="67"/>
  <c r="AL288" i="67"/>
  <c r="AJ306" i="67"/>
  <c r="AH324" i="67"/>
  <c r="AO270" i="67"/>
  <c r="AM288" i="67"/>
  <c r="AK306" i="67"/>
  <c r="AI324" i="67"/>
  <c r="AJ254" i="67"/>
  <c r="AH272" i="67"/>
  <c r="AK275" i="67"/>
  <c r="AH298" i="67"/>
  <c r="AP320" i="67"/>
  <c r="AN340" i="67"/>
  <c r="AI265" i="67"/>
  <c r="AJ327" i="67"/>
  <c r="AQ273" i="67"/>
  <c r="AN296" i="67"/>
  <c r="AQ320" i="67"/>
  <c r="AL285" i="67"/>
  <c r="AP259" i="67"/>
  <c r="AP283" i="67"/>
  <c r="AM306" i="67"/>
  <c r="AM328" i="67"/>
  <c r="AK298" i="67"/>
  <c r="AN263" i="67"/>
  <c r="AK287" i="67"/>
  <c r="AP309" i="67"/>
  <c r="AL331" i="67"/>
  <c r="AO273" i="67"/>
  <c r="AI309" i="67"/>
  <c r="AH302" i="67"/>
  <c r="AO310" i="67"/>
  <c r="AM273" i="67"/>
  <c r="AG266" i="67"/>
  <c r="AG302" i="67"/>
  <c r="AH335" i="67"/>
  <c r="AK299" i="67"/>
  <c r="AO264" i="67"/>
  <c r="AK276" i="67"/>
  <c r="AJ334" i="67"/>
  <c r="AJ296" i="67"/>
  <c r="AO276" i="67"/>
  <c r="AI312" i="67"/>
  <c r="AG261" i="67"/>
  <c r="AG340" i="67"/>
  <c r="AP315" i="67"/>
  <c r="AP328" i="67"/>
  <c r="AM289" i="67"/>
  <c r="AG325" i="67"/>
  <c r="AN287" i="67"/>
  <c r="AM264" i="67"/>
  <c r="AN318" i="67"/>
  <c r="AJ313" i="67"/>
  <c r="AL259" i="67"/>
  <c r="AN258" i="67"/>
  <c r="AL295" i="67"/>
  <c r="AM329" i="67"/>
  <c r="AP277" i="67"/>
  <c r="AI280" i="67"/>
  <c r="AO334" i="67"/>
  <c r="AN264" i="67"/>
  <c r="AO300" i="67"/>
  <c r="AO313" i="67"/>
  <c r="AH337" i="67"/>
  <c r="AI281" i="67"/>
  <c r="AO297" i="67"/>
  <c r="AH280" i="67"/>
  <c r="AL262" i="67"/>
  <c r="AL303" i="67"/>
  <c r="AJ311" i="67"/>
  <c r="AL274" i="67"/>
  <c r="AO256" i="67"/>
  <c r="AI310" i="67"/>
  <c r="AH258" i="67"/>
  <c r="AJ280" i="67"/>
  <c r="AN325" i="67"/>
  <c r="AM280" i="67"/>
  <c r="AP278" i="67"/>
  <c r="AI331" i="67"/>
  <c r="AH265" i="67"/>
  <c r="AI311" i="67"/>
  <c r="AN314" i="67"/>
  <c r="AG292" i="67"/>
  <c r="AM335" i="67"/>
  <c r="AQ316" i="67"/>
  <c r="AH276" i="67"/>
  <c r="AJ274" i="67"/>
  <c r="AJ255" i="67"/>
  <c r="AH273" i="67"/>
  <c r="AQ290" i="67"/>
  <c r="AO308" i="67"/>
  <c r="AH254" i="67"/>
  <c r="AQ271" i="67"/>
  <c r="AO289" i="67"/>
  <c r="AM307" i="67"/>
  <c r="AI254" i="67"/>
  <c r="AG272" i="67"/>
  <c r="AP289" i="67"/>
  <c r="AN307" i="67"/>
  <c r="AL325" i="67"/>
  <c r="AM255" i="67"/>
  <c r="AK273" i="67"/>
  <c r="AI277" i="67"/>
  <c r="AN299" i="67"/>
  <c r="AK322" i="67"/>
  <c r="AK319" i="67"/>
  <c r="AL270" i="67"/>
  <c r="AK331" i="67"/>
  <c r="AL275" i="67"/>
  <c r="AI298" i="67"/>
  <c r="AJ324" i="67"/>
  <c r="AK290" i="67"/>
  <c r="AL261" i="67"/>
  <c r="AK285" i="67"/>
  <c r="AH308" i="67"/>
  <c r="AQ329" i="67"/>
  <c r="AJ303" i="67"/>
  <c r="AJ265" i="67"/>
  <c r="AQ288" i="67"/>
  <c r="AN311" i="67"/>
  <c r="AP332" i="67"/>
  <c r="AL276" i="67"/>
  <c r="AQ311" i="67"/>
  <c r="AK309" i="67"/>
  <c r="AQ327" i="67"/>
  <c r="AJ286" i="67"/>
  <c r="AL268" i="67"/>
  <c r="AJ304" i="67"/>
  <c r="AL337" i="67"/>
  <c r="AH307" i="67"/>
  <c r="AH281" i="67"/>
  <c r="AK296" i="67"/>
  <c r="AQ269" i="67"/>
  <c r="AO316" i="67"/>
  <c r="AO279" i="67"/>
  <c r="AQ314" i="67"/>
  <c r="AN269" i="67"/>
  <c r="AP307" i="67"/>
  <c r="AN334" i="67"/>
  <c r="AI255" i="67"/>
  <c r="AM292" i="67"/>
  <c r="AL327" i="67"/>
  <c r="AN292" i="67"/>
  <c r="AQ282" i="67"/>
  <c r="AJ323" i="67"/>
  <c r="AH261" i="67"/>
  <c r="AQ331" i="67"/>
  <c r="AQ297" i="67"/>
  <c r="AM267" i="67"/>
  <c r="AI257" i="67"/>
  <c r="AJ292" i="67"/>
  <c r="AK292" i="67"/>
  <c r="AM256" i="67"/>
  <c r="AK274" i="67"/>
  <c r="AI292" i="67"/>
  <c r="AG310" i="67"/>
  <c r="AK255" i="67"/>
  <c r="AI273" i="67"/>
  <c r="AG291" i="67"/>
  <c r="AP308" i="67"/>
  <c r="AL255" i="67"/>
  <c r="AJ273" i="67"/>
  <c r="AH291" i="67"/>
  <c r="AQ308" i="67"/>
  <c r="AO326" i="67"/>
  <c r="AP256" i="67"/>
  <c r="AK254" i="67"/>
  <c r="AO278" i="67"/>
  <c r="AL301" i="67"/>
  <c r="AQ323" i="67"/>
  <c r="AL322" i="67"/>
  <c r="AQ275" i="67"/>
  <c r="AL335" i="67"/>
  <c r="AJ277" i="67"/>
  <c r="AO299" i="67"/>
  <c r="AH327" i="67"/>
  <c r="AJ295" i="67"/>
  <c r="AL263" i="67"/>
  <c r="AQ286" i="67"/>
  <c r="AN309" i="67"/>
  <c r="AJ331" i="67"/>
  <c r="AI308" i="67"/>
  <c r="AJ267" i="67"/>
  <c r="AL290" i="67"/>
  <c r="AI313" i="67"/>
  <c r="AI334" i="67"/>
  <c r="AI279" i="67"/>
  <c r="AI314" i="67"/>
  <c r="AP314" i="67"/>
  <c r="AK340" i="67"/>
  <c r="AG306" i="67"/>
  <c r="AK271" i="67"/>
  <c r="AG307" i="67"/>
  <c r="AI339" i="67"/>
  <c r="AH317" i="67"/>
  <c r="AM303" i="67"/>
  <c r="AP316" i="67"/>
  <c r="AN295" i="67"/>
  <c r="AH260" i="67"/>
  <c r="AO281" i="67"/>
  <c r="AI317" i="67"/>
  <c r="AO271" i="67"/>
  <c r="AJ318" i="67"/>
  <c r="AO267" i="67"/>
  <c r="AL258" i="67"/>
  <c r="AM294" i="67"/>
  <c r="AK329" i="67"/>
  <c r="AN297" i="67"/>
  <c r="AQ302" i="67"/>
  <c r="AH271" i="67"/>
  <c r="AI336" i="67"/>
  <c r="AQ300" i="67"/>
  <c r="AG264" i="67"/>
  <c r="AL300" i="67"/>
  <c r="AO333" i="67"/>
  <c r="AP282" i="67"/>
  <c r="AK313" i="67"/>
  <c r="AM283" i="67"/>
  <c r="AG270" i="67"/>
  <c r="AO305" i="67"/>
  <c r="AN278" i="67"/>
  <c r="AP257" i="67"/>
  <c r="AN275" i="67"/>
  <c r="AL293" i="67"/>
  <c r="AN256" i="67"/>
  <c r="AH310" i="67"/>
  <c r="AM274" i="67"/>
  <c r="AG328" i="67"/>
  <c r="AG256" i="67"/>
  <c r="AG303" i="67"/>
  <c r="AO325" i="67"/>
  <c r="AL254" i="67"/>
  <c r="AM301" i="67"/>
  <c r="AI300" i="67"/>
  <c r="AO288" i="67"/>
  <c r="AN332" i="67"/>
  <c r="AQ268" i="67"/>
  <c r="AO314" i="67"/>
  <c r="AL281" i="67"/>
  <c r="AP319" i="67"/>
  <c r="AK326" i="67"/>
  <c r="AJ309" i="67"/>
  <c r="AP324" i="67"/>
  <c r="AK318" i="67"/>
  <c r="AL284" i="67"/>
  <c r="AN277" i="67"/>
  <c r="AI288" i="67"/>
  <c r="AM297" i="67"/>
  <c r="AN302" i="67"/>
  <c r="AG255" i="67"/>
  <c r="AM323" i="67"/>
  <c r="AO330" i="67"/>
  <c r="AK291" i="67"/>
  <c r="AQ319" i="67"/>
  <c r="AO327" i="67"/>
  <c r="AQ260" i="67"/>
  <c r="AN331" i="67"/>
  <c r="AN320" i="67"/>
  <c r="AJ291" i="67"/>
  <c r="AH259" i="67"/>
  <c r="AQ276" i="67"/>
  <c r="AO294" i="67"/>
  <c r="AM312" i="67"/>
  <c r="AQ257" i="67"/>
  <c r="AO275" i="67"/>
  <c r="AM293" i="67"/>
  <c r="AK311" i="67"/>
  <c r="AG258" i="67"/>
  <c r="AP275" i="67"/>
  <c r="AN293" i="67"/>
  <c r="AL311" i="67"/>
  <c r="AJ329" i="67"/>
  <c r="AK259" i="67"/>
  <c r="AN257" i="67"/>
  <c r="AP281" i="67"/>
  <c r="AM304" i="67"/>
  <c r="AG327" i="67"/>
  <c r="AL328" i="67"/>
  <c r="AQ283" i="67"/>
  <c r="AH256" i="67"/>
  <c r="AK280" i="67"/>
  <c r="AH303" i="67"/>
  <c r="AQ333" i="67"/>
  <c r="AP304" i="67"/>
  <c r="AH267" i="67"/>
  <c r="AJ290" i="67"/>
  <c r="AG313" i="67"/>
  <c r="AG334" i="67"/>
  <c r="AM319" i="67"/>
  <c r="AQ270" i="67"/>
  <c r="AP293" i="67"/>
  <c r="AJ316" i="67"/>
  <c r="AG337" i="67"/>
  <c r="AI284" i="67"/>
  <c r="AI319" i="67"/>
  <c r="AP326" i="67"/>
  <c r="AH286" i="67"/>
  <c r="AI337" i="67"/>
  <c r="AM276" i="67"/>
  <c r="AG312" i="67"/>
  <c r="AL257" i="67"/>
  <c r="AH329" i="67"/>
  <c r="AO338" i="67"/>
  <c r="AP262" i="67"/>
  <c r="AM338" i="67"/>
  <c r="AH314" i="67"/>
  <c r="AL287" i="67"/>
  <c r="AI322" i="67"/>
  <c r="AQ284" i="67"/>
  <c r="AI340" i="67"/>
  <c r="AN308" i="67"/>
  <c r="AP263" i="67"/>
  <c r="AM299" i="67"/>
  <c r="AM333" i="67"/>
  <c r="AK307" i="67"/>
  <c r="AJ336" i="67"/>
  <c r="AG309" i="67"/>
  <c r="AQ287" i="67"/>
  <c r="AP338" i="67"/>
  <c r="AO269" i="67"/>
  <c r="AL305" i="67"/>
  <c r="AJ338" i="67"/>
  <c r="AP287" i="67"/>
  <c r="AL313" i="67"/>
  <c r="AO318" i="67"/>
  <c r="AJ275" i="67"/>
  <c r="AL323" i="67"/>
  <c r="AG333" i="67"/>
  <c r="AK260" i="67"/>
  <c r="AI278" i="67"/>
  <c r="AG296" i="67"/>
  <c r="AP313" i="67"/>
  <c r="AI259" i="67"/>
  <c r="AG277" i="67"/>
  <c r="AP294" i="67"/>
  <c r="AN312" i="67"/>
  <c r="AJ259" i="67"/>
  <c r="AH277" i="67"/>
  <c r="AQ294" i="67"/>
  <c r="AO312" i="67"/>
  <c r="AM330" i="67"/>
  <c r="AN260" i="67"/>
  <c r="AN259" i="67"/>
  <c r="AN283" i="67"/>
  <c r="AN261" i="67"/>
  <c r="AL279" i="67"/>
  <c r="AJ297" i="67"/>
  <c r="AH315" i="67"/>
  <c r="AL260" i="67"/>
  <c r="AJ278" i="67"/>
  <c r="AH296" i="67"/>
  <c r="AQ313" i="67"/>
  <c r="AM260" i="67"/>
  <c r="AK278" i="67"/>
  <c r="AI296" i="67"/>
  <c r="AG314" i="67"/>
  <c r="AP331" i="67"/>
  <c r="AQ261" i="67"/>
  <c r="AJ261" i="67"/>
  <c r="AI285" i="67"/>
  <c r="AQ307" i="67"/>
  <c r="AO329" i="67"/>
  <c r="AM332" i="67"/>
  <c r="AQ291" i="67"/>
  <c r="AO259" i="67"/>
  <c r="AO283" i="67"/>
  <c r="AQ262" i="67"/>
  <c r="AM298" i="67"/>
  <c r="AO261" i="67"/>
  <c r="AK297" i="67"/>
  <c r="AP261" i="67"/>
  <c r="AL297" i="67"/>
  <c r="AH333" i="67"/>
  <c r="AJ263" i="67"/>
  <c r="AH306" i="67"/>
  <c r="AQ337" i="67"/>
  <c r="AO309" i="67"/>
  <c r="AP286" i="67"/>
  <c r="AM317" i="67"/>
  <c r="AG330" i="67"/>
  <c r="AP291" i="67"/>
  <c r="AM322" i="67"/>
  <c r="AN328" i="67"/>
  <c r="AL282" i="67"/>
  <c r="AI321" i="67"/>
  <c r="AK268" i="67"/>
  <c r="AQ328" i="67"/>
  <c r="AH332" i="67"/>
  <c r="AQ334" i="67"/>
  <c r="AJ314" i="67"/>
  <c r="AN281" i="67"/>
  <c r="AI291" i="67"/>
  <c r="AH312" i="67"/>
  <c r="AM257" i="67"/>
  <c r="AI307" i="67"/>
  <c r="AK305" i="67"/>
  <c r="AP298" i="67"/>
  <c r="AP276" i="67"/>
  <c r="AQ335" i="67"/>
  <c r="AM305" i="67"/>
  <c r="AM262" i="67"/>
  <c r="AH270" i="67"/>
  <c r="AL266" i="67"/>
  <c r="AL315" i="67"/>
  <c r="AO272" i="67"/>
  <c r="AJ262" i="67"/>
  <c r="AG339" i="67"/>
  <c r="AL308" i="67"/>
  <c r="AO337" i="67"/>
  <c r="AK281" i="67"/>
  <c r="AN272" i="67"/>
  <c r="AH275" i="67"/>
  <c r="AH283" i="67"/>
  <c r="AG259" i="67"/>
  <c r="AI295" i="67"/>
  <c r="AP336" i="67"/>
  <c r="AM285" i="67"/>
  <c r="AL286" i="67"/>
  <c r="AJ321" i="67"/>
  <c r="AO319" i="67"/>
  <c r="AH292" i="67"/>
  <c r="AG331" i="67"/>
  <c r="AQ324" i="67"/>
  <c r="AH257" i="67"/>
  <c r="AM282" i="67"/>
  <c r="AK325" i="67"/>
  <c r="AM308" i="67"/>
  <c r="AG275" i="67"/>
  <c r="AH285" i="67"/>
  <c r="AQ258" i="67"/>
  <c r="AM271" i="67"/>
  <c r="AK266" i="67"/>
  <c r="AM295" i="67"/>
  <c r="AN273" i="67"/>
  <c r="AH340" i="67"/>
  <c r="AG274" i="67"/>
  <c r="AM286" i="67"/>
  <c r="AN282" i="67"/>
  <c r="AK265" i="67"/>
  <c r="AQ325" i="67"/>
  <c r="AK304" i="67"/>
  <c r="AP269" i="67"/>
  <c r="AI264" i="67"/>
  <c r="AP299" i="67"/>
  <c r="AG263" i="67"/>
  <c r="AN298" i="67"/>
  <c r="AH263" i="67"/>
  <c r="AO298" i="67"/>
  <c r="AK334" i="67"/>
  <c r="AQ264" i="67"/>
  <c r="AL309" i="67"/>
  <c r="AJ339" i="67"/>
  <c r="AH313" i="67"/>
  <c r="AN288" i="67"/>
  <c r="AN336" i="67"/>
  <c r="AH334" i="67"/>
  <c r="AK293" i="67"/>
  <c r="AK324" i="67"/>
  <c r="AO332" i="67"/>
  <c r="AG284" i="67"/>
  <c r="AG323" i="67"/>
  <c r="AJ271" i="67"/>
  <c r="AP330" i="67"/>
  <c r="AP305" i="67"/>
  <c r="AQ254" i="67"/>
  <c r="AG317" i="67"/>
  <c r="AN286" i="67"/>
  <c r="AQ310" i="67"/>
  <c r="AH322" i="67"/>
  <c r="AP260" i="67"/>
  <c r="AQ309" i="67"/>
  <c r="AK310" i="67"/>
  <c r="AJ326" i="67"/>
  <c r="AP279" i="67"/>
  <c r="AM315" i="67"/>
  <c r="AP290" i="67"/>
  <c r="AI318" i="67"/>
  <c r="AL256" i="67"/>
  <c r="AM254" i="67"/>
  <c r="AP325" i="67"/>
  <c r="AM324" i="67"/>
  <c r="AI333" i="67"/>
  <c r="AK257" i="67"/>
  <c r="AL330" i="67"/>
  <c r="AO263" i="67"/>
  <c r="AK315" i="67"/>
  <c r="AQ339" i="67"/>
  <c r="AH304" i="67"/>
  <c r="AL265" i="67"/>
  <c r="AH301" i="67"/>
  <c r="AJ264" i="67"/>
  <c r="AQ299" i="67"/>
  <c r="AK264" i="67"/>
  <c r="AG300" i="67"/>
  <c r="AN335" i="67"/>
  <c r="AM266" i="67"/>
  <c r="AG311" i="67"/>
  <c r="AP329" i="67"/>
  <c r="AG318" i="67"/>
  <c r="AI290" i="67"/>
  <c r="AK339" i="67"/>
  <c r="AL320" i="67"/>
  <c r="AP300" i="67"/>
  <c r="AH288" i="67"/>
  <c r="AO321" i="67"/>
  <c r="AO282" i="67"/>
  <c r="AI276" i="67"/>
  <c r="AO311" i="67"/>
  <c r="AN266" i="67"/>
  <c r="AO339" i="67"/>
  <c r="AL292" i="67"/>
  <c r="AG290" i="67"/>
  <c r="AQ322" i="67"/>
  <c r="AQ265" i="67"/>
  <c r="AL312" i="67"/>
  <c r="AO266" i="67"/>
  <c r="AK302" i="67"/>
  <c r="AM265" i="67"/>
  <c r="AI301" i="67"/>
  <c r="AN265" i="67"/>
  <c r="AJ301" i="67"/>
  <c r="AQ336" i="67"/>
  <c r="AM268" i="67"/>
  <c r="AP312" i="67"/>
  <c r="AJ335" i="67"/>
  <c r="AN322" i="67"/>
  <c r="AO291" i="67"/>
  <c r="AK335" i="67"/>
  <c r="AI256" i="67"/>
  <c r="AO296" i="67"/>
  <c r="AI327" i="67"/>
  <c r="AO254" i="67"/>
  <c r="AK295" i="67"/>
  <c r="AG326" i="67"/>
  <c r="AI289" i="67"/>
  <c r="AG335" i="67"/>
  <c r="AJ332" i="67"/>
  <c r="AJ260" i="67"/>
  <c r="AG322" i="67"/>
  <c r="AH297" i="67"/>
  <c r="AM259" i="67"/>
  <c r="AJ330" i="67"/>
  <c r="AI266" i="67"/>
  <c r="AQ326" i="67"/>
  <c r="AH323" i="67"/>
  <c r="AM278" i="67"/>
  <c r="AP284" i="67"/>
  <c r="AM258" i="67"/>
  <c r="AL338" i="67"/>
  <c r="AL326" i="67"/>
  <c r="AH328" i="67"/>
  <c r="AO277" i="67"/>
  <c r="AI323" i="67"/>
  <c r="AM290" i="67"/>
  <c r="AI326" i="67"/>
  <c r="AI262" i="67"/>
  <c r="AM313" i="67"/>
  <c r="AK317" i="67"/>
  <c r="AK321" i="67"/>
  <c r="AG280" i="67"/>
  <c r="AI325" i="67"/>
  <c r="AP292" i="67"/>
  <c r="AL340" i="67"/>
  <c r="AQ272" i="67"/>
  <c r="AL336" i="67"/>
  <c r="AK258" i="67"/>
  <c r="AL278" i="67"/>
  <c r="AN339" i="67"/>
  <c r="AM331" i="67"/>
  <c r="AL329" i="67"/>
  <c r="AL273" i="67"/>
  <c r="AQ279" i="67"/>
  <c r="AN254" i="67"/>
  <c r="AK303" i="67"/>
  <c r="AI283" i="67"/>
  <c r="AN330" i="67"/>
  <c r="AJ287" i="67"/>
  <c r="AN280" i="67"/>
  <c r="AH278" i="67"/>
  <c r="AG268" i="67"/>
  <c r="AN303" i="67"/>
  <c r="AP266" i="67"/>
  <c r="AL302" i="67"/>
  <c r="AQ266" i="67"/>
  <c r="AM302" i="67"/>
  <c r="AI338" i="67"/>
  <c r="AI270" i="67"/>
  <c r="AK314" i="67"/>
  <c r="AG338" i="67"/>
  <c r="AO257" i="67"/>
  <c r="AJ293" i="67"/>
  <c r="AM339" i="67"/>
  <c r="AI258" i="67"/>
  <c r="AJ298" i="67"/>
  <c r="AH338" i="67"/>
  <c r="AK256" i="67"/>
  <c r="AQ296" i="67"/>
  <c r="AK327" i="67"/>
  <c r="AL291" i="67"/>
  <c r="AK337" i="67"/>
  <c r="AP264" i="67"/>
  <c r="AO262" i="67"/>
  <c r="AO324" i="67"/>
  <c r="AO335" i="67"/>
  <c r="AJ281" i="67"/>
  <c r="AN267" i="67"/>
  <c r="AH269" i="67"/>
  <c r="AI329" i="67"/>
  <c r="AM327" i="67"/>
  <c r="AG299" i="67"/>
  <c r="AM287" i="67"/>
  <c r="AQ263" i="67"/>
  <c r="AO320" i="67"/>
  <c r="AL298" i="67"/>
  <c r="AI294" i="67"/>
  <c r="AJ279" i="67"/>
  <c r="AG304" i="67"/>
  <c r="AN333" i="67"/>
  <c r="AN338" i="67"/>
  <c r="AN327" i="67"/>
  <c r="AP335" i="67"/>
  <c r="AP302" i="67"/>
  <c r="AN313" i="67"/>
  <c r="AH274" i="67"/>
  <c r="AN329" i="67"/>
  <c r="AN337" i="67"/>
  <c r="AL267" i="67"/>
  <c r="AO295" i="67"/>
  <c r="AN306" i="67"/>
  <c r="AN315" i="67"/>
  <c r="AP337" i="67"/>
  <c r="AJ269" i="67"/>
  <c r="AQ304" i="67"/>
  <c r="AH268" i="67"/>
  <c r="AO303" i="67"/>
  <c r="AI268" i="67"/>
  <c r="AP303" i="67"/>
  <c r="AL339" i="67"/>
  <c r="AI272" i="67"/>
  <c r="AQ315" i="67"/>
  <c r="AP340" i="67"/>
  <c r="AK261" i="67"/>
  <c r="AH295" i="67"/>
  <c r="AJ258" i="67"/>
  <c r="AO268" i="67"/>
  <c r="AH300" i="67"/>
  <c r="AJ256" i="67"/>
  <c r="AO328" i="67"/>
  <c r="AH339" i="67"/>
  <c r="AN326" i="67"/>
  <c r="AP295" i="67"/>
  <c r="AJ302" i="67"/>
  <c r="AJ276" i="67"/>
  <c r="AG278" i="67"/>
  <c r="AH293" i="67"/>
  <c r="AG283" i="67"/>
  <c r="AL272" i="67"/>
  <c r="AJ333" i="67"/>
  <c r="AK308" i="67"/>
  <c r="AM310" i="67"/>
  <c r="AP270" i="67"/>
  <c r="AN319" i="67"/>
  <c r="AJ328" i="67"/>
  <c r="AM270" i="67"/>
  <c r="AI306" i="67"/>
  <c r="AK269" i="67"/>
  <c r="AG305" i="67"/>
  <c r="AL269" i="67"/>
  <c r="AH305" i="67"/>
  <c r="AO340" i="67"/>
  <c r="AP273" i="67"/>
  <c r="AL317" i="67"/>
  <c r="AO336" i="67"/>
  <c r="AK263" i="67"/>
  <c r="AN304" i="67"/>
  <c r="AM261" i="67"/>
  <c r="AK270" i="67"/>
  <c r="AN301" i="67"/>
  <c r="AM263" i="67"/>
  <c r="AG260" i="67"/>
  <c r="AJ300" i="67"/>
  <c r="AH330" i="67"/>
  <c r="AL296" i="67"/>
  <c r="AK333" i="67"/>
  <c r="AQ295" i="67"/>
  <c r="AM281" i="67"/>
  <c r="AG329" i="67"/>
  <c r="AP258" i="67"/>
  <c r="AO323" i="67"/>
  <c r="AM318" i="67"/>
  <c r="AO274" i="67"/>
  <c r="AL333" i="67"/>
  <c r="AP272" i="67"/>
  <c r="AP334" i="67"/>
  <c r="AJ305" i="67"/>
  <c r="AQ274" i="67"/>
  <c r="AG273" i="67"/>
  <c r="AG336" i="67"/>
  <c r="AG294" i="67"/>
  <c r="AG285" i="67"/>
  <c r="AH336" i="67"/>
  <c r="AP297" i="67"/>
  <c r="AQ293" i="67"/>
  <c r="AG281" i="67"/>
  <c r="AQ298" i="67"/>
  <c r="AO280" i="67"/>
  <c r="AK316" i="67"/>
  <c r="AM279" i="67"/>
  <c r="AI315" i="67"/>
  <c r="AN279" i="67"/>
  <c r="AJ315" i="67"/>
  <c r="AI263" i="67"/>
  <c r="AO286" i="67"/>
  <c r="AJ319" i="67"/>
  <c r="AQ340" i="67"/>
  <c r="AG265" i="67"/>
  <c r="AL306" i="67"/>
  <c r="AP268" i="67"/>
  <c r="AK272" i="67"/>
  <c r="AI267" i="67"/>
  <c r="AG262" i="67"/>
  <c r="AK338" i="67"/>
  <c r="AM337" i="67"/>
  <c r="AN316" i="67"/>
  <c r="AQ330" i="67"/>
  <c r="AQ338" i="67"/>
  <c r="AG257" i="67"/>
  <c r="AN290" i="67"/>
  <c r="AO287" i="67"/>
  <c r="AN323" i="67"/>
  <c r="AG308" i="67"/>
  <c r="AQ301" i="67"/>
  <c r="AL271" i="67"/>
  <c r="AP310" i="67"/>
  <c r="AP255" i="67"/>
  <c r="AP322" i="67"/>
  <c r="AJ282" i="67"/>
  <c r="AG271" i="67"/>
  <c r="AJ322" i="67"/>
  <c r="AI303" i="67"/>
  <c r="AP301" i="67"/>
  <c r="AI299" i="67"/>
  <c r="AJ284" i="67"/>
  <c r="AQ277" i="67"/>
  <c r="AL289" i="67"/>
  <c r="AJ307" i="67"/>
  <c r="AM300" i="67"/>
  <c r="AO304" i="67"/>
  <c r="AI328" i="67"/>
  <c r="AH294" i="67"/>
  <c r="AG301" i="67"/>
  <c r="AM336" i="67"/>
  <c r="AM326" i="67"/>
  <c r="AK336" i="67"/>
  <c r="AG282" i="67"/>
  <c r="AN317" i="67"/>
  <c r="AP280" i="67"/>
  <c r="AL316" i="67"/>
  <c r="AQ280" i="67"/>
  <c r="AM316" i="67"/>
  <c r="AL264" i="67"/>
  <c r="AJ288" i="67"/>
  <c r="AK328" i="67"/>
  <c r="AM272" i="67"/>
  <c r="AQ292" i="67"/>
  <c r="AJ310" i="67"/>
  <c r="AO285" i="67"/>
  <c r="AM296" i="67"/>
  <c r="AP318" i="67"/>
  <c r="AO255" i="67"/>
  <c r="AJ283" i="67"/>
  <c r="AQ318" i="67"/>
  <c r="AH282" i="67"/>
  <c r="AO317" i="67"/>
  <c r="AI282" i="67"/>
  <c r="AP317" i="67"/>
  <c r="AO265" i="67"/>
  <c r="AH290" i="67"/>
  <c r="AH331" i="67"/>
  <c r="AQ259" i="67"/>
  <c r="AN268" i="67"/>
  <c r="AM309" i="67"/>
  <c r="AG279" i="67"/>
  <c r="AM275" i="67"/>
  <c r="AM314" i="67"/>
  <c r="AL277" i="67"/>
  <c r="AI274" i="67"/>
  <c r="AI305" i="67"/>
  <c r="AP254" i="67"/>
  <c r="AI304" i="67"/>
  <c r="AQ255" i="67"/>
  <c r="AM340" i="67"/>
  <c r="AJ289" i="67"/>
  <c r="AO260" i="67"/>
  <c r="AN310" i="67"/>
  <c r="AN276" i="67"/>
  <c r="AQ305" i="67"/>
  <c r="AL294" i="67"/>
  <c r="AP339" i="67"/>
  <c r="AM325" i="67"/>
  <c r="AP311" i="67"/>
  <c r="AJ312" i="67"/>
  <c r="AK312" i="67"/>
  <c r="AK330" i="67"/>
  <c r="AN305" i="67"/>
  <c r="AP265" i="67"/>
  <c r="AO292" i="67"/>
  <c r="AO258" i="67"/>
  <c r="AM320" i="67"/>
  <c r="AQ332" i="67"/>
  <c r="AG288" i="67"/>
  <c r="AG289" i="67"/>
  <c r="AP327" i="67"/>
  <c r="AK284" i="67"/>
  <c r="AI297" i="67"/>
  <c r="AJ340" i="67"/>
  <c r="AG315" i="67"/>
  <c r="AK262" i="67"/>
  <c r="AK323" i="67"/>
  <c r="AO302" i="67"/>
  <c r="AG332" i="67"/>
  <c r="AO290" i="67"/>
  <c r="AN285" i="67"/>
  <c r="AJ294" i="67"/>
  <c r="AK289" i="67"/>
  <c r="AQ289" i="67"/>
  <c r="AJ317" i="67"/>
  <c r="AI286" i="67"/>
  <c r="AO307" i="67"/>
  <c r="AH289" i="67"/>
  <c r="AM321" i="67"/>
  <c r="AG295" i="67"/>
  <c r="AO301" i="67"/>
  <c r="AH321" i="67"/>
  <c r="AH318" i="67"/>
  <c r="AH299" i="67"/>
  <c r="AN274" i="67"/>
  <c r="AI302" i="67"/>
  <c r="AG320" i="67"/>
  <c r="AL318" i="67"/>
  <c r="AI330" i="67"/>
  <c r="AG324" i="67"/>
  <c r="AG316" i="67"/>
  <c r="AK279" i="67"/>
  <c r="AP274" i="67"/>
  <c r="AP323" i="67"/>
  <c r="AM284" i="67"/>
  <c r="AI320" i="67"/>
  <c r="AK283" i="67"/>
  <c r="AG319" i="67"/>
  <c r="AL283" i="67"/>
  <c r="AH319" i="67"/>
  <c r="AG267" i="67"/>
  <c r="AN291" i="67"/>
  <c r="AL332" i="67"/>
  <c r="AG287" i="67"/>
  <c r="AJ270" i="67"/>
  <c r="AH311" i="67"/>
  <c r="AM311" i="67"/>
  <c r="AK277" i="67"/>
  <c r="AH316" i="67"/>
  <c r="AK282" i="67"/>
  <c r="AG276" i="67"/>
  <c r="AO306" i="67"/>
  <c r="AJ257" i="67"/>
  <c r="AQ306" i="67"/>
  <c r="AI275" i="67"/>
  <c r="AI271" i="67"/>
  <c r="AM291" i="67"/>
  <c r="AH266" i="67"/>
  <c r="AK332" i="67"/>
  <c r="AN255" i="67"/>
  <c r="AJ266" i="67"/>
  <c r="AH320" i="67"/>
  <c r="AK286" i="67"/>
  <c r="AI261" i="67"/>
  <c r="AQ267" i="67"/>
  <c r="AP306" i="67"/>
  <c r="AG269" i="67"/>
  <c r="AP267" i="67"/>
  <c r="AI269" i="67"/>
  <c r="AL334" i="67"/>
  <c r="AH264" i="67"/>
  <c r="AG293" i="67"/>
  <c r="AN321" i="67"/>
  <c r="AL314" i="67"/>
  <c r="AL319" i="67"/>
  <c r="AN262" i="67"/>
  <c r="AM334" i="67"/>
  <c r="AN294" i="67"/>
  <c r="AO331" i="67"/>
  <c r="AL310" i="67"/>
  <c r="AI287" i="67"/>
  <c r="AL324" i="67"/>
  <c r="AH255" i="67"/>
  <c r="AI332" i="67"/>
  <c r="AP285" i="67"/>
  <c r="AL321" i="67"/>
  <c r="AN284" i="67"/>
  <c r="AJ320" i="67"/>
  <c r="AO284" i="67"/>
  <c r="AK320" i="67"/>
  <c r="AJ268" i="67"/>
  <c r="AI293" i="67"/>
  <c r="AP333" i="67"/>
  <c r="AP296" i="67"/>
  <c r="AJ272" i="67"/>
  <c r="AQ312" i="67"/>
  <c r="AI316" i="67"/>
  <c r="AQ278" i="67"/>
  <c r="AQ317" i="67"/>
  <c r="AP288" i="67"/>
  <c r="AM277" i="67"/>
  <c r="AJ308" i="67"/>
  <c r="AI260" i="67"/>
  <c r="AQ321" i="67"/>
  <c r="AH284" i="67"/>
  <c r="AO315" i="67"/>
  <c r="AL299" i="67"/>
  <c r="AH326" i="67"/>
  <c r="AH325" i="67"/>
  <c r="AK301" i="67"/>
  <c r="AH262" i="67"/>
  <c r="AQ285" i="67"/>
  <c r="AM269" i="67"/>
  <c r="AI335" i="67"/>
  <c r="AL280" i="67"/>
  <c r="AH279" i="67"/>
  <c r="AN324" i="67"/>
  <c r="AG297" i="67"/>
  <c r="AJ337" i="67"/>
  <c r="AN271" i="67"/>
  <c r="AQ303" i="67"/>
  <c r="AK267" i="67"/>
  <c r="AK288" i="67"/>
  <c r="AJ285" i="67"/>
  <c r="AJ299" i="67"/>
  <c r="AK300" i="67"/>
  <c r="AG298" i="67"/>
  <c r="AH287" i="67"/>
  <c r="AO322" i="67"/>
  <c r="AG286" i="67"/>
  <c r="AQ281" i="67"/>
  <c r="AO293" i="67"/>
  <c r="AN300" i="67"/>
  <c r="AK294" i="67"/>
  <c r="AQ256" i="67"/>
  <c r="AP321" i="67"/>
  <c r="AH309" i="67"/>
  <c r="AG321" i="67"/>
  <c r="AL304" i="67"/>
  <c r="AF340" i="67"/>
  <c r="AF335" i="67"/>
  <c r="AF314" i="67"/>
  <c r="AF268" i="67"/>
  <c r="AF291" i="67"/>
  <c r="AF299" i="67"/>
  <c r="AF286" i="67"/>
  <c r="AF267" i="67"/>
  <c r="AF277" i="67"/>
  <c r="AF264" i="67"/>
  <c r="AF311" i="67"/>
  <c r="AF310" i="67"/>
  <c r="AF302" i="67"/>
  <c r="AF317" i="67"/>
  <c r="AF276" i="67"/>
  <c r="AF269" i="67"/>
  <c r="AF309" i="67"/>
  <c r="AF265" i="67"/>
  <c r="AF274" i="67"/>
  <c r="AF328" i="67"/>
  <c r="AF324" i="67"/>
  <c r="AF301" i="67"/>
  <c r="AF296" i="67"/>
  <c r="AF326" i="67"/>
  <c r="AF279" i="67"/>
  <c r="AF272" i="67"/>
  <c r="AF254" i="67"/>
  <c r="AF263" i="67"/>
  <c r="AF271" i="67"/>
  <c r="AF327" i="67"/>
  <c r="AF278" i="67"/>
  <c r="AF295" i="67"/>
  <c r="AF293" i="67"/>
  <c r="AF319" i="67"/>
  <c r="AF331" i="67"/>
  <c r="AF270" i="67"/>
  <c r="AF322" i="67"/>
  <c r="AF256" i="67"/>
  <c r="AF294" i="67"/>
  <c r="AF305" i="67"/>
  <c r="AF297" i="67"/>
  <c r="AF332" i="67"/>
  <c r="AF283" i="67"/>
  <c r="AF288" i="67"/>
  <c r="AF275" i="67"/>
  <c r="AF315" i="67"/>
  <c r="AF316" i="67"/>
  <c r="AF273" i="67"/>
  <c r="AF281" i="67"/>
  <c r="AF306" i="67"/>
  <c r="AF336" i="67"/>
  <c r="AF292" i="67"/>
  <c r="AF280" i="67"/>
  <c r="AF333" i="67"/>
  <c r="AF259" i="67"/>
  <c r="AF312" i="67"/>
  <c r="AF334" i="67"/>
  <c r="AF313" i="67"/>
  <c r="AF323" i="67"/>
  <c r="AF318" i="67"/>
  <c r="AF308" i="67"/>
  <c r="AF257" i="67"/>
  <c r="AF298" i="67"/>
  <c r="AF285" i="67"/>
  <c r="AF290" i="67"/>
  <c r="AF284" i="67"/>
  <c r="AF339" i="67"/>
  <c r="AF320" i="67"/>
  <c r="AF325" i="67"/>
  <c r="AF289" i="67"/>
  <c r="AF304" i="67"/>
  <c r="AF261" i="67"/>
  <c r="AF262" i="67"/>
  <c r="AF266" i="67"/>
  <c r="AF282" i="67"/>
  <c r="AF321" i="67"/>
  <c r="AF337" i="67"/>
  <c r="AF307" i="67"/>
  <c r="AF303" i="67"/>
  <c r="AF255" i="67"/>
  <c r="AF330" i="67"/>
  <c r="AF338" i="67"/>
  <c r="AF260" i="67"/>
  <c r="AF329" i="67"/>
  <c r="AF300" i="67"/>
  <c r="AF287" i="67"/>
  <c r="AF258" i="67"/>
  <c r="AG240" i="67"/>
  <c r="AK250" i="67"/>
  <c r="AG243" i="67"/>
  <c r="AM249" i="67"/>
  <c r="AL243" i="67"/>
  <c r="AG250" i="67"/>
  <c r="AG249" i="67"/>
  <c r="AO251" i="67"/>
  <c r="AI243" i="67"/>
  <c r="AO244" i="67"/>
  <c r="AM247" i="67"/>
  <c r="AM241" i="67"/>
  <c r="AO240" i="67"/>
  <c r="AI241" i="67"/>
  <c r="AI244" i="67"/>
  <c r="AH251" i="67"/>
  <c r="AP243" i="67"/>
  <c r="AN250" i="67"/>
  <c r="AP249" i="67"/>
  <c r="AP252" i="67"/>
  <c r="AP250" i="67"/>
  <c r="AG241" i="67"/>
  <c r="AN246" i="67"/>
  <c r="AP245" i="67"/>
  <c r="AJ246" i="67"/>
  <c r="AP251" i="67"/>
  <c r="AP244" i="67"/>
  <c r="AQ247" i="67"/>
  <c r="AK248" i="67"/>
  <c r="AP248" i="67"/>
  <c r="AO241" i="67"/>
  <c r="AK247" i="67"/>
  <c r="AL250" i="67"/>
  <c r="AN249" i="67"/>
  <c r="AK251" i="67"/>
  <c r="AJ244" i="67"/>
  <c r="AQ249" i="67"/>
  <c r="AK240" i="67"/>
  <c r="AI252" i="67"/>
  <c r="AH240" i="67"/>
  <c r="AP246" i="67"/>
  <c r="AL252" i="67"/>
  <c r="AQ242" i="67"/>
  <c r="AH242" i="67"/>
  <c r="AK241" i="67"/>
  <c r="AK249" i="67"/>
  <c r="AK242" i="67"/>
  <c r="AL245" i="67"/>
  <c r="AN244" i="67"/>
  <c r="AN242" i="67"/>
  <c r="AK243" i="67"/>
  <c r="AO252" i="67"/>
  <c r="AN240" i="67"/>
  <c r="AH241" i="67"/>
  <c r="AQ243" i="67"/>
  <c r="AJ240" i="67"/>
  <c r="AH243" i="67"/>
  <c r="AI247" i="67"/>
  <c r="AO248" i="67"/>
  <c r="AG244" i="67"/>
  <c r="AJ249" i="67"/>
  <c r="AQ241" i="67"/>
  <c r="AL248" i="67"/>
  <c r="AN243" i="67"/>
  <c r="AI245" i="67"/>
  <c r="AP242" i="67"/>
  <c r="AQ246" i="67"/>
  <c r="AO249" i="67"/>
  <c r="AJ251" i="67"/>
  <c r="AM246" i="67"/>
  <c r="AM250" i="67"/>
  <c r="AL244" i="67"/>
  <c r="AG251" i="67"/>
  <c r="AQ244" i="67"/>
  <c r="AL246" i="67"/>
  <c r="AK245" i="67"/>
  <c r="AL249" i="67"/>
  <c r="AJ252" i="67"/>
  <c r="AL242" i="67"/>
  <c r="AH249" i="67"/>
  <c r="AL240" i="67"/>
  <c r="AG247" i="67"/>
  <c r="AQ240" i="67"/>
  <c r="AL247" i="67"/>
  <c r="AO247" i="67"/>
  <c r="AJ241" i="67"/>
  <c r="AQ252" i="67"/>
  <c r="AM245" i="67"/>
  <c r="AH252" i="67"/>
  <c r="AG246" i="67"/>
  <c r="AM252" i="67"/>
  <c r="AJ250" i="67"/>
  <c r="AN241" i="67"/>
  <c r="AO245" i="67"/>
  <c r="AM248" i="67"/>
  <c r="AH250" i="67"/>
  <c r="AM242" i="67"/>
  <c r="AH248" i="67"/>
  <c r="AJ247" i="67"/>
  <c r="AM251" i="67"/>
  <c r="AJ248" i="67"/>
  <c r="AN252" i="67"/>
  <c r="AH244" i="67"/>
  <c r="AJ243" i="67"/>
  <c r="AO243" i="67"/>
  <c r="AG248" i="67"/>
  <c r="AH245" i="67"/>
  <c r="AQ251" i="67"/>
  <c r="AK252" i="67"/>
  <c r="AI240" i="67"/>
  <c r="AG242" i="67"/>
  <c r="AK246" i="67"/>
  <c r="AP241" i="67"/>
  <c r="AJ242" i="67"/>
  <c r="AL241" i="67"/>
  <c r="AM244" i="67"/>
  <c r="AN247" i="67"/>
  <c r="AK244" i="67"/>
  <c r="AM243" i="67"/>
  <c r="AO242" i="67"/>
  <c r="AH247" i="67"/>
  <c r="AQ248" i="67"/>
  <c r="AN245" i="67"/>
  <c r="AH246" i="67"/>
  <c r="AJ245" i="67"/>
  <c r="AQ250" i="67"/>
  <c r="AI250" i="67"/>
  <c r="AI248" i="67"/>
  <c r="AN248" i="67"/>
  <c r="AP247" i="67"/>
  <c r="AP240" i="67"/>
  <c r="AL251" i="67"/>
  <c r="AO250" i="67"/>
  <c r="AI251" i="67"/>
  <c r="AN251" i="67"/>
  <c r="AM240" i="67"/>
  <c r="AI246" i="67"/>
  <c r="AO246" i="67"/>
  <c r="AQ245" i="67"/>
  <c r="AI249" i="67"/>
  <c r="AG252" i="67"/>
  <c r="AI242" i="67"/>
  <c r="AG245" i="67"/>
  <c r="AF252" i="67"/>
  <c r="AF247" i="67"/>
  <c r="AF245" i="67"/>
  <c r="AF242" i="67"/>
  <c r="AF251" i="67"/>
  <c r="AF248" i="67"/>
  <c r="AF244" i="67"/>
  <c r="AF241" i="67"/>
  <c r="AF250" i="67"/>
  <c r="AF249" i="67"/>
  <c r="AF246" i="67"/>
  <c r="AF243" i="67"/>
  <c r="AF240" i="67"/>
  <c r="S342" i="67"/>
  <c r="X348" i="67"/>
  <c r="T343" i="67"/>
  <c r="X343" i="67"/>
  <c r="AB353" i="67"/>
  <c r="AC346" i="67"/>
  <c r="AA353" i="67"/>
  <c r="AB342" i="67"/>
  <c r="AA342" i="67"/>
  <c r="X342" i="67"/>
  <c r="W346" i="67"/>
  <c r="X351" i="67"/>
  <c r="AB344" i="67"/>
  <c r="AA346" i="67"/>
  <c r="AC349" i="67"/>
  <c r="W349" i="67"/>
  <c r="AA355" i="67"/>
  <c r="V343" i="67"/>
  <c r="AA349" i="67"/>
  <c r="X349" i="67"/>
  <c r="AA344" i="67"/>
  <c r="V350" i="67"/>
  <c r="V353" i="67"/>
  <c r="S355" i="67"/>
  <c r="Z346" i="67"/>
  <c r="W350" i="67"/>
  <c r="AA343" i="67"/>
  <c r="Z347" i="67"/>
  <c r="Y350" i="67"/>
  <c r="Z355" i="67"/>
  <c r="U353" i="67"/>
  <c r="X346" i="67"/>
  <c r="AA347" i="67"/>
  <c r="T345" i="67"/>
  <c r="Y344" i="67"/>
  <c r="S351" i="67"/>
  <c r="Y354" i="67"/>
  <c r="S346" i="67"/>
  <c r="T354" i="67"/>
  <c r="AA345" i="67"/>
  <c r="AC344" i="67"/>
  <c r="U349" i="67"/>
  <c r="X355" i="67"/>
  <c r="S345" i="67"/>
  <c r="AC348" i="67"/>
  <c r="S354" i="67"/>
  <c r="AC354" i="67"/>
  <c r="X347" i="67"/>
  <c r="AA348" i="67"/>
  <c r="U342" i="67"/>
  <c r="AB345" i="67"/>
  <c r="V352" i="67"/>
  <c r="S347" i="67"/>
  <c r="V347" i="67"/>
  <c r="V345" i="67"/>
  <c r="Y349" i="67"/>
  <c r="U346" i="67"/>
  <c r="S353" i="67"/>
  <c r="AC347" i="67"/>
  <c r="V346" i="67"/>
  <c r="U350" i="67"/>
  <c r="T350" i="67"/>
  <c r="Z342" i="67"/>
  <c r="AC343" i="67"/>
  <c r="Z354" i="67"/>
  <c r="T352" i="67"/>
  <c r="T347" i="67"/>
  <c r="Y353" i="67"/>
  <c r="W353" i="67"/>
  <c r="Y348" i="67"/>
  <c r="AB347" i="67"/>
  <c r="AC355" i="67"/>
  <c r="S350" i="67"/>
  <c r="U344" i="67"/>
  <c r="V354" i="67"/>
  <c r="Y347" i="67"/>
  <c r="T355" i="67"/>
  <c r="AB346" i="67"/>
  <c r="W355" i="67"/>
  <c r="AA350" i="67"/>
  <c r="T349" i="67"/>
  <c r="X352" i="67"/>
  <c r="W348" i="67"/>
  <c r="AB354" i="67"/>
  <c r="T342" i="67"/>
  <c r="AB349" i="67"/>
  <c r="AC352" i="67"/>
  <c r="V342" i="67"/>
  <c r="Y352" i="67"/>
  <c r="V349" i="67"/>
  <c r="X345" i="67"/>
  <c r="AB348" i="67"/>
  <c r="AA352" i="67"/>
  <c r="T344" i="67"/>
  <c r="T353" i="67"/>
  <c r="W351" i="67"/>
  <c r="V344" i="67"/>
  <c r="U343" i="67"/>
  <c r="S349" i="67"/>
  <c r="Z349" i="67"/>
  <c r="U354" i="67"/>
  <c r="W343" i="67"/>
  <c r="T351" i="67"/>
  <c r="Y343" i="67"/>
  <c r="Y351" i="67"/>
  <c r="W344" i="67"/>
  <c r="AC345" i="67"/>
  <c r="Z350" i="67"/>
  <c r="AC350" i="67"/>
  <c r="W345" i="67"/>
  <c r="S343" i="67"/>
  <c r="W352" i="67"/>
  <c r="X350" i="67"/>
  <c r="V355" i="67"/>
  <c r="Y346" i="67"/>
  <c r="AB343" i="67"/>
  <c r="U352" i="67"/>
  <c r="AA351" i="67"/>
  <c r="X354" i="67"/>
  <c r="Z353" i="67"/>
  <c r="Y355" i="67"/>
  <c r="T346" i="67"/>
  <c r="AB352" i="67"/>
  <c r="AC351" i="67"/>
  <c r="T348" i="67"/>
  <c r="Z352" i="67"/>
  <c r="W347" i="67"/>
  <c r="Y345" i="67"/>
  <c r="V351" i="67"/>
  <c r="X353" i="67"/>
  <c r="AC342" i="67"/>
  <c r="U348" i="67"/>
  <c r="AC353" i="67"/>
  <c r="U351" i="67"/>
  <c r="W342" i="67"/>
  <c r="AA354" i="67"/>
  <c r="S348" i="67"/>
  <c r="AB355" i="67"/>
  <c r="Z343" i="67"/>
  <c r="AB351" i="67"/>
  <c r="Z348" i="67"/>
  <c r="S344" i="67"/>
  <c r="S352" i="67"/>
  <c r="Z345" i="67"/>
  <c r="U355" i="67"/>
  <c r="U345" i="67"/>
  <c r="Z344" i="67"/>
  <c r="V348" i="67"/>
  <c r="Y342" i="67"/>
  <c r="AB350" i="67"/>
  <c r="Z351" i="67"/>
  <c r="W354" i="67"/>
  <c r="X344" i="67"/>
  <c r="U347" i="67"/>
  <c r="R354" i="67"/>
  <c r="R355" i="67"/>
  <c r="R352" i="67"/>
  <c r="R353" i="67"/>
  <c r="R350" i="67"/>
  <c r="R351" i="67"/>
  <c r="R348" i="67"/>
  <c r="R349" i="67"/>
  <c r="R346" i="67"/>
  <c r="R347" i="67"/>
  <c r="R344" i="67"/>
  <c r="R345" i="67"/>
  <c r="R342" i="67"/>
  <c r="R343" i="67"/>
  <c r="R340" i="67"/>
  <c r="S254" i="67"/>
  <c r="AB271" i="67"/>
  <c r="Z289" i="67"/>
  <c r="X307" i="67"/>
  <c r="V325" i="67"/>
  <c r="W254" i="67"/>
  <c r="X260" i="67"/>
  <c r="V278" i="67"/>
  <c r="T296" i="67"/>
  <c r="AC313" i="67"/>
  <c r="AA331" i="67"/>
  <c r="W329" i="67"/>
  <c r="V259" i="67"/>
  <c r="T277" i="67"/>
  <c r="AC294" i="67"/>
  <c r="AA312" i="67"/>
  <c r="T333" i="67"/>
  <c r="AA274" i="67"/>
  <c r="Z260" i="67"/>
  <c r="X278" i="67"/>
  <c r="V296" i="67"/>
  <c r="T314" i="67"/>
  <c r="T267" i="67"/>
  <c r="S260" i="67"/>
  <c r="AB277" i="67"/>
  <c r="Z295" i="67"/>
  <c r="X313" i="67"/>
  <c r="V331" i="67"/>
  <c r="AC309" i="67"/>
  <c r="AC263" i="67"/>
  <c r="V255" i="67"/>
  <c r="T273" i="67"/>
  <c r="AC290" i="67"/>
  <c r="AA308" i="67"/>
  <c r="Y326" i="67"/>
  <c r="V263" i="67"/>
  <c r="AA261" i="67"/>
  <c r="Y279" i="67"/>
  <c r="W297" i="67"/>
  <c r="U315" i="67"/>
  <c r="S333" i="67"/>
  <c r="AA335" i="67"/>
  <c r="Y260" i="67"/>
  <c r="W278" i="67"/>
  <c r="U296" i="67"/>
  <c r="S314" i="67"/>
  <c r="Z335" i="67"/>
  <c r="V277" i="67"/>
  <c r="AC261" i="67"/>
  <c r="AA279" i="67"/>
  <c r="Y297" i="67"/>
  <c r="W315" i="67"/>
  <c r="AC270" i="67"/>
  <c r="V261" i="67"/>
  <c r="T279" i="67"/>
  <c r="AC296" i="67"/>
  <c r="AA314" i="67"/>
  <c r="Y332" i="67"/>
  <c r="S315" i="67"/>
  <c r="U265" i="67"/>
  <c r="S283" i="67"/>
  <c r="AB300" i="67"/>
  <c r="Z318" i="67"/>
  <c r="X336" i="67"/>
  <c r="Z308" i="67"/>
  <c r="S264" i="67"/>
  <c r="AB281" i="67"/>
  <c r="Z299" i="67"/>
  <c r="Y322" i="67"/>
  <c r="V260" i="67"/>
  <c r="T278" i="67"/>
  <c r="AC295" i="67"/>
  <c r="W257" i="67"/>
  <c r="AB307" i="67"/>
  <c r="T298" i="67"/>
  <c r="V318" i="67"/>
  <c r="U290" i="67"/>
  <c r="Z334" i="67"/>
  <c r="W258" i="67"/>
  <c r="S308" i="67"/>
  <c r="U295" i="67"/>
  <c r="T312" i="67"/>
  <c r="Z286" i="67"/>
  <c r="AB334" i="67"/>
  <c r="AA269" i="67"/>
  <c r="T317" i="67"/>
  <c r="AA311" i="67"/>
  <c r="AB311" i="67"/>
  <c r="T336" i="67"/>
  <c r="Z320" i="67"/>
  <c r="V267" i="67"/>
  <c r="Z292" i="67"/>
  <c r="Z263" i="67"/>
  <c r="T303" i="67"/>
  <c r="T275" i="67"/>
  <c r="AC260" i="67"/>
  <c r="W310" i="67"/>
  <c r="W271" i="67"/>
  <c r="X324" i="67"/>
  <c r="X323" i="67"/>
  <c r="Y329" i="67"/>
  <c r="Z315" i="67"/>
  <c r="T257" i="67"/>
  <c r="Y282" i="67"/>
  <c r="T313" i="67"/>
  <c r="AB274" i="67"/>
  <c r="Y338" i="67"/>
  <c r="AA330" i="67"/>
  <c r="V295" i="67"/>
  <c r="Y309" i="67"/>
  <c r="AB315" i="67"/>
  <c r="V286" i="67"/>
  <c r="T326" i="67"/>
  <c r="AC269" i="67"/>
  <c r="AA315" i="67"/>
  <c r="Y256" i="67"/>
  <c r="W274" i="67"/>
  <c r="U292" i="67"/>
  <c r="S310" i="67"/>
  <c r="AB327" i="67"/>
  <c r="W268" i="67"/>
  <c r="S263" i="67"/>
  <c r="AB280" i="67"/>
  <c r="Z298" i="67"/>
  <c r="X316" i="67"/>
  <c r="V334" i="67"/>
  <c r="AB340" i="67"/>
  <c r="AB261" i="67"/>
  <c r="Z279" i="67"/>
  <c r="X297" i="67"/>
  <c r="V315" i="67"/>
  <c r="AC336" i="67"/>
  <c r="W282" i="67"/>
  <c r="U263" i="67"/>
  <c r="S281" i="67"/>
  <c r="AB298" i="67"/>
  <c r="Z316" i="67"/>
  <c r="X273" i="67"/>
  <c r="Y262" i="67"/>
  <c r="W280" i="67"/>
  <c r="U298" i="67"/>
  <c r="S316" i="67"/>
  <c r="AB333" i="67"/>
  <c r="T320" i="67"/>
  <c r="X266" i="67"/>
  <c r="V284" i="67"/>
  <c r="T302" i="67"/>
  <c r="AC319" i="67"/>
  <c r="AA337" i="67"/>
  <c r="AA313" i="67"/>
  <c r="V265" i="67"/>
  <c r="T283" i="67"/>
  <c r="AC300" i="67"/>
  <c r="Z327" i="67"/>
  <c r="Y261" i="67"/>
  <c r="W279" i="67"/>
  <c r="U297" i="67"/>
  <c r="T261" i="67"/>
  <c r="Y310" i="67"/>
  <c r="S318" i="67"/>
  <c r="W267" i="67"/>
  <c r="AC293" i="67"/>
  <c r="S340" i="67"/>
  <c r="T262" i="67"/>
  <c r="AA310" i="67"/>
  <c r="Y314" i="67"/>
  <c r="W333" i="67"/>
  <c r="W290" i="67"/>
  <c r="X291" i="67"/>
  <c r="Z272" i="67"/>
  <c r="Y320" i="67"/>
  <c r="X314" i="67"/>
  <c r="Y295" i="67"/>
  <c r="X295" i="67"/>
  <c r="AB306" i="67"/>
  <c r="Z264" i="67"/>
  <c r="AB278" i="67"/>
  <c r="V323" i="67"/>
  <c r="X338" i="67"/>
  <c r="AB260" i="67"/>
  <c r="Y267" i="67"/>
  <c r="AA306" i="67"/>
  <c r="Z258" i="67"/>
  <c r="X267" i="67"/>
  <c r="S275" i="67"/>
  <c r="S299" i="67"/>
  <c r="T322" i="67"/>
  <c r="X292" i="67"/>
  <c r="V335" i="67"/>
  <c r="AC258" i="67"/>
  <c r="S293" i="67"/>
  <c r="AA305" i="67"/>
  <c r="AB257" i="67"/>
  <c r="Z275" i="67"/>
  <c r="X293" i="67"/>
  <c r="V311" i="67"/>
  <c r="T329" i="67"/>
  <c r="S276" i="67"/>
  <c r="V264" i="67"/>
  <c r="T282" i="67"/>
  <c r="AC299" i="67"/>
  <c r="AA317" i="67"/>
  <c r="Y335" i="67"/>
  <c r="X259" i="67"/>
  <c r="T263" i="67"/>
  <c r="AC280" i="67"/>
  <c r="AA298" i="67"/>
  <c r="Y316" i="67"/>
  <c r="X339" i="67"/>
  <c r="AC284" i="67"/>
  <c r="X264" i="67"/>
  <c r="V282" i="67"/>
  <c r="T300" i="67"/>
  <c r="AC317" i="67"/>
  <c r="Y278" i="67"/>
  <c r="AB263" i="67"/>
  <c r="Z281" i="67"/>
  <c r="X299" i="67"/>
  <c r="V317" i="67"/>
  <c r="T335" i="67"/>
  <c r="Z322" i="67"/>
  <c r="AA267" i="67"/>
  <c r="Y285" i="67"/>
  <c r="W303" i="67"/>
  <c r="U321" i="67"/>
  <c r="S339" i="67"/>
  <c r="V316" i="67"/>
  <c r="Y266" i="67"/>
  <c r="W284" i="67"/>
  <c r="U302" i="67"/>
  <c r="AA332" i="67"/>
  <c r="AB262" i="67"/>
  <c r="Z280" i="67"/>
  <c r="X298" i="67"/>
  <c r="AB264" i="67"/>
  <c r="V313" i="67"/>
  <c r="Z329" i="67"/>
  <c r="V299" i="67"/>
  <c r="AB296" i="67"/>
  <c r="AA287" i="67"/>
  <c r="S265" i="67"/>
  <c r="U314" i="67"/>
  <c r="AC326" i="67"/>
  <c r="X281" i="67"/>
  <c r="T294" i="67"/>
  <c r="AA320" i="67"/>
  <c r="W276" i="67"/>
  <c r="U317" i="67"/>
  <c r="AC329" i="67"/>
  <c r="U289" i="67"/>
  <c r="S322" i="67"/>
  <c r="V285" i="67"/>
  <c r="AA326" i="67"/>
  <c r="X327" i="67"/>
  <c r="AA276" i="67"/>
  <c r="T285" i="67"/>
  <c r="T259" i="67"/>
  <c r="AC276" i="67"/>
  <c r="AA294" i="67"/>
  <c r="Y312" i="67"/>
  <c r="W330" i="67"/>
  <c r="T281" i="67"/>
  <c r="Y265" i="67"/>
  <c r="W283" i="67"/>
  <c r="U301" i="67"/>
  <c r="S319" i="67"/>
  <c r="AB336" i="67"/>
  <c r="AB265" i="67"/>
  <c r="W264" i="67"/>
  <c r="U282" i="67"/>
  <c r="S300" i="67"/>
  <c r="AB317" i="67"/>
  <c r="X320" i="67"/>
  <c r="S290" i="67"/>
  <c r="AA265" i="67"/>
  <c r="Y283" i="67"/>
  <c r="W301" i="67"/>
  <c r="U319" i="67"/>
  <c r="Z283" i="67"/>
  <c r="T265" i="67"/>
  <c r="AC282" i="67"/>
  <c r="AA300" i="67"/>
  <c r="Y318" i="67"/>
  <c r="W336" i="67"/>
  <c r="AA327" i="67"/>
  <c r="S269" i="67"/>
  <c r="AB286" i="67"/>
  <c r="Z304" i="67"/>
  <c r="X322" i="67"/>
  <c r="V340" i="67"/>
  <c r="W321" i="67"/>
  <c r="AB267" i="67"/>
  <c r="Z285" i="67"/>
  <c r="X303" i="67"/>
  <c r="Y336" i="67"/>
  <c r="T264" i="67"/>
  <c r="AC281" i="67"/>
  <c r="AA299" i="67"/>
  <c r="Y268" i="67"/>
  <c r="AA316" i="67"/>
  <c r="AC255" i="67"/>
  <c r="Y324" i="67"/>
  <c r="Y300" i="67"/>
  <c r="T309" i="67"/>
  <c r="AA268" i="67"/>
  <c r="AC316" i="67"/>
  <c r="Z259" i="67"/>
  <c r="AC312" i="67"/>
  <c r="AB297" i="67"/>
  <c r="V266" i="67"/>
  <c r="T280" i="67"/>
  <c r="S326" i="67"/>
  <c r="W323" i="67"/>
  <c r="W263" i="67"/>
  <c r="AA255" i="67"/>
  <c r="Y259" i="67"/>
  <c r="AC288" i="67"/>
  <c r="S327" i="67"/>
  <c r="AA263" i="67"/>
  <c r="S313" i="67"/>
  <c r="W300" i="67"/>
  <c r="V271" i="67"/>
  <c r="V319" i="67"/>
  <c r="AC292" i="67"/>
  <c r="X333" i="67"/>
  <c r="V272" i="67"/>
  <c r="T284" i="67"/>
  <c r="V304" i="67"/>
  <c r="Z319" i="67"/>
  <c r="U336" i="67"/>
  <c r="Y277" i="67"/>
  <c r="X329" i="67"/>
  <c r="U267" i="67"/>
  <c r="Z296" i="67"/>
  <c r="AB330" i="67"/>
  <c r="Z274" i="67"/>
  <c r="AA295" i="67"/>
  <c r="U325" i="67"/>
  <c r="AA319" i="67"/>
  <c r="W260" i="67"/>
  <c r="U278" i="67"/>
  <c r="S296" i="67"/>
  <c r="AB313" i="67"/>
  <c r="Z331" i="67"/>
  <c r="AA288" i="67"/>
  <c r="AB266" i="67"/>
  <c r="Z284" i="67"/>
  <c r="X302" i="67"/>
  <c r="V320" i="67"/>
  <c r="T338" i="67"/>
  <c r="U272" i="67"/>
  <c r="Z265" i="67"/>
  <c r="X283" i="67"/>
  <c r="V301" i="67"/>
  <c r="T319" i="67"/>
  <c r="Y325" i="67"/>
  <c r="T295" i="67"/>
  <c r="S267" i="67"/>
  <c r="AB284" i="67"/>
  <c r="Z302" i="67"/>
  <c r="AA321" i="67"/>
  <c r="X287" i="67"/>
  <c r="W266" i="67"/>
  <c r="U284" i="67"/>
  <c r="S302" i="67"/>
  <c r="AB319" i="67"/>
  <c r="Z337" i="67"/>
  <c r="AB332" i="67"/>
  <c r="V270" i="67"/>
  <c r="T288" i="67"/>
  <c r="AC305" i="67"/>
  <c r="AA323" i="67"/>
  <c r="Z313" i="67"/>
  <c r="X326" i="67"/>
  <c r="T269" i="67"/>
  <c r="AC286" i="67"/>
  <c r="AA304" i="67"/>
  <c r="T306" i="67"/>
  <c r="W265" i="67"/>
  <c r="U283" i="67"/>
  <c r="S301" i="67"/>
  <c r="X319" i="67"/>
  <c r="Y254" i="67"/>
  <c r="W332" i="67"/>
  <c r="X272" i="67"/>
  <c r="U281" i="67"/>
  <c r="Y301" i="67"/>
  <c r="AB283" i="67"/>
  <c r="X277" i="67"/>
  <c r="V327" i="67"/>
  <c r="S307" i="67"/>
  <c r="AC320" i="67"/>
  <c r="V273" i="67"/>
  <c r="Z255" i="67"/>
  <c r="T260" i="67"/>
  <c r="W312" i="67"/>
  <c r="V322" i="67"/>
  <c r="Z261" i="67"/>
  <c r="X279" i="67"/>
  <c r="V297" i="67"/>
  <c r="T315" i="67"/>
  <c r="AC332" i="67"/>
  <c r="AB293" i="67"/>
  <c r="T268" i="67"/>
  <c r="AC285" i="67"/>
  <c r="AA303" i="67"/>
  <c r="Y321" i="67"/>
  <c r="W339" i="67"/>
  <c r="AB279" i="67"/>
  <c r="AC266" i="67"/>
  <c r="AA284" i="67"/>
  <c r="Y302" i="67"/>
  <c r="W320" i="67"/>
  <c r="T328" i="67"/>
  <c r="Z297" i="67"/>
  <c r="V268" i="67"/>
  <c r="T286" i="67"/>
  <c r="AC303" i="67"/>
  <c r="V324" i="67"/>
  <c r="V291" i="67"/>
  <c r="Z267" i="67"/>
  <c r="X285" i="67"/>
  <c r="V303" i="67"/>
  <c r="T321" i="67"/>
  <c r="AC338" i="67"/>
  <c r="W335" i="67"/>
  <c r="Y271" i="67"/>
  <c r="W289" i="67"/>
  <c r="U307" i="67"/>
  <c r="S325" i="67"/>
  <c r="U316" i="67"/>
  <c r="Y331" i="67"/>
  <c r="W270" i="67"/>
  <c r="U288" i="67"/>
  <c r="S306" i="67"/>
  <c r="U311" i="67"/>
  <c r="Z266" i="67"/>
  <c r="X284" i="67"/>
  <c r="V302" i="67"/>
  <c r="U275" i="67"/>
  <c r="U322" i="67"/>
  <c r="Z305" i="67"/>
  <c r="V258" i="67"/>
  <c r="AC307" i="67"/>
  <c r="S270" i="67"/>
  <c r="U276" i="67"/>
  <c r="T323" i="67"/>
  <c r="AC301" i="67"/>
  <c r="AA254" i="67"/>
  <c r="X304" i="67"/>
  <c r="S312" i="67"/>
  <c r="Y287" i="67"/>
  <c r="U332" i="67"/>
  <c r="V332" i="67"/>
  <c r="Y291" i="67"/>
  <c r="W262" i="67"/>
  <c r="V280" i="67"/>
  <c r="U309" i="67"/>
  <c r="Z291" i="67"/>
  <c r="U271" i="67"/>
  <c r="X318" i="67"/>
  <c r="W319" i="67"/>
  <c r="AA278" i="67"/>
  <c r="AA324" i="67"/>
  <c r="T304" i="67"/>
  <c r="T337" i="67"/>
  <c r="AB256" i="67"/>
  <c r="AB291" i="67"/>
  <c r="W331" i="67"/>
  <c r="S273" i="67"/>
  <c r="S294" i="67"/>
  <c r="AC262" i="67"/>
  <c r="AA280" i="67"/>
  <c r="Y298" i="67"/>
  <c r="W316" i="67"/>
  <c r="U334" i="67"/>
  <c r="X301" i="67"/>
  <c r="W269" i="67"/>
  <c r="U287" i="67"/>
  <c r="S305" i="67"/>
  <c r="AB322" i="67"/>
  <c r="Z340" i="67"/>
  <c r="U286" i="67"/>
  <c r="U268" i="67"/>
  <c r="S286" i="67"/>
  <c r="AB303" i="67"/>
  <c r="Z321" i="67"/>
  <c r="AC331" i="67"/>
  <c r="AA302" i="67"/>
  <c r="Y269" i="67"/>
  <c r="W287" i="67"/>
  <c r="U305" i="67"/>
  <c r="AB326" i="67"/>
  <c r="W296" i="67"/>
  <c r="AC268" i="67"/>
  <c r="AA286" i="67"/>
  <c r="Y304" i="67"/>
  <c r="W322" i="67"/>
  <c r="U340" i="67"/>
  <c r="S255" i="67"/>
  <c r="AB272" i="67"/>
  <c r="Z290" i="67"/>
  <c r="X308" i="67"/>
  <c r="V326" i="67"/>
  <c r="AA318" i="67"/>
  <c r="Z336" i="67"/>
  <c r="Z271" i="67"/>
  <c r="X289" i="67"/>
  <c r="V307" i="67"/>
  <c r="Y317" i="67"/>
  <c r="AC267" i="67"/>
  <c r="AA285" i="67"/>
  <c r="Y303" i="67"/>
  <c r="AC278" i="67"/>
  <c r="Z325" i="67"/>
  <c r="Z314" i="67"/>
  <c r="U261" i="67"/>
  <c r="Z310" i="67"/>
  <c r="AB287" i="67"/>
  <c r="AC279" i="67"/>
  <c r="AB325" i="67"/>
  <c r="Y323" i="67"/>
  <c r="X258" i="67"/>
  <c r="T308" i="67"/>
  <c r="Y263" i="67"/>
  <c r="X290" i="67"/>
  <c r="AC334" i="67"/>
  <c r="S335" i="67"/>
  <c r="AC311" i="67"/>
  <c r="T266" i="67"/>
  <c r="Y305" i="67"/>
  <c r="X332" i="67"/>
  <c r="U318" i="67"/>
  <c r="AC274" i="67"/>
  <c r="AC321" i="67"/>
  <c r="V328" i="67"/>
  <c r="X282" i="67"/>
  <c r="U328" i="67"/>
  <c r="X310" i="67"/>
  <c r="AC297" i="67"/>
  <c r="AA259" i="67"/>
  <c r="W295" i="67"/>
  <c r="W327" i="67"/>
  <c r="Z333" i="67"/>
  <c r="T290" i="67"/>
  <c r="W272" i="67"/>
  <c r="V290" i="67"/>
  <c r="S317" i="67"/>
  <c r="W291" i="67"/>
  <c r="X276" i="67"/>
  <c r="AB292" i="67"/>
  <c r="AA260" i="67"/>
  <c r="S274" i="67"/>
  <c r="Y313" i="67"/>
  <c r="U255" i="67"/>
  <c r="T276" i="67"/>
  <c r="U264" i="67"/>
  <c r="S282" i="67"/>
  <c r="AB299" i="67"/>
  <c r="Z317" i="67"/>
  <c r="X335" i="67"/>
  <c r="V305" i="67"/>
  <c r="Z270" i="67"/>
  <c r="X288" i="67"/>
  <c r="V306" i="67"/>
  <c r="T324" i="67"/>
  <c r="S328" i="67"/>
  <c r="Y292" i="67"/>
  <c r="X269" i="67"/>
  <c r="V287" i="67"/>
  <c r="T305" i="67"/>
  <c r="AC322" i="67"/>
  <c r="X334" i="67"/>
  <c r="Y306" i="67"/>
  <c r="AB270" i="67"/>
  <c r="Z288" i="67"/>
  <c r="X306" i="67"/>
  <c r="Z330" i="67"/>
  <c r="AC298" i="67"/>
  <c r="U270" i="67"/>
  <c r="S288" i="67"/>
  <c r="AB305" i="67"/>
  <c r="Z323" i="67"/>
  <c r="T325" i="67"/>
  <c r="V256" i="67"/>
  <c r="T274" i="67"/>
  <c r="AC291" i="67"/>
  <c r="AA309" i="67"/>
  <c r="Y327" i="67"/>
  <c r="V321" i="67"/>
  <c r="T255" i="67"/>
  <c r="AC272" i="67"/>
  <c r="AA290" i="67"/>
  <c r="Y308" i="67"/>
  <c r="AC323" i="67"/>
  <c r="U269" i="67"/>
  <c r="S287" i="67"/>
  <c r="W307" i="67"/>
  <c r="Z282" i="67"/>
  <c r="W328" i="67"/>
  <c r="AA329" i="67"/>
  <c r="AC264" i="67"/>
  <c r="W313" i="67"/>
  <c r="X263" i="67"/>
  <c r="AB282" i="67"/>
  <c r="Y328" i="67"/>
  <c r="AC335" i="67"/>
  <c r="U262" i="67"/>
  <c r="AB310" i="67"/>
  <c r="AC302" i="67"/>
  <c r="U294" i="67"/>
  <c r="W338" i="67"/>
  <c r="AB255" i="67"/>
  <c r="AB320" i="67"/>
  <c r="AB269" i="67"/>
  <c r="AB335" i="67"/>
  <c r="AB273" i="67"/>
  <c r="T256" i="67"/>
  <c r="Z278" i="67"/>
  <c r="Z324" i="67"/>
  <c r="AA333" i="67"/>
  <c r="W285" i="67"/>
  <c r="AC330" i="67"/>
  <c r="U313" i="67"/>
  <c r="X262" i="67"/>
  <c r="AA273" i="67"/>
  <c r="Y281" i="67"/>
  <c r="T289" i="67"/>
  <c r="AB318" i="67"/>
  <c r="AC287" i="67"/>
  <c r="S336" i="67"/>
  <c r="AB268" i="67"/>
  <c r="Z301" i="67"/>
  <c r="V281" i="67"/>
  <c r="Y315" i="67"/>
  <c r="AC308" i="67"/>
  <c r="U256" i="67"/>
  <c r="AC277" i="67"/>
  <c r="Y294" i="67"/>
  <c r="X315" i="67"/>
  <c r="Y272" i="67"/>
  <c r="X265" i="67"/>
  <c r="V283" i="67"/>
  <c r="T301" i="67"/>
  <c r="AC318" i="67"/>
  <c r="AA336" i="67"/>
  <c r="T254" i="67"/>
  <c r="AC271" i="67"/>
  <c r="AA289" i="67"/>
  <c r="Y307" i="67"/>
  <c r="W325" i="67"/>
  <c r="AB331" i="67"/>
  <c r="U300" i="67"/>
  <c r="AA270" i="67"/>
  <c r="Y288" i="67"/>
  <c r="W306" i="67"/>
  <c r="U324" i="67"/>
  <c r="Y339" i="67"/>
  <c r="V254" i="67"/>
  <c r="T272" i="67"/>
  <c r="AC289" i="67"/>
  <c r="AA307" i="67"/>
  <c r="U333" i="67"/>
  <c r="S304" i="67"/>
  <c r="X271" i="67"/>
  <c r="V289" i="67"/>
  <c r="T307" i="67"/>
  <c r="AC324" i="67"/>
  <c r="AC328" i="67"/>
  <c r="Y257" i="67"/>
  <c r="W275" i="67"/>
  <c r="U293" i="67"/>
  <c r="S311" i="67"/>
  <c r="AB328" i="67"/>
  <c r="AB323" i="67"/>
  <c r="W256" i="67"/>
  <c r="U274" i="67"/>
  <c r="S292" i="67"/>
  <c r="AB309" i="67"/>
  <c r="V330" i="67"/>
  <c r="X270" i="67"/>
  <c r="V288" i="67"/>
  <c r="X312" i="67"/>
  <c r="W286" i="67"/>
  <c r="T331" i="67"/>
  <c r="S256" i="67"/>
  <c r="Z268" i="67"/>
  <c r="AB316" i="67"/>
  <c r="AB302" i="67"/>
  <c r="Y286" i="67"/>
  <c r="S332" i="67"/>
  <c r="T270" i="67"/>
  <c r="AC265" i="67"/>
  <c r="V314" i="67"/>
  <c r="AA277" i="67"/>
  <c r="AC340" i="67"/>
  <c r="Y273" i="67"/>
  <c r="AB288" i="67"/>
  <c r="AB339" i="67"/>
  <c r="AC315" i="67"/>
  <c r="Y334" i="67"/>
  <c r="Y319" i="67"/>
  <c r="AA334" i="67"/>
  <c r="AB321" i="67"/>
  <c r="U266" i="67"/>
  <c r="S321" i="67"/>
  <c r="T291" i="67"/>
  <c r="V310" i="67"/>
  <c r="Z309" i="67"/>
  <c r="U330" i="67"/>
  <c r="AB290" i="67"/>
  <c r="X337" i="67"/>
  <c r="AA266" i="67"/>
  <c r="Y284" i="67"/>
  <c r="W302" i="67"/>
  <c r="U320" i="67"/>
  <c r="S338" i="67"/>
  <c r="W255" i="67"/>
  <c r="U273" i="67"/>
  <c r="S291" i="67"/>
  <c r="AB308" i="67"/>
  <c r="Z326" i="67"/>
  <c r="W334" i="67"/>
  <c r="U254" i="67"/>
  <c r="S272" i="67"/>
  <c r="AB289" i="67"/>
  <c r="Z307" i="67"/>
  <c r="X325" i="67"/>
  <c r="AC256" i="67"/>
  <c r="Y255" i="67"/>
  <c r="W273" i="67"/>
  <c r="U291" i="67"/>
  <c r="S309" i="67"/>
  <c r="V338" i="67"/>
  <c r="AC254" i="67"/>
  <c r="AA272" i="67"/>
  <c r="Y290" i="67"/>
  <c r="W308" i="67"/>
  <c r="U326" i="67"/>
  <c r="X331" i="67"/>
  <c r="AB258" i="67"/>
  <c r="Z276" i="67"/>
  <c r="X294" i="67"/>
  <c r="V312" i="67"/>
  <c r="T330" i="67"/>
  <c r="W326" i="67"/>
  <c r="Z257" i="67"/>
  <c r="X275" i="67"/>
  <c r="V293" i="67"/>
  <c r="T311" i="67"/>
  <c r="AC337" i="67"/>
  <c r="AA271" i="67"/>
  <c r="Y289" i="67"/>
  <c r="S285" i="67"/>
  <c r="S268" i="67"/>
  <c r="AB285" i="67"/>
  <c r="Z303" i="67"/>
  <c r="X321" i="67"/>
  <c r="V339" i="67"/>
  <c r="Z256" i="67"/>
  <c r="X274" i="67"/>
  <c r="V292" i="67"/>
  <c r="T310" i="67"/>
  <c r="AC327" i="67"/>
  <c r="U338" i="67"/>
  <c r="X255" i="67"/>
  <c r="V337" i="67"/>
  <c r="V269" i="67"/>
  <c r="Y293" i="67"/>
  <c r="U310" i="67"/>
  <c r="U258" i="67"/>
  <c r="W261" i="67"/>
  <c r="S334" i="67"/>
  <c r="S320" i="67"/>
  <c r="X300" i="67"/>
  <c r="U327" i="67"/>
  <c r="AA283" i="67"/>
  <c r="AA301" i="67"/>
  <c r="T318" i="67"/>
  <c r="X296" i="67"/>
  <c r="AA339" i="67"/>
  <c r="W299" i="67"/>
  <c r="X268" i="67"/>
  <c r="S331" i="67"/>
  <c r="Y340" i="67"/>
  <c r="W293" i="67"/>
  <c r="U339" i="67"/>
  <c r="Z294" i="67"/>
  <c r="U280" i="67"/>
  <c r="V308" i="67"/>
  <c r="Y270" i="67"/>
  <c r="AB294" i="67"/>
  <c r="X311" i="67"/>
  <c r="S262" i="67"/>
  <c r="Z262" i="67"/>
  <c r="AB337" i="67"/>
  <c r="X256" i="67"/>
  <c r="U304" i="67"/>
  <c r="S303" i="67"/>
  <c r="U323" i="67"/>
  <c r="X305" i="67"/>
  <c r="Z338" i="67"/>
  <c r="V257" i="67"/>
  <c r="AA264" i="67"/>
  <c r="AA256" i="67"/>
  <c r="AC273" i="67"/>
  <c r="AB295" i="67"/>
  <c r="U257" i="67"/>
  <c r="AA292" i="67"/>
  <c r="T287" i="67"/>
  <c r="W311" i="67"/>
  <c r="V329" i="67"/>
  <c r="X257" i="67"/>
  <c r="U279" i="67"/>
  <c r="W340" i="67"/>
  <c r="AA257" i="67"/>
  <c r="AC339" i="67"/>
  <c r="Z254" i="67"/>
  <c r="AC325" i="67"/>
  <c r="Z273" i="67"/>
  <c r="T299" i="67"/>
  <c r="Y333" i="67"/>
  <c r="S261" i="67"/>
  <c r="V336" i="67"/>
  <c r="Z339" i="67"/>
  <c r="T271" i="67"/>
  <c r="AC310" i="67"/>
  <c r="W305" i="67"/>
  <c r="U277" i="67"/>
  <c r="W324" i="67"/>
  <c r="Y296" i="67"/>
  <c r="W288" i="67"/>
  <c r="Z312" i="67"/>
  <c r="Y330" i="67"/>
  <c r="AA258" i="67"/>
  <c r="X280" i="67"/>
  <c r="U260" i="67"/>
  <c r="S259" i="67"/>
  <c r="W337" i="67"/>
  <c r="AA297" i="67"/>
  <c r="Z328" i="67"/>
  <c r="W277" i="67"/>
  <c r="T327" i="67"/>
  <c r="AA338" i="67"/>
  <c r="U337" i="67"/>
  <c r="AB314" i="67"/>
  <c r="S337" i="67"/>
  <c r="U308" i="67"/>
  <c r="S280" i="67"/>
  <c r="AC304" i="67"/>
  <c r="U329" i="67"/>
  <c r="Y264" i="67"/>
  <c r="V275" i="67"/>
  <c r="AA281" i="67"/>
  <c r="X261" i="67"/>
  <c r="V274" i="67"/>
  <c r="Y337" i="67"/>
  <c r="Z300" i="67"/>
  <c r="AB254" i="67"/>
  <c r="S284" i="67"/>
  <c r="AB324" i="67"/>
  <c r="AC275" i="67"/>
  <c r="U285" i="67"/>
  <c r="AA282" i="67"/>
  <c r="U331" i="67"/>
  <c r="U306" i="67"/>
  <c r="X330" i="67"/>
  <c r="Z269" i="67"/>
  <c r="Y276" i="67"/>
  <c r="S297" i="67"/>
  <c r="AA262" i="67"/>
  <c r="Y275" i="67"/>
  <c r="AB329" i="67"/>
  <c r="W304" i="67"/>
  <c r="Y258" i="67"/>
  <c r="AB301" i="67"/>
  <c r="Z277" i="67"/>
  <c r="U299" i="67"/>
  <c r="S279" i="67"/>
  <c r="U312" i="67"/>
  <c r="Z306" i="67"/>
  <c r="S298" i="67"/>
  <c r="AA322" i="67"/>
  <c r="AA340" i="67"/>
  <c r="T258" i="67"/>
  <c r="T293" i="67"/>
  <c r="V298" i="67"/>
  <c r="S278" i="67"/>
  <c r="AB276" i="67"/>
  <c r="S271" i="67"/>
  <c r="T340" i="67"/>
  <c r="V262" i="67"/>
  <c r="V309" i="67"/>
  <c r="W309" i="67"/>
  <c r="X309" i="67"/>
  <c r="Y280" i="67"/>
  <c r="S258" i="67"/>
  <c r="W318" i="67"/>
  <c r="AC306" i="67"/>
  <c r="S324" i="67"/>
  <c r="S323" i="67"/>
  <c r="W259" i="67"/>
  <c r="W294" i="67"/>
  <c r="Y299" i="67"/>
  <c r="V279" i="67"/>
  <c r="T292" i="67"/>
  <c r="AA291" i="67"/>
  <c r="T332" i="67"/>
  <c r="S266" i="67"/>
  <c r="V333" i="67"/>
  <c r="AB338" i="67"/>
  <c r="X340" i="67"/>
  <c r="T316" i="67"/>
  <c r="S257" i="67"/>
  <c r="AC257" i="67"/>
  <c r="Y274" i="67"/>
  <c r="AA293" i="67"/>
  <c r="AA328" i="67"/>
  <c r="W317" i="67"/>
  <c r="T297" i="67"/>
  <c r="S329" i="67"/>
  <c r="X286" i="67"/>
  <c r="AB259" i="67"/>
  <c r="Z311" i="67"/>
  <c r="U259" i="67"/>
  <c r="AB275" i="67"/>
  <c r="S295" i="67"/>
  <c r="S330" i="67"/>
  <c r="Z332" i="67"/>
  <c r="W298" i="67"/>
  <c r="T334" i="67"/>
  <c r="AA325" i="67"/>
  <c r="W281" i="67"/>
  <c r="W314" i="67"/>
  <c r="AC283" i="67"/>
  <c r="AC259" i="67"/>
  <c r="V300" i="67"/>
  <c r="X317" i="67"/>
  <c r="AA275" i="67"/>
  <c r="W292" i="67"/>
  <c r="Y311" i="67"/>
  <c r="T339" i="67"/>
  <c r="AC333" i="67"/>
  <c r="AC314" i="67"/>
  <c r="X254" i="67"/>
  <c r="X328" i="67"/>
  <c r="V276" i="67"/>
  <c r="V294" i="67"/>
  <c r="Z287" i="67"/>
  <c r="S289" i="67"/>
  <c r="U303" i="67"/>
  <c r="S277" i="67"/>
  <c r="Z293" i="67"/>
  <c r="AB312" i="67"/>
  <c r="AB304" i="67"/>
  <c r="U335" i="67"/>
  <c r="AA296" i="67"/>
  <c r="R338" i="67"/>
  <c r="R339" i="67"/>
  <c r="R336" i="67"/>
  <c r="R337" i="67"/>
  <c r="R334" i="67"/>
  <c r="R335" i="67"/>
  <c r="R332" i="67"/>
  <c r="R333" i="67"/>
  <c r="R330" i="67"/>
  <c r="R331" i="67"/>
  <c r="R328" i="67"/>
  <c r="R329" i="67"/>
  <c r="R326" i="67"/>
  <c r="R327" i="67"/>
  <c r="R324" i="67"/>
  <c r="R325" i="67"/>
  <c r="R322" i="67"/>
  <c r="R323" i="67"/>
  <c r="R320" i="67"/>
  <c r="R321" i="67"/>
  <c r="R318" i="67"/>
  <c r="R319" i="67"/>
  <c r="R316" i="67"/>
  <c r="R317" i="67"/>
  <c r="R314" i="67"/>
  <c r="R315" i="67"/>
  <c r="R312" i="67"/>
  <c r="R313" i="67"/>
  <c r="R310" i="67"/>
  <c r="R311" i="67"/>
  <c r="R308" i="67"/>
  <c r="R309" i="67"/>
  <c r="R306" i="67"/>
  <c r="R307" i="67"/>
  <c r="R304" i="67"/>
  <c r="R305" i="67"/>
  <c r="R302" i="67"/>
  <c r="R303" i="67"/>
  <c r="R300" i="67"/>
  <c r="R301" i="67"/>
  <c r="R298" i="67"/>
  <c r="R299" i="67"/>
  <c r="R296" i="67"/>
  <c r="R297" i="67"/>
  <c r="R294" i="67"/>
  <c r="R295" i="67"/>
  <c r="R292" i="67"/>
  <c r="R293" i="67"/>
  <c r="R290" i="67"/>
  <c r="R291" i="67"/>
  <c r="R288" i="67"/>
  <c r="R289" i="67"/>
  <c r="R286" i="67"/>
  <c r="R287" i="67"/>
  <c r="R284" i="67"/>
  <c r="R285" i="67"/>
  <c r="R282" i="67"/>
  <c r="R283" i="67"/>
  <c r="R280" i="67"/>
  <c r="R281" i="67"/>
  <c r="R278" i="67"/>
  <c r="R279" i="67"/>
  <c r="R276" i="67"/>
  <c r="R277" i="67"/>
  <c r="R274" i="67"/>
  <c r="R275" i="67"/>
  <c r="R272" i="67"/>
  <c r="R273" i="67"/>
  <c r="R270" i="67"/>
  <c r="R271" i="67"/>
  <c r="R268" i="67"/>
  <c r="R269" i="67"/>
  <c r="R266" i="67"/>
  <c r="R267" i="67"/>
  <c r="R264" i="67"/>
  <c r="R265" i="67"/>
  <c r="R262" i="67"/>
  <c r="R263" i="67"/>
  <c r="R260" i="67"/>
  <c r="R261" i="67"/>
  <c r="R258" i="67"/>
  <c r="R259" i="67"/>
  <c r="R256" i="67"/>
  <c r="R257" i="67"/>
  <c r="R254" i="67"/>
  <c r="R255" i="67"/>
  <c r="R252" i="67"/>
  <c r="S240" i="67"/>
  <c r="AC252" i="67"/>
  <c r="S244" i="67"/>
  <c r="Y241" i="67"/>
  <c r="AA240" i="67"/>
  <c r="Z250" i="67"/>
  <c r="AB246" i="67"/>
  <c r="AB249" i="67"/>
  <c r="S241" i="67"/>
  <c r="S245" i="67"/>
  <c r="W251" i="67"/>
  <c r="AC248" i="67"/>
  <c r="U245" i="67"/>
  <c r="X252" i="67"/>
  <c r="T241" i="67"/>
  <c r="V241" i="67"/>
  <c r="Y240" i="67"/>
  <c r="V245" i="67"/>
  <c r="AB242" i="67"/>
  <c r="T247" i="67"/>
  <c r="Z245" i="67"/>
  <c r="T248" i="67"/>
  <c r="W252" i="67"/>
  <c r="V242" i="67"/>
  <c r="Y247" i="67"/>
  <c r="S251" i="67"/>
  <c r="T245" i="67"/>
  <c r="AB251" i="67"/>
  <c r="AA243" i="67"/>
  <c r="X243" i="67"/>
  <c r="Y242" i="67"/>
  <c r="T243" i="67"/>
  <c r="Y246" i="67"/>
  <c r="T244" i="67"/>
  <c r="U252" i="67"/>
  <c r="AA250" i="67"/>
  <c r="W249" i="67"/>
  <c r="W242" i="67"/>
  <c r="Y243" i="67"/>
  <c r="T250" i="67"/>
  <c r="Z251" i="67"/>
  <c r="V243" i="67"/>
  <c r="X247" i="67"/>
  <c r="AC240" i="67"/>
  <c r="U244" i="67"/>
  <c r="X245" i="67"/>
  <c r="W246" i="67"/>
  <c r="U248" i="67"/>
  <c r="AB247" i="67"/>
  <c r="W245" i="67"/>
  <c r="AC245" i="67"/>
  <c r="X244" i="67"/>
  <c r="AC244" i="67"/>
  <c r="U241" i="67"/>
  <c r="V248" i="67"/>
  <c r="T240" i="67"/>
  <c r="Z240" i="67"/>
  <c r="T249" i="67"/>
  <c r="Z246" i="67"/>
  <c r="AA252" i="67"/>
  <c r="Y249" i="67"/>
  <c r="AB240" i="67"/>
  <c r="Z244" i="67"/>
  <c r="T242" i="67"/>
  <c r="W241" i="67"/>
  <c r="AA245" i="67"/>
  <c r="W250" i="67"/>
  <c r="AC247" i="67"/>
  <c r="W240" i="67"/>
  <c r="S242" i="67"/>
  <c r="U247" i="67"/>
  <c r="S250" i="67"/>
  <c r="W247" i="67"/>
  <c r="S252" i="67"/>
  <c r="U243" i="67"/>
  <c r="X246" i="67"/>
  <c r="Z242" i="67"/>
  <c r="T252" i="67"/>
  <c r="W244" i="67"/>
  <c r="U249" i="67"/>
  <c r="Z241" i="67"/>
  <c r="Z249" i="67"/>
  <c r="V252" i="67"/>
  <c r="Y252" i="67"/>
  <c r="Z248" i="67"/>
  <c r="AC251" i="67"/>
  <c r="AC243" i="67"/>
  <c r="AB245" i="67"/>
  <c r="W248" i="67"/>
  <c r="Y251" i="67"/>
  <c r="X251" i="67"/>
  <c r="AA247" i="67"/>
  <c r="X248" i="67"/>
  <c r="Y244" i="67"/>
  <c r="X249" i="67"/>
  <c r="AA246" i="67"/>
  <c r="AA241" i="67"/>
  <c r="AA244" i="67"/>
  <c r="AB248" i="67"/>
  <c r="Z243" i="67"/>
  <c r="AA251" i="67"/>
  <c r="T246" i="67"/>
  <c r="AC249" i="67"/>
  <c r="U242" i="67"/>
  <c r="V246" i="67"/>
  <c r="S249" i="67"/>
  <c r="U240" i="67"/>
  <c r="AC250" i="67"/>
  <c r="AC241" i="67"/>
  <c r="S248" i="67"/>
  <c r="S243" i="67"/>
  <c r="S246" i="67"/>
  <c r="AB243" i="67"/>
  <c r="U246" i="67"/>
  <c r="U251" i="67"/>
  <c r="V250" i="67"/>
  <c r="X241" i="67"/>
  <c r="W243" i="67"/>
  <c r="S247" i="67"/>
  <c r="V249" i="67"/>
  <c r="V244" i="67"/>
  <c r="V247" i="67"/>
  <c r="Z247" i="67"/>
  <c r="AA248" i="67"/>
  <c r="V251" i="67"/>
  <c r="Z252" i="67"/>
  <c r="AC242" i="67"/>
  <c r="AA249" i="67"/>
  <c r="X240" i="67"/>
  <c r="AB252" i="67"/>
  <c r="AA242" i="67"/>
  <c r="V240" i="67"/>
  <c r="AB250" i="67"/>
  <c r="Y250" i="67"/>
  <c r="Y245" i="67"/>
  <c r="Y248" i="67"/>
  <c r="U250" i="67"/>
  <c r="X242" i="67"/>
  <c r="T251" i="67"/>
  <c r="AB244" i="67"/>
  <c r="X250" i="67"/>
  <c r="AB241" i="67"/>
  <c r="AC246" i="67"/>
  <c r="R250" i="67"/>
  <c r="R251" i="67"/>
  <c r="R248" i="67"/>
  <c r="R249" i="67"/>
  <c r="R246" i="67"/>
  <c r="R247" i="67"/>
  <c r="R244" i="67"/>
  <c r="R245" i="67"/>
  <c r="R242" i="67"/>
  <c r="R243" i="67"/>
  <c r="R240" i="67"/>
  <c r="R241" i="67"/>
  <c r="I61" i="48"/>
  <c r="I63" i="55"/>
  <c r="I57" i="48"/>
  <c r="P59" i="48"/>
  <c r="P57" i="48"/>
  <c r="H63" i="55"/>
  <c r="H61" i="55"/>
  <c r="R63" i="48"/>
  <c r="R61" i="48"/>
  <c r="J63" i="48"/>
  <c r="J61" i="48"/>
  <c r="L57" i="55"/>
  <c r="L59" i="55"/>
  <c r="P52" i="48"/>
  <c r="P53" i="48" s="1"/>
  <c r="P50" i="48"/>
  <c r="H57" i="48"/>
  <c r="H59" i="48"/>
  <c r="K50" i="48"/>
  <c r="K52" i="48"/>
  <c r="K53" i="48" s="1"/>
  <c r="H61" i="48"/>
  <c r="H63" i="48"/>
  <c r="L59" i="48"/>
  <c r="L57" i="48"/>
  <c r="K57" i="55"/>
  <c r="K59" i="55"/>
  <c r="R52" i="48"/>
  <c r="R53" i="48" s="1"/>
  <c r="R50" i="48"/>
  <c r="O57" i="48"/>
  <c r="O59" i="48"/>
  <c r="R59" i="48"/>
  <c r="P57" i="55"/>
  <c r="P59" i="55"/>
  <c r="K57" i="48"/>
  <c r="K59" i="48"/>
  <c r="N61" i="55"/>
  <c r="N63" i="55"/>
  <c r="K63" i="55"/>
  <c r="K61" i="55"/>
  <c r="N59" i="55"/>
  <c r="N57" i="55"/>
  <c r="R57" i="55"/>
  <c r="R59" i="55"/>
  <c r="J59" i="55"/>
  <c r="J57" i="55"/>
  <c r="Q59" i="55"/>
  <c r="Q57" i="55"/>
  <c r="K61" i="48"/>
  <c r="K63" i="48"/>
  <c r="H59" i="55"/>
  <c r="H57" i="55"/>
  <c r="R52" i="55"/>
  <c r="R53" i="55" s="1"/>
  <c r="R50" i="55"/>
  <c r="R63" i="55"/>
  <c r="R61" i="55"/>
  <c r="Q61" i="55"/>
  <c r="Q63" i="55"/>
  <c r="Q52" i="48"/>
  <c r="Q53" i="48" s="1"/>
  <c r="Q50" i="48"/>
  <c r="P63" i="48"/>
  <c r="P61" i="48"/>
  <c r="Q63" i="48"/>
  <c r="Q61" i="48"/>
  <c r="L50" i="48"/>
  <c r="L52" i="48"/>
  <c r="L53" i="48" s="1"/>
  <c r="J61" i="55"/>
  <c r="J63" i="55"/>
  <c r="Q59" i="48"/>
  <c r="Q57" i="48"/>
  <c r="L61" i="55"/>
  <c r="L63" i="55"/>
  <c r="H50" i="48"/>
  <c r="H52" i="48"/>
  <c r="H53" i="48" s="1"/>
  <c r="L61" i="48"/>
  <c r="L63" i="48"/>
  <c r="G57" i="55"/>
  <c r="G59" i="55"/>
  <c r="O63" i="55"/>
  <c r="O61" i="55"/>
  <c r="O63" i="48"/>
  <c r="O61" i="48"/>
  <c r="J50" i="48"/>
  <c r="J52" i="48"/>
  <c r="J53" i="48" s="1"/>
  <c r="N52" i="48"/>
  <c r="N53" i="48" s="1"/>
  <c r="N50" i="48"/>
  <c r="G63" i="55"/>
  <c r="G61" i="55"/>
  <c r="N61" i="48"/>
  <c r="N63" i="48"/>
  <c r="P61" i="55"/>
  <c r="P63" i="55"/>
  <c r="N57" i="48"/>
  <c r="N59" i="48"/>
  <c r="O59" i="55"/>
  <c r="O57" i="55"/>
  <c r="O52" i="48"/>
  <c r="O53" i="48" s="1"/>
  <c r="O50" i="48"/>
  <c r="J57" i="48"/>
  <c r="J59" i="48"/>
  <c r="G43" i="48"/>
  <c r="S38" i="48"/>
  <c r="V38" i="48" s="1"/>
  <c r="G62" i="48"/>
  <c r="G58" i="48"/>
  <c r="H52" i="55" l="1"/>
  <c r="H53" i="55" s="1"/>
  <c r="J52" i="55"/>
  <c r="J53" i="55" s="1"/>
  <c r="P50" i="55"/>
  <c r="O50" i="55"/>
  <c r="I52" i="55"/>
  <c r="I53" i="55" s="1"/>
  <c r="Q52" i="55"/>
  <c r="Q53" i="55" s="1"/>
  <c r="L50" i="55"/>
  <c r="N52" i="55"/>
  <c r="N53" i="55" s="1"/>
  <c r="K50" i="55"/>
  <c r="AD259" i="67"/>
  <c r="AD329" i="67"/>
  <c r="AD247" i="67"/>
  <c r="AD301" i="67"/>
  <c r="AD287" i="67"/>
  <c r="AD246" i="67"/>
  <c r="AD286" i="67"/>
  <c r="AD314" i="67"/>
  <c r="AR285" i="67"/>
  <c r="AD331" i="67"/>
  <c r="AD273" i="67"/>
  <c r="AD315" i="67"/>
  <c r="AD272" i="67"/>
  <c r="AD328" i="67"/>
  <c r="AD352" i="67"/>
  <c r="AD353" i="67"/>
  <c r="AD344" i="67"/>
  <c r="AD343" i="67"/>
  <c r="AD345" i="67"/>
  <c r="AD355" i="67"/>
  <c r="AD347" i="67"/>
  <c r="AD346" i="67"/>
  <c r="AD349" i="67"/>
  <c r="AD348" i="67"/>
  <c r="AD354" i="67"/>
  <c r="AD351" i="67"/>
  <c r="AD350" i="67"/>
  <c r="AD275" i="67"/>
  <c r="AD260" i="67"/>
  <c r="AD274" i="67"/>
  <c r="AD288" i="67"/>
  <c r="AD302" i="67"/>
  <c r="AD316" i="67"/>
  <c r="AD330" i="67"/>
  <c r="AD340" i="67"/>
  <c r="AD261" i="67"/>
  <c r="AD319" i="67"/>
  <c r="AD258" i="67"/>
  <c r="AD291" i="67"/>
  <c r="AD304" i="67"/>
  <c r="AD265" i="67"/>
  <c r="AD335" i="67"/>
  <c r="AD317" i="67"/>
  <c r="AD305" i="67"/>
  <c r="AD276" i="67"/>
  <c r="AD293" i="67"/>
  <c r="AD278" i="67"/>
  <c r="AD320" i="67"/>
  <c r="AD295" i="67"/>
  <c r="AD337" i="67"/>
  <c r="AD280" i="67"/>
  <c r="AD322" i="67"/>
  <c r="AD255" i="67"/>
  <c r="AD269" i="67"/>
  <c r="AD283" i="67"/>
  <c r="AD297" i="67"/>
  <c r="AD311" i="67"/>
  <c r="AD325" i="67"/>
  <c r="AD339" i="67"/>
  <c r="AD333" i="67"/>
  <c r="AD290" i="67"/>
  <c r="AD307" i="67"/>
  <c r="AD264" i="67"/>
  <c r="AD306" i="67"/>
  <c r="AD281" i="67"/>
  <c r="AD323" i="67"/>
  <c r="AD294" i="67"/>
  <c r="AD296" i="67"/>
  <c r="AD324" i="67"/>
  <c r="AD303" i="67"/>
  <c r="AD277" i="67"/>
  <c r="AD262" i="67"/>
  <c r="AD332" i="67"/>
  <c r="AD279" i="67"/>
  <c r="AD300" i="67"/>
  <c r="AD289" i="67"/>
  <c r="AD263" i="67"/>
  <c r="AD318" i="67"/>
  <c r="AD321" i="67"/>
  <c r="AD292" i="67"/>
  <c r="AD334" i="67"/>
  <c r="AD267" i="67"/>
  <c r="AD309" i="67"/>
  <c r="AD266" i="67"/>
  <c r="AD308" i="67"/>
  <c r="AD336" i="67"/>
  <c r="AD268" i="67"/>
  <c r="AD282" i="67"/>
  <c r="AD310" i="67"/>
  <c r="AD338" i="67"/>
  <c r="AD257" i="67"/>
  <c r="AD271" i="67"/>
  <c r="AD285" i="67"/>
  <c r="AD299" i="67"/>
  <c r="AD313" i="67"/>
  <c r="AD327" i="67"/>
  <c r="AD256" i="67"/>
  <c r="AD270" i="67"/>
  <c r="AD284" i="67"/>
  <c r="AD298" i="67"/>
  <c r="AD312" i="67"/>
  <c r="AD326" i="67"/>
  <c r="AD251" i="67"/>
  <c r="AD250" i="67"/>
  <c r="AD248" i="67"/>
  <c r="AD252" i="67"/>
  <c r="AD242" i="67"/>
  <c r="AD243" i="67"/>
  <c r="AD245" i="67"/>
  <c r="AD249" i="67"/>
  <c r="AD241" i="67"/>
  <c r="AD244" i="67"/>
  <c r="AR298" i="67"/>
  <c r="AR303" i="67"/>
  <c r="AR290" i="67"/>
  <c r="AR336" i="67"/>
  <c r="AR296" i="67"/>
  <c r="AR277" i="67"/>
  <c r="AR281" i="67"/>
  <c r="AR322" i="67"/>
  <c r="AR343" i="67"/>
  <c r="AR349" i="67"/>
  <c r="AR307" i="67"/>
  <c r="AM341" i="67"/>
  <c r="AR345" i="67"/>
  <c r="AN341" i="67"/>
  <c r="AR354" i="67"/>
  <c r="AR344" i="67"/>
  <c r="AJ341" i="67"/>
  <c r="AR346" i="67"/>
  <c r="AH341" i="67"/>
  <c r="AR348" i="67"/>
  <c r="AK341" i="67"/>
  <c r="AI341" i="67"/>
  <c r="AO341" i="67"/>
  <c r="AR350" i="67"/>
  <c r="AR353" i="67"/>
  <c r="AQ341" i="67"/>
  <c r="AR347" i="67"/>
  <c r="AR352" i="67"/>
  <c r="AL341" i="67"/>
  <c r="AP341" i="67"/>
  <c r="AR351" i="67"/>
  <c r="AR355" i="67"/>
  <c r="AG341" i="67"/>
  <c r="AR270" i="67"/>
  <c r="AR301" i="67"/>
  <c r="AF341" i="67"/>
  <c r="AR342" i="67"/>
  <c r="AJ253" i="67"/>
  <c r="AR267" i="67"/>
  <c r="AR331" i="67"/>
  <c r="AR257" i="67"/>
  <c r="AR286" i="67"/>
  <c r="AR321" i="67"/>
  <c r="AR299" i="67"/>
  <c r="AR324" i="67"/>
  <c r="AR282" i="67"/>
  <c r="AR274" i="67"/>
  <c r="AR318" i="67"/>
  <c r="AR268" i="67"/>
  <c r="AQ253" i="67"/>
  <c r="AR258" i="67"/>
  <c r="AR309" i="67"/>
  <c r="AR313" i="67"/>
  <c r="AR335" i="67"/>
  <c r="AR304" i="67"/>
  <c r="AR271" i="67"/>
  <c r="AR329" i="67"/>
  <c r="AR263" i="67"/>
  <c r="AN253" i="67"/>
  <c r="AK253" i="67"/>
  <c r="AR260" i="67"/>
  <c r="AR325" i="67"/>
  <c r="AR259" i="67"/>
  <c r="AR297" i="67"/>
  <c r="AR302" i="67"/>
  <c r="AI253" i="67"/>
  <c r="AR306" i="67"/>
  <c r="AR328" i="67"/>
  <c r="AP253" i="67"/>
  <c r="AR316" i="67"/>
  <c r="AR291" i="67"/>
  <c r="AR295" i="67"/>
  <c r="AM253" i="67"/>
  <c r="AR275" i="67"/>
  <c r="AR314" i="67"/>
  <c r="AR287" i="67"/>
  <c r="AR327" i="67"/>
  <c r="AR283" i="67"/>
  <c r="AR289" i="67"/>
  <c r="AR338" i="67"/>
  <c r="AR320" i="67"/>
  <c r="AR333" i="67"/>
  <c r="AR305" i="67"/>
  <c r="AR272" i="67"/>
  <c r="AR310" i="67"/>
  <c r="AL253" i="67"/>
  <c r="AR273" i="67"/>
  <c r="AR308" i="67"/>
  <c r="AR315" i="67"/>
  <c r="AR262" i="67"/>
  <c r="AR261" i="67"/>
  <c r="AR269" i="67"/>
  <c r="AR300" i="67"/>
  <c r="AR276" i="67"/>
  <c r="AO253" i="67"/>
  <c r="AR332" i="67"/>
  <c r="AR330" i="67"/>
  <c r="AR339" i="67"/>
  <c r="AR280" i="67"/>
  <c r="AR294" i="67"/>
  <c r="AR279" i="67"/>
  <c r="AR311" i="67"/>
  <c r="AH253" i="67"/>
  <c r="AR337" i="67"/>
  <c r="AR319" i="67"/>
  <c r="AR293" i="67"/>
  <c r="AR266" i="67"/>
  <c r="AR265" i="67"/>
  <c r="AR323" i="67"/>
  <c r="AR278" i="67"/>
  <c r="AR288" i="67"/>
  <c r="AR334" i="67"/>
  <c r="AR340" i="67"/>
  <c r="AR312" i="67"/>
  <c r="AR317" i="67"/>
  <c r="AR255" i="67"/>
  <c r="AR284" i="67"/>
  <c r="AR292" i="67"/>
  <c r="AR256" i="67"/>
  <c r="AR326" i="67"/>
  <c r="AR264" i="67"/>
  <c r="AG253" i="67"/>
  <c r="AR254" i="67"/>
  <c r="AF253" i="67"/>
  <c r="AR246" i="67"/>
  <c r="AJ239" i="67"/>
  <c r="AO239" i="67"/>
  <c r="AQ239" i="67"/>
  <c r="AR249" i="67"/>
  <c r="AL239" i="67"/>
  <c r="AN239" i="67"/>
  <c r="AM239" i="67"/>
  <c r="AK239" i="67"/>
  <c r="AR251" i="67"/>
  <c r="AR245" i="67"/>
  <c r="AR247" i="67"/>
  <c r="AR250" i="67"/>
  <c r="AI239" i="67"/>
  <c r="AH239" i="67"/>
  <c r="AR241" i="67"/>
  <c r="AR244" i="67"/>
  <c r="AR248" i="67"/>
  <c r="AR242" i="67"/>
  <c r="AP239" i="67"/>
  <c r="AR252" i="67"/>
  <c r="AR243" i="67"/>
  <c r="AG239" i="67"/>
  <c r="AF239" i="67"/>
  <c r="AR240" i="67"/>
  <c r="X341" i="67"/>
  <c r="Y341" i="67"/>
  <c r="W341" i="67"/>
  <c r="AA341" i="67"/>
  <c r="U341" i="67"/>
  <c r="AB341" i="67"/>
  <c r="Z341" i="67"/>
  <c r="AC341" i="67"/>
  <c r="V341" i="67"/>
  <c r="T341" i="67"/>
  <c r="S341" i="67"/>
  <c r="U253" i="67"/>
  <c r="X253" i="67"/>
  <c r="AC253" i="67"/>
  <c r="Z253" i="67"/>
  <c r="W253" i="67"/>
  <c r="AB253" i="67"/>
  <c r="Y253" i="67"/>
  <c r="T253" i="67"/>
  <c r="V253" i="67"/>
  <c r="AA253" i="67"/>
  <c r="S253" i="67"/>
  <c r="R253" i="67"/>
  <c r="X239" i="67"/>
  <c r="Y239" i="67"/>
  <c r="AC239" i="67"/>
  <c r="T239" i="67"/>
  <c r="W239" i="67"/>
  <c r="AA239" i="67"/>
  <c r="U239" i="67"/>
  <c r="S239" i="67"/>
  <c r="Z239" i="67"/>
  <c r="V239" i="67"/>
  <c r="AB239" i="67"/>
  <c r="R239" i="67"/>
  <c r="AD342" i="67"/>
  <c r="AD240" i="67"/>
  <c r="R341" i="67"/>
  <c r="AD254" i="67"/>
  <c r="G47" i="48"/>
  <c r="G59" i="48"/>
  <c r="G57" i="48"/>
  <c r="G49" i="55"/>
  <c r="G52" i="55" s="1"/>
  <c r="G61" i="48"/>
  <c r="G63" i="48"/>
  <c r="AS285" i="67" l="1"/>
  <c r="AT285" i="67" s="1"/>
  <c r="AS325" i="67"/>
  <c r="AT325" i="67" s="1"/>
  <c r="AS296" i="67"/>
  <c r="AT296" i="67" s="1"/>
  <c r="AS304" i="67"/>
  <c r="AT304" i="67" s="1"/>
  <c r="AS290" i="67"/>
  <c r="AT290" i="67" s="1"/>
  <c r="AS355" i="67"/>
  <c r="AT355" i="67" s="1"/>
  <c r="AS298" i="67"/>
  <c r="AT298" i="67" s="1"/>
  <c r="AS336" i="67"/>
  <c r="AT336" i="67" s="1"/>
  <c r="AS277" i="67"/>
  <c r="AT277" i="67" s="1"/>
  <c r="AS303" i="67"/>
  <c r="AT303" i="67" s="1"/>
  <c r="AS345" i="67"/>
  <c r="AT345" i="67" s="1"/>
  <c r="AS281" i="67"/>
  <c r="AT281" i="67" s="1"/>
  <c r="AD253" i="67"/>
  <c r="AD239" i="67"/>
  <c r="AS322" i="67"/>
  <c r="AT322" i="67" s="1"/>
  <c r="AS343" i="67"/>
  <c r="AT343" i="67" s="1"/>
  <c r="AS349" i="67"/>
  <c r="AT349" i="67" s="1"/>
  <c r="AS307" i="67"/>
  <c r="AT307" i="67" s="1"/>
  <c r="AS347" i="67"/>
  <c r="AT347" i="67" s="1"/>
  <c r="AS294" i="67"/>
  <c r="AT294" i="67" s="1"/>
  <c r="AS311" i="67"/>
  <c r="AT311" i="67" s="1"/>
  <c r="AS354" i="67"/>
  <c r="AT354" i="67" s="1"/>
  <c r="AS256" i="67"/>
  <c r="AT256" i="67" s="1"/>
  <c r="AS268" i="67"/>
  <c r="AT268" i="67" s="1"/>
  <c r="AS243" i="67"/>
  <c r="AT243" i="67" s="1"/>
  <c r="AS337" i="67"/>
  <c r="AT337" i="67" s="1"/>
  <c r="AS344" i="67"/>
  <c r="AT344" i="67" s="1"/>
  <c r="AS286" i="67"/>
  <c r="AT286" i="67" s="1"/>
  <c r="AS352" i="67"/>
  <c r="AT352" i="67" s="1"/>
  <c r="AS321" i="67"/>
  <c r="AT321" i="67" s="1"/>
  <c r="AS272" i="67"/>
  <c r="AT272" i="67" s="1"/>
  <c r="AS318" i="67"/>
  <c r="AT318" i="67" s="1"/>
  <c r="AS292" i="67"/>
  <c r="AT292" i="67" s="1"/>
  <c r="AS273" i="67"/>
  <c r="AT273" i="67" s="1"/>
  <c r="AS348" i="67"/>
  <c r="AT348" i="67" s="1"/>
  <c r="AS346" i="67"/>
  <c r="AT346" i="67" s="1"/>
  <c r="AR341" i="67"/>
  <c r="AS287" i="67"/>
  <c r="AT287" i="67" s="1"/>
  <c r="AS262" i="67"/>
  <c r="AT262" i="67" s="1"/>
  <c r="AS301" i="67"/>
  <c r="AT301" i="67" s="1"/>
  <c r="AS335" i="67"/>
  <c r="AT335" i="67" s="1"/>
  <c r="AS314" i="67"/>
  <c r="AT314" i="67" s="1"/>
  <c r="AS353" i="67"/>
  <c r="AT353" i="67" s="1"/>
  <c r="AS299" i="67"/>
  <c r="AT299" i="67" s="1"/>
  <c r="AS350" i="67"/>
  <c r="AT350" i="67" s="1"/>
  <c r="AS351" i="67"/>
  <c r="AT351" i="67" s="1"/>
  <c r="AS270" i="67"/>
  <c r="AT270" i="67" s="1"/>
  <c r="AS249" i="67"/>
  <c r="AT249" i="67" s="1"/>
  <c r="AS282" i="67"/>
  <c r="AT282" i="67" s="1"/>
  <c r="AS275" i="67"/>
  <c r="AT275" i="67" s="1"/>
  <c r="AS295" i="67"/>
  <c r="AT295" i="67" s="1"/>
  <c r="AR253" i="67"/>
  <c r="AS261" i="67"/>
  <c r="AT261" i="67" s="1"/>
  <c r="AS308" i="67"/>
  <c r="AT308" i="67" s="1"/>
  <c r="AS334" i="67"/>
  <c r="AT334" i="67" s="1"/>
  <c r="AS333" i="67"/>
  <c r="AT333" i="67" s="1"/>
  <c r="AS252" i="67"/>
  <c r="AT252" i="67" s="1"/>
  <c r="AS280" i="67"/>
  <c r="AT280" i="67" s="1"/>
  <c r="AS242" i="67"/>
  <c r="AT242" i="67" s="1"/>
  <c r="AS340" i="67"/>
  <c r="AT340" i="67" s="1"/>
  <c r="AS327" i="67"/>
  <c r="AT327" i="67" s="1"/>
  <c r="AS329" i="67"/>
  <c r="AT329" i="67" s="1"/>
  <c r="AS279" i="67"/>
  <c r="AT279" i="67" s="1"/>
  <c r="AS324" i="67"/>
  <c r="AT324" i="67" s="1"/>
  <c r="AS330" i="67"/>
  <c r="AT330" i="67" s="1"/>
  <c r="AS315" i="67"/>
  <c r="AT315" i="67" s="1"/>
  <c r="AS339" i="67"/>
  <c r="AT339" i="67" s="1"/>
  <c r="AS312" i="67"/>
  <c r="AT312" i="67" s="1"/>
  <c r="AS271" i="67"/>
  <c r="AT271" i="67" s="1"/>
  <c r="AS316" i="67"/>
  <c r="AT316" i="67" s="1"/>
  <c r="AS263" i="67"/>
  <c r="AT263" i="67" s="1"/>
  <c r="AS306" i="67"/>
  <c r="AT306" i="67" s="1"/>
  <c r="AS305" i="67"/>
  <c r="AT305" i="67" s="1"/>
  <c r="AS328" i="67"/>
  <c r="AT328" i="67" s="1"/>
  <c r="AS313" i="67"/>
  <c r="AT313" i="67" s="1"/>
  <c r="AS278" i="67"/>
  <c r="AT278" i="67" s="1"/>
  <c r="AS320" i="67"/>
  <c r="AT320" i="67" s="1"/>
  <c r="AS264" i="67"/>
  <c r="AT264" i="67" s="1"/>
  <c r="AS265" i="67"/>
  <c r="AT265" i="67" s="1"/>
  <c r="AS323" i="67"/>
  <c r="AT323" i="67" s="1"/>
  <c r="AS297" i="67"/>
  <c r="AT297" i="67" s="1"/>
  <c r="AS302" i="67"/>
  <c r="AT302" i="67" s="1"/>
  <c r="AS288" i="67"/>
  <c r="AT288" i="67" s="1"/>
  <c r="AS300" i="67"/>
  <c r="AT300" i="67" s="1"/>
  <c r="AS267" i="67"/>
  <c r="AT267" i="67" s="1"/>
  <c r="AS274" i="67"/>
  <c r="AT274" i="67" s="1"/>
  <c r="AS259" i="67"/>
  <c r="AT259" i="67" s="1"/>
  <c r="AS293" i="67"/>
  <c r="AT293" i="67" s="1"/>
  <c r="AS283" i="67"/>
  <c r="AT283" i="67" s="1"/>
  <c r="AS319" i="67"/>
  <c r="AT319" i="67" s="1"/>
  <c r="AS260" i="67"/>
  <c r="AT260" i="67" s="1"/>
  <c r="AS284" i="67"/>
  <c r="AT284" i="67" s="1"/>
  <c r="AS338" i="67"/>
  <c r="AT338" i="67" s="1"/>
  <c r="AS269" i="67"/>
  <c r="AT269" i="67" s="1"/>
  <c r="AS291" i="67"/>
  <c r="AT291" i="67" s="1"/>
  <c r="AS331" i="67"/>
  <c r="AT331" i="67" s="1"/>
  <c r="AS258" i="67"/>
  <c r="AT258" i="67" s="1"/>
  <c r="AS255" i="67"/>
  <c r="AT255" i="67" s="1"/>
  <c r="AS246" i="67"/>
  <c r="AT246" i="67" s="1"/>
  <c r="AS317" i="67"/>
  <c r="AT317" i="67" s="1"/>
  <c r="AS257" i="67"/>
  <c r="AT257" i="67" s="1"/>
  <c r="AS310" i="67"/>
  <c r="AT310" i="67" s="1"/>
  <c r="AS309" i="67"/>
  <c r="AT309" i="67" s="1"/>
  <c r="AS332" i="67"/>
  <c r="AT332" i="67" s="1"/>
  <c r="AS276" i="67"/>
  <c r="AT276" i="67" s="1"/>
  <c r="AS289" i="67"/>
  <c r="AT289" i="67" s="1"/>
  <c r="AS326" i="67"/>
  <c r="AT326" i="67" s="1"/>
  <c r="AS266" i="67"/>
  <c r="AT266" i="67" s="1"/>
  <c r="AS248" i="67"/>
  <c r="AT248" i="67" s="1"/>
  <c r="AS251" i="67"/>
  <c r="AT251" i="67" s="1"/>
  <c r="AS247" i="67"/>
  <c r="AT247" i="67" s="1"/>
  <c r="AS245" i="67"/>
  <c r="AT245" i="67" s="1"/>
  <c r="AR239" i="67"/>
  <c r="AS244" i="67"/>
  <c r="AT244" i="67" s="1"/>
  <c r="AS241" i="67"/>
  <c r="AT241" i="67" s="1"/>
  <c r="AS250" i="67"/>
  <c r="AT250" i="67" s="1"/>
  <c r="AS342" i="67"/>
  <c r="AT342" i="67" s="1"/>
  <c r="AD341" i="67"/>
  <c r="AS254" i="67"/>
  <c r="AT254" i="67" s="1"/>
  <c r="AS240" i="67"/>
  <c r="AT240" i="67" s="1"/>
  <c r="G50" i="55"/>
  <c r="G49" i="48"/>
  <c r="AS341" i="67" l="1"/>
  <c r="AT341" i="67" s="1"/>
  <c r="AS253" i="67"/>
  <c r="AT253" i="67" s="1"/>
  <c r="AS239" i="67"/>
  <c r="AT239" i="67" s="1"/>
  <c r="G52" i="48"/>
  <c r="G50" i="48"/>
  <c r="G53" i="55"/>
  <c r="G53" i="48" l="1"/>
  <c r="Q106" i="41"/>
  <c r="S55" i="64"/>
  <c r="AQ98" i="41"/>
  <c r="S28" i="64" l="1"/>
  <c r="S58" i="64" s="1"/>
  <c r="S127" i="64" s="1"/>
  <c r="M31" i="48"/>
  <c r="S31" i="48" s="1"/>
  <c r="V31" i="48" s="1"/>
  <c r="M51" i="55"/>
  <c r="M51" i="48" s="1"/>
  <c r="S51" i="48" s="1"/>
  <c r="V51" i="48" s="1"/>
  <c r="AR98" i="41"/>
  <c r="W106" i="41"/>
  <c r="S31" i="55"/>
  <c r="S58" i="55" s="1"/>
  <c r="M32" i="55"/>
  <c r="M58" i="55"/>
  <c r="Y55" i="64"/>
  <c r="Y28" i="64" s="1"/>
  <c r="J98" i="41"/>
  <c r="S51" i="55" l="1"/>
  <c r="S62" i="55" s="1"/>
  <c r="AR71" i="41"/>
  <c r="M62" i="55"/>
  <c r="M61" i="55" s="1"/>
  <c r="M58" i="48"/>
  <c r="M59" i="48" s="1"/>
  <c r="M32" i="48"/>
  <c r="S32" i="48" s="1"/>
  <c r="M62" i="48"/>
  <c r="M61" i="48" s="1"/>
  <c r="AQ71" i="41"/>
  <c r="M57" i="55"/>
  <c r="M59" i="55"/>
  <c r="M43" i="55"/>
  <c r="M33" i="55"/>
  <c r="S32" i="55"/>
  <c r="S33" i="55" s="1"/>
  <c r="S59" i="55"/>
  <c r="S58" i="48"/>
  <c r="S62" i="48"/>
  <c r="J71" i="41"/>
  <c r="S33" i="48" l="1"/>
  <c r="V33" i="48" s="1"/>
  <c r="V32" i="48"/>
  <c r="Y58" i="64"/>
  <c r="AQ106" i="41"/>
  <c r="AS143" i="67"/>
  <c r="AT143" i="67" s="1"/>
  <c r="AS138" i="67"/>
  <c r="AT138" i="67" s="1"/>
  <c r="AS142" i="67"/>
  <c r="AT142" i="67" s="1"/>
  <c r="AS145" i="67"/>
  <c r="AT145" i="67" s="1"/>
  <c r="AS139" i="67"/>
  <c r="AT139" i="67" s="1"/>
  <c r="AS148" i="67"/>
  <c r="AT148" i="67" s="1"/>
  <c r="AS136" i="67"/>
  <c r="AT136" i="67" s="1"/>
  <c r="AS150" i="67"/>
  <c r="AT150" i="67" s="1"/>
  <c r="AS146" i="67"/>
  <c r="AT146" i="67" s="1"/>
  <c r="AS140" i="67"/>
  <c r="AT140" i="67" s="1"/>
  <c r="J106" i="41"/>
  <c r="AH57" i="67" s="1"/>
  <c r="M33" i="48"/>
  <c r="M43" i="48"/>
  <c r="S43" i="48" s="1"/>
  <c r="V43" i="48" s="1"/>
  <c r="M63" i="55"/>
  <c r="M63" i="48"/>
  <c r="M57" i="48"/>
  <c r="AR106" i="41"/>
  <c r="S63" i="55"/>
  <c r="S61" i="55"/>
  <c r="S57" i="55"/>
  <c r="S63" i="48"/>
  <c r="S61" i="48"/>
  <c r="M47" i="55"/>
  <c r="S43" i="55"/>
  <c r="S59" i="48"/>
  <c r="S57" i="48"/>
  <c r="F30" i="48"/>
  <c r="F33" i="48"/>
  <c r="U33" i="48" s="1"/>
  <c r="AB10" i="67" l="1"/>
  <c r="Y127" i="64"/>
  <c r="R106" i="67"/>
  <c r="R10" i="67"/>
  <c r="AC10" i="67"/>
  <c r="Y10" i="67"/>
  <c r="X10" i="67"/>
  <c r="W10" i="67"/>
  <c r="T10" i="67"/>
  <c r="AA10" i="67"/>
  <c r="Z10" i="67"/>
  <c r="V10" i="67"/>
  <c r="U10" i="67"/>
  <c r="S10" i="67"/>
  <c r="AF106" i="67"/>
  <c r="AQ10" i="67"/>
  <c r="AK106" i="67"/>
  <c r="AN106" i="67"/>
  <c r="AQ106" i="67"/>
  <c r="AL106" i="67"/>
  <c r="AM106" i="67"/>
  <c r="AI106" i="67"/>
  <c r="AH106" i="67"/>
  <c r="AJ106" i="67"/>
  <c r="AP106" i="67"/>
  <c r="AO106" i="67"/>
  <c r="AG106" i="67"/>
  <c r="V106" i="67"/>
  <c r="Y106" i="67"/>
  <c r="AC106" i="67"/>
  <c r="Z106" i="67"/>
  <c r="W106" i="67"/>
  <c r="U106" i="67"/>
  <c r="AB106" i="67"/>
  <c r="T106" i="67"/>
  <c r="AA106" i="67"/>
  <c r="X106" i="67"/>
  <c r="S106" i="67"/>
  <c r="R43" i="67"/>
  <c r="AP26" i="67"/>
  <c r="AJ24" i="67"/>
  <c r="AH113" i="67"/>
  <c r="AJ112" i="67"/>
  <c r="AH110" i="67"/>
  <c r="AJ118" i="67"/>
  <c r="AN116" i="67"/>
  <c r="AQ110" i="67"/>
  <c r="AJ109" i="67"/>
  <c r="AQ118" i="67"/>
  <c r="AP110" i="67"/>
  <c r="AQ117" i="67"/>
  <c r="AJ117" i="67"/>
  <c r="AM115" i="67"/>
  <c r="AL111" i="67"/>
  <c r="AK117" i="67"/>
  <c r="AI118" i="67"/>
  <c r="AI112" i="67"/>
  <c r="AG114" i="67"/>
  <c r="AO118" i="67"/>
  <c r="AP116" i="67"/>
  <c r="AO114" i="67"/>
  <c r="AO117" i="67"/>
  <c r="AF111" i="67"/>
  <c r="AN109" i="67"/>
  <c r="AM116" i="67"/>
  <c r="AL117" i="67"/>
  <c r="AK114" i="67"/>
  <c r="AJ113" i="67"/>
  <c r="AH112" i="67"/>
  <c r="AK110" i="67"/>
  <c r="AQ111" i="67"/>
  <c r="AO115" i="67"/>
  <c r="AL115" i="67"/>
  <c r="AM111" i="67"/>
  <c r="AK118" i="67"/>
  <c r="AI114" i="67"/>
  <c r="AP118" i="67"/>
  <c r="AM114" i="67"/>
  <c r="AJ114" i="67"/>
  <c r="AQ109" i="67"/>
  <c r="AH109" i="67"/>
  <c r="AP109" i="67"/>
  <c r="AF112" i="67"/>
  <c r="AK113" i="67"/>
  <c r="AN117" i="67"/>
  <c r="AO110" i="67"/>
  <c r="AL114" i="67"/>
  <c r="AI113" i="67"/>
  <c r="AO109" i="67"/>
  <c r="AO113" i="67"/>
  <c r="AI111" i="67"/>
  <c r="AM109" i="67"/>
  <c r="AP114" i="67"/>
  <c r="AH111" i="67"/>
  <c r="AN110" i="67"/>
  <c r="AF74" i="67"/>
  <c r="AQ114" i="67"/>
  <c r="AM118" i="67"/>
  <c r="AL109" i="67"/>
  <c r="AG41" i="67"/>
  <c r="AP117" i="67"/>
  <c r="AM110" i="67"/>
  <c r="AI110" i="67"/>
  <c r="AQ112" i="67"/>
  <c r="AL110" i="67"/>
  <c r="AG115" i="67"/>
  <c r="AJ115" i="67"/>
  <c r="AH115" i="67"/>
  <c r="AM117" i="67"/>
  <c r="AN111" i="67"/>
  <c r="AK115" i="67"/>
  <c r="AK92" i="67"/>
  <c r="AP111" i="67"/>
  <c r="AM113" i="67"/>
  <c r="AG113" i="67"/>
  <c r="AG111" i="67"/>
  <c r="AG112" i="67"/>
  <c r="AL113" i="67"/>
  <c r="AK112" i="67"/>
  <c r="AN113" i="67"/>
  <c r="AO112" i="67"/>
  <c r="AQ116" i="67"/>
  <c r="AH118" i="67"/>
  <c r="AL118" i="67"/>
  <c r="AI116" i="67"/>
  <c r="AN118" i="67"/>
  <c r="AJ116" i="67"/>
  <c r="AO111" i="67"/>
  <c r="AP113" i="67"/>
  <c r="AK116" i="67"/>
  <c r="AP115" i="67"/>
  <c r="AH114" i="67"/>
  <c r="AQ113" i="67"/>
  <c r="AI115" i="67"/>
  <c r="AP77" i="67"/>
  <c r="AK111" i="67"/>
  <c r="AQ115" i="67"/>
  <c r="AJ110" i="67"/>
  <c r="AI117" i="67"/>
  <c r="AQ103" i="67"/>
  <c r="AK109" i="67"/>
  <c r="AG118" i="67"/>
  <c r="AG110" i="67"/>
  <c r="AG116" i="67"/>
  <c r="AH116" i="67"/>
  <c r="AG117" i="67"/>
  <c r="AN115" i="67"/>
  <c r="AI109" i="67"/>
  <c r="AL116" i="67"/>
  <c r="AH117" i="67"/>
  <c r="AF110" i="67"/>
  <c r="AF114" i="67"/>
  <c r="AL112" i="67"/>
  <c r="AM112" i="67"/>
  <c r="AN112" i="67"/>
  <c r="AP112" i="67"/>
  <c r="AJ111" i="67"/>
  <c r="AO116" i="67"/>
  <c r="AN114" i="67"/>
  <c r="AG109" i="67"/>
  <c r="AF116" i="67"/>
  <c r="AF109" i="67"/>
  <c r="AF113" i="67"/>
  <c r="AL94" i="67"/>
  <c r="AF115" i="67"/>
  <c r="AF45" i="67"/>
  <c r="AK45" i="67"/>
  <c r="AF117" i="67"/>
  <c r="AM64" i="67"/>
  <c r="AF118" i="67"/>
  <c r="AN44" i="67"/>
  <c r="AM46" i="67"/>
  <c r="AI104" i="67"/>
  <c r="AJ41" i="67"/>
  <c r="AP66" i="67"/>
  <c r="AK107" i="67"/>
  <c r="AH66" i="67"/>
  <c r="AI101" i="67"/>
  <c r="AJ51" i="67"/>
  <c r="AO54" i="67"/>
  <c r="AM77" i="67"/>
  <c r="AI77" i="67"/>
  <c r="AO63" i="67"/>
  <c r="AJ61" i="67"/>
  <c r="AO39" i="67"/>
  <c r="AN82" i="67"/>
  <c r="AL47" i="67"/>
  <c r="AL107" i="67"/>
  <c r="AP53" i="67"/>
  <c r="AH49" i="67"/>
  <c r="AP95" i="67"/>
  <c r="AP38" i="67"/>
  <c r="AG38" i="67"/>
  <c r="AQ81" i="67"/>
  <c r="AG78" i="67"/>
  <c r="AL101" i="67"/>
  <c r="AG57" i="67"/>
  <c r="AO93" i="67"/>
  <c r="AI52" i="67"/>
  <c r="AG51" i="67"/>
  <c r="AQ55" i="67"/>
  <c r="AM89" i="67"/>
  <c r="AO84" i="67"/>
  <c r="AM48" i="67"/>
  <c r="AN92" i="67"/>
  <c r="AO101" i="67"/>
  <c r="AL44" i="67"/>
  <c r="AN46" i="67"/>
  <c r="AH60" i="67"/>
  <c r="AJ102" i="67"/>
  <c r="AG44" i="67"/>
  <c r="AI66" i="67"/>
  <c r="AP89" i="67"/>
  <c r="AO61" i="67"/>
  <c r="AK89" i="67"/>
  <c r="AM94" i="67"/>
  <c r="AM68" i="67"/>
  <c r="AM87" i="67"/>
  <c r="AH40" i="67"/>
  <c r="AL62" i="67"/>
  <c r="AH78" i="67"/>
  <c r="AH55" i="67"/>
  <c r="AQ86" i="67"/>
  <c r="AG105" i="67"/>
  <c r="AQ93" i="67"/>
  <c r="AM57" i="67"/>
  <c r="AO66" i="67"/>
  <c r="AJ78" i="67"/>
  <c r="AO88" i="67"/>
  <c r="AL67" i="67"/>
  <c r="AJ79" i="67"/>
  <c r="AI99" i="67"/>
  <c r="AG80" i="67"/>
  <c r="AG45" i="67"/>
  <c r="AM43" i="67"/>
  <c r="AN53" i="67"/>
  <c r="AH61" i="67"/>
  <c r="AG76" i="67"/>
  <c r="AH76" i="67"/>
  <c r="AP55" i="67"/>
  <c r="AO102" i="67"/>
  <c r="AJ99" i="67"/>
  <c r="AP82" i="67"/>
  <c r="AP74" i="67"/>
  <c r="AM78" i="67"/>
  <c r="AN74" i="67"/>
  <c r="AN100" i="67"/>
  <c r="AP78" i="67"/>
  <c r="AM41" i="67"/>
  <c r="AK73" i="67"/>
  <c r="AG93" i="67"/>
  <c r="AO73" i="67"/>
  <c r="AQ54" i="67"/>
  <c r="AK67" i="67"/>
  <c r="AJ82" i="67"/>
  <c r="AO43" i="67"/>
  <c r="AI63" i="67"/>
  <c r="AL65" i="67"/>
  <c r="AK88" i="67"/>
  <c r="AL57" i="67"/>
  <c r="AJ75" i="67"/>
  <c r="AM86" i="67"/>
  <c r="AH50" i="67"/>
  <c r="AL40" i="67"/>
  <c r="AI51" i="67"/>
  <c r="AJ91" i="67"/>
  <c r="AP90" i="67"/>
  <c r="AK62" i="67"/>
  <c r="AN105" i="67"/>
  <c r="AN79" i="67"/>
  <c r="AQ59" i="67"/>
  <c r="AN102" i="67"/>
  <c r="AL86" i="67"/>
  <c r="AM52" i="67"/>
  <c r="AI98" i="67"/>
  <c r="AM53" i="67"/>
  <c r="AN41" i="67"/>
  <c r="AN73" i="67"/>
  <c r="AH56" i="67"/>
  <c r="AJ52" i="67"/>
  <c r="AJ57" i="67"/>
  <c r="AJ53" i="67"/>
  <c r="AL91" i="67"/>
  <c r="AK46" i="67"/>
  <c r="AO74" i="67"/>
  <c r="AL102" i="67"/>
  <c r="AH71" i="67"/>
  <c r="AO52" i="67"/>
  <c r="AQ48" i="67"/>
  <c r="AM50" i="67"/>
  <c r="AJ72" i="67"/>
  <c r="AJ77" i="67"/>
  <c r="AI88" i="67"/>
  <c r="AG90" i="67"/>
  <c r="AQ76" i="67"/>
  <c r="AO98" i="67"/>
  <c r="AI81" i="67"/>
  <c r="AH81" i="67"/>
  <c r="AN83" i="67"/>
  <c r="AM92" i="67"/>
  <c r="AM56" i="67"/>
  <c r="AK59" i="67"/>
  <c r="AL60" i="67"/>
  <c r="AO86" i="67"/>
  <c r="AL41" i="67"/>
  <c r="AP63" i="67"/>
  <c r="AO99" i="67"/>
  <c r="AK61" i="67"/>
  <c r="AP76" i="67"/>
  <c r="AJ46" i="67"/>
  <c r="AQ52" i="67"/>
  <c r="AH75" i="67"/>
  <c r="AH47" i="67"/>
  <c r="AG96" i="67"/>
  <c r="AK90" i="67"/>
  <c r="AK41" i="67"/>
  <c r="AJ103" i="67"/>
  <c r="AQ61" i="67"/>
  <c r="AI48" i="67"/>
  <c r="AP40" i="67"/>
  <c r="AH95" i="67"/>
  <c r="AI47" i="67"/>
  <c r="AI102" i="67"/>
  <c r="AJ60" i="67"/>
  <c r="AM58" i="67"/>
  <c r="AI74" i="67"/>
  <c r="AN66" i="67"/>
  <c r="AL71" i="67"/>
  <c r="AN62" i="67"/>
  <c r="AG61" i="67"/>
  <c r="AQ58" i="67"/>
  <c r="AK52" i="67"/>
  <c r="AL96" i="67"/>
  <c r="AM103" i="67"/>
  <c r="AG86" i="67"/>
  <c r="AQ80" i="67"/>
  <c r="AF98" i="67"/>
  <c r="AF91" i="67"/>
  <c r="AG27" i="67"/>
  <c r="AJ70" i="67"/>
  <c r="AG104" i="67"/>
  <c r="AI61" i="67"/>
  <c r="AQ46" i="67"/>
  <c r="AL84" i="67"/>
  <c r="AN96" i="67"/>
  <c r="AQ65" i="67"/>
  <c r="AQ56" i="67"/>
  <c r="AG92" i="67"/>
  <c r="AQ77" i="67"/>
  <c r="AK102" i="67"/>
  <c r="AN99" i="67"/>
  <c r="AQ49" i="67"/>
  <c r="AK77" i="67"/>
  <c r="AM74" i="67"/>
  <c r="AO78" i="67"/>
  <c r="AP81" i="67"/>
  <c r="AO60" i="67"/>
  <c r="AF76" i="67"/>
  <c r="AF50" i="67"/>
  <c r="AJ32" i="67"/>
  <c r="AI57" i="67"/>
  <c r="AG91" i="67"/>
  <c r="AP87" i="67"/>
  <c r="AO65" i="67"/>
  <c r="AK93" i="67"/>
  <c r="AN68" i="67"/>
  <c r="AM51" i="67"/>
  <c r="AK39" i="67"/>
  <c r="AH69" i="67"/>
  <c r="AJ42" i="67"/>
  <c r="AO40" i="67"/>
  <c r="AQ88" i="67"/>
  <c r="AJ43" i="67"/>
  <c r="AN71" i="67"/>
  <c r="AP94" i="67"/>
  <c r="AH90" i="67"/>
  <c r="AN98" i="67"/>
  <c r="AN47" i="67"/>
  <c r="AG65" i="67"/>
  <c r="AJ98" i="67"/>
  <c r="AP56" i="67"/>
  <c r="AH104" i="67"/>
  <c r="AH39" i="67"/>
  <c r="AO77" i="67"/>
  <c r="AP80" i="67"/>
  <c r="AJ40" i="67"/>
  <c r="AI50" i="67"/>
  <c r="AI70" i="67"/>
  <c r="AH44" i="67"/>
  <c r="AH77" i="67"/>
  <c r="AO51" i="67"/>
  <c r="AP52" i="67"/>
  <c r="AK47" i="67"/>
  <c r="AO49" i="67"/>
  <c r="AH96" i="67"/>
  <c r="AK38" i="67"/>
  <c r="AO71" i="67"/>
  <c r="AO50" i="67"/>
  <c r="AJ89" i="67"/>
  <c r="AQ101" i="67"/>
  <c r="AN63" i="67"/>
  <c r="AM82" i="67"/>
  <c r="AN101" i="67"/>
  <c r="AN51" i="67"/>
  <c r="AO107" i="67"/>
  <c r="AI86" i="67"/>
  <c r="AK81" i="67"/>
  <c r="AK43" i="67"/>
  <c r="AH92" i="67"/>
  <c r="AN95" i="67"/>
  <c r="AN54" i="67"/>
  <c r="AH88" i="67"/>
  <c r="AO81" i="67"/>
  <c r="AM44" i="67"/>
  <c r="AH51" i="67"/>
  <c r="AJ74" i="67"/>
  <c r="AL39" i="67"/>
  <c r="AL93" i="67"/>
  <c r="AK104" i="67"/>
  <c r="AO100" i="67"/>
  <c r="AQ87" i="67"/>
  <c r="AN55" i="67"/>
  <c r="AQ100" i="67"/>
  <c r="AI87" i="67"/>
  <c r="AJ105" i="67"/>
  <c r="AH98" i="67"/>
  <c r="AO48" i="67"/>
  <c r="AO64" i="67"/>
  <c r="AK91" i="67"/>
  <c r="AH100" i="67"/>
  <c r="AQ63" i="67"/>
  <c r="AQ74" i="67"/>
  <c r="AG71" i="67"/>
  <c r="AO75" i="67"/>
  <c r="AJ85" i="67"/>
  <c r="AH87" i="67"/>
  <c r="AK80" i="67"/>
  <c r="AL76" i="67"/>
  <c r="AN81" i="67"/>
  <c r="AH93" i="67"/>
  <c r="AN70" i="67"/>
  <c r="AG46" i="67"/>
  <c r="AQ39" i="67"/>
  <c r="AK99" i="67"/>
  <c r="AM81" i="67"/>
  <c r="AG64" i="67"/>
  <c r="AN45" i="67"/>
  <c r="AP50" i="67"/>
  <c r="AH52" i="67"/>
  <c r="AQ69" i="67"/>
  <c r="AG84" i="67"/>
  <c r="AG58" i="67"/>
  <c r="AQ50" i="67"/>
  <c r="AM98" i="67"/>
  <c r="AG47" i="67"/>
  <c r="AL56" i="67"/>
  <c r="AK75" i="67"/>
  <c r="AJ97" i="67"/>
  <c r="AN91" i="67"/>
  <c r="AL58" i="67"/>
  <c r="AJ49" i="67"/>
  <c r="AO72" i="67"/>
  <c r="AP107" i="67"/>
  <c r="AI90" i="67"/>
  <c r="AP44" i="67"/>
  <c r="AI73" i="67"/>
  <c r="AL97" i="67"/>
  <c r="AP98" i="67"/>
  <c r="AQ57" i="67"/>
  <c r="AL63" i="67"/>
  <c r="AL59" i="67"/>
  <c r="AP96" i="67"/>
  <c r="AJ55" i="67"/>
  <c r="AK70" i="67"/>
  <c r="AI39" i="67"/>
  <c r="AG72" i="67"/>
  <c r="AK94" i="67"/>
  <c r="AO82" i="67"/>
  <c r="AH38" i="67"/>
  <c r="AM67" i="67"/>
  <c r="AJ93" i="67"/>
  <c r="AQ60" i="67"/>
  <c r="AN76" i="67"/>
  <c r="AI79" i="67"/>
  <c r="AN78" i="67"/>
  <c r="AP57" i="67"/>
  <c r="AJ104" i="67"/>
  <c r="AL55" i="67"/>
  <c r="AO91" i="67"/>
  <c r="AG97" i="67"/>
  <c r="AI46" i="67"/>
  <c r="AI67" i="67"/>
  <c r="AI107" i="67"/>
  <c r="AK100" i="67"/>
  <c r="AK49" i="67"/>
  <c r="AP68" i="67"/>
  <c r="AM107" i="67"/>
  <c r="AI43" i="67"/>
  <c r="AO41" i="67"/>
  <c r="AL89" i="67"/>
  <c r="AG100" i="67"/>
  <c r="AO83" i="67"/>
  <c r="AG63" i="67"/>
  <c r="AM88" i="67"/>
  <c r="AL104" i="67"/>
  <c r="AI76" i="67"/>
  <c r="AK63" i="67"/>
  <c r="AH102" i="67"/>
  <c r="AJ68" i="67"/>
  <c r="AM79" i="67"/>
  <c r="AG107" i="67"/>
  <c r="AP54" i="67"/>
  <c r="AK57" i="67"/>
  <c r="AJ39" i="67"/>
  <c r="AQ72" i="67"/>
  <c r="AO68" i="67"/>
  <c r="AL68" i="67"/>
  <c r="AL105" i="67"/>
  <c r="AP51" i="67"/>
  <c r="AG101" i="67"/>
  <c r="AQ102" i="67"/>
  <c r="AP59" i="67"/>
  <c r="AH73" i="67"/>
  <c r="AH85" i="67"/>
  <c r="AQ94" i="67"/>
  <c r="AH80" i="67"/>
  <c r="AM104" i="67"/>
  <c r="AP60" i="67"/>
  <c r="AQ71" i="67"/>
  <c r="AP85" i="67"/>
  <c r="AO44" i="67"/>
  <c r="AL87" i="67"/>
  <c r="AM49" i="67"/>
  <c r="AG102" i="67"/>
  <c r="AL45" i="67"/>
  <c r="AN77" i="67"/>
  <c r="AI45" i="67"/>
  <c r="AJ54" i="67"/>
  <c r="AI96" i="67"/>
  <c r="AO42" i="67"/>
  <c r="AF83" i="67"/>
  <c r="AN93" i="67"/>
  <c r="AF64" i="67"/>
  <c r="AH105" i="67"/>
  <c r="AQ91" i="67"/>
  <c r="AM85" i="67"/>
  <c r="AH94" i="67"/>
  <c r="AN103" i="67"/>
  <c r="AI83" i="67"/>
  <c r="AL100" i="67"/>
  <c r="AG49" i="67"/>
  <c r="AI80" i="67"/>
  <c r="AM55" i="67"/>
  <c r="AQ45" i="67"/>
  <c r="AG52" i="67"/>
  <c r="AK103" i="67"/>
  <c r="AJ80" i="67"/>
  <c r="AL49" i="67"/>
  <c r="AQ90" i="67"/>
  <c r="AQ43" i="67"/>
  <c r="AI62" i="67"/>
  <c r="AJ87" i="67"/>
  <c r="AG75" i="67"/>
  <c r="AL53" i="67"/>
  <c r="AL72" i="67"/>
  <c r="AM38" i="67"/>
  <c r="AL38" i="67"/>
  <c r="AN60" i="67"/>
  <c r="AJ107" i="67"/>
  <c r="AI78" i="67"/>
  <c r="AP49" i="67"/>
  <c r="AJ88" i="67"/>
  <c r="AN80" i="67"/>
  <c r="AM100" i="67"/>
  <c r="AJ101" i="67"/>
  <c r="AG50" i="67"/>
  <c r="AP72" i="67"/>
  <c r="AH58" i="67"/>
  <c r="AN104" i="67"/>
  <c r="AP39" i="67"/>
  <c r="AK85" i="67"/>
  <c r="AJ94" i="67"/>
  <c r="AJ48" i="67"/>
  <c r="AO104" i="67"/>
  <c r="AG94" i="67"/>
  <c r="AP69" i="67"/>
  <c r="AJ92" i="67"/>
  <c r="AK105" i="67"/>
  <c r="AQ107" i="67"/>
  <c r="AI58" i="67"/>
  <c r="AG59" i="67"/>
  <c r="AG103" i="67"/>
  <c r="AQ44" i="67"/>
  <c r="AQ53" i="67"/>
  <c r="AK95" i="67"/>
  <c r="AI97" i="67"/>
  <c r="AH91" i="67"/>
  <c r="AI82" i="67"/>
  <c r="AF70" i="67"/>
  <c r="AO79" i="67"/>
  <c r="AP103" i="67"/>
  <c r="AI55" i="67"/>
  <c r="AJ73" i="67"/>
  <c r="AF39" i="67"/>
  <c r="AI75" i="67"/>
  <c r="AM47" i="67"/>
  <c r="AH45" i="67"/>
  <c r="AM61" i="67"/>
  <c r="AH62" i="67"/>
  <c r="AL82" i="67"/>
  <c r="AO67" i="67"/>
  <c r="AN69" i="67"/>
  <c r="AJ65" i="67"/>
  <c r="AM75" i="67"/>
  <c r="AL92" i="67"/>
  <c r="AL79" i="67"/>
  <c r="AP73" i="67"/>
  <c r="AG53" i="67"/>
  <c r="AH46" i="67"/>
  <c r="AP83" i="67"/>
  <c r="AL74" i="67"/>
  <c r="AO87" i="67"/>
  <c r="AP64" i="67"/>
  <c r="AM72" i="67"/>
  <c r="AK51" i="67"/>
  <c r="AL64" i="67"/>
  <c r="AJ59" i="67"/>
  <c r="AM105" i="67"/>
  <c r="AH83" i="67"/>
  <c r="AI94" i="67"/>
  <c r="AQ95" i="67"/>
  <c r="AK74" i="67"/>
  <c r="AP65" i="67"/>
  <c r="AG82" i="67"/>
  <c r="AJ95" i="67"/>
  <c r="AL42" i="67"/>
  <c r="AG66" i="67"/>
  <c r="AF43" i="67"/>
  <c r="AF62" i="67"/>
  <c r="AQ99" i="67"/>
  <c r="AK83" i="67"/>
  <c r="AQ83" i="67"/>
  <c r="AJ81" i="67"/>
  <c r="AM80" i="67"/>
  <c r="AQ85" i="67"/>
  <c r="AG48" i="67"/>
  <c r="AG89" i="67"/>
  <c r="AK48" i="67"/>
  <c r="AL75" i="67"/>
  <c r="AH54" i="67"/>
  <c r="AL98" i="67"/>
  <c r="AO58" i="67"/>
  <c r="AJ71" i="67"/>
  <c r="AQ62" i="67"/>
  <c r="AH74" i="67"/>
  <c r="AP86" i="67"/>
  <c r="AI103" i="67"/>
  <c r="AM65" i="67"/>
  <c r="AJ67" i="67"/>
  <c r="AK84" i="67"/>
  <c r="AH43" i="67"/>
  <c r="AJ96" i="67"/>
  <c r="AK68" i="67"/>
  <c r="AM59" i="67"/>
  <c r="AK54" i="67"/>
  <c r="AQ104" i="67"/>
  <c r="AJ84" i="67"/>
  <c r="AQ42" i="67"/>
  <c r="AQ47" i="67"/>
  <c r="AM60" i="67"/>
  <c r="AL54" i="67"/>
  <c r="AG40" i="67"/>
  <c r="AP75" i="67"/>
  <c r="AF51" i="67"/>
  <c r="AF67" i="67"/>
  <c r="AN65" i="67"/>
  <c r="AO97" i="67"/>
  <c r="AK71" i="67"/>
  <c r="AP101" i="67"/>
  <c r="AM63" i="67"/>
  <c r="AG70" i="67"/>
  <c r="AG95" i="67"/>
  <c r="AJ38" i="67"/>
  <c r="AL95" i="67"/>
  <c r="AQ41" i="67"/>
  <c r="AJ50" i="67"/>
  <c r="AG68" i="67"/>
  <c r="AK42" i="67"/>
  <c r="AH89" i="67"/>
  <c r="AI56" i="67"/>
  <c r="AP43" i="67"/>
  <c r="AL51" i="67"/>
  <c r="AM93" i="67"/>
  <c r="AM96" i="67"/>
  <c r="AK44" i="67"/>
  <c r="AP48" i="67"/>
  <c r="AN88" i="67"/>
  <c r="AG73" i="67"/>
  <c r="AI44" i="67"/>
  <c r="AO45" i="67"/>
  <c r="AH67" i="67"/>
  <c r="AK50" i="67"/>
  <c r="AQ98" i="67"/>
  <c r="AQ84" i="67"/>
  <c r="AN57" i="67"/>
  <c r="AN85" i="67"/>
  <c r="AK72" i="67"/>
  <c r="AP99" i="67"/>
  <c r="AH53" i="67"/>
  <c r="AP61" i="67"/>
  <c r="AF99" i="67"/>
  <c r="AO94" i="67"/>
  <c r="AF90" i="67"/>
  <c r="AO105" i="67"/>
  <c r="AJ44" i="67"/>
  <c r="AG55" i="67"/>
  <c r="AM62" i="67"/>
  <c r="AQ38" i="67"/>
  <c r="AP67" i="67"/>
  <c r="AI65" i="67"/>
  <c r="AL52" i="67"/>
  <c r="AO47" i="67"/>
  <c r="AK58" i="67"/>
  <c r="AL66" i="67"/>
  <c r="AN86" i="67"/>
  <c r="AI40" i="67"/>
  <c r="AN43" i="67"/>
  <c r="AP100" i="67"/>
  <c r="AN39" i="67"/>
  <c r="AK101" i="67"/>
  <c r="AQ64" i="67"/>
  <c r="AO103" i="67"/>
  <c r="AJ90" i="67"/>
  <c r="AL85" i="67"/>
  <c r="AK55" i="67"/>
  <c r="AH97" i="67"/>
  <c r="AH70" i="67"/>
  <c r="AN87" i="67"/>
  <c r="AN64" i="67"/>
  <c r="AP92" i="67"/>
  <c r="AG54" i="67"/>
  <c r="AH59" i="67"/>
  <c r="AL83" i="67"/>
  <c r="AL69" i="67"/>
  <c r="AM54" i="67"/>
  <c r="AN107" i="67"/>
  <c r="AH79" i="67"/>
  <c r="AN84" i="67"/>
  <c r="AG79" i="67"/>
  <c r="AJ83" i="67"/>
  <c r="AK97" i="67"/>
  <c r="AQ92" i="67"/>
  <c r="AM101" i="67"/>
  <c r="AK87" i="67"/>
  <c r="AO69" i="67"/>
  <c r="AK78" i="67"/>
  <c r="AQ66" i="67"/>
  <c r="AI89" i="67"/>
  <c r="AL43" i="67"/>
  <c r="AG60" i="67"/>
  <c r="AO95" i="67"/>
  <c r="AO56" i="67"/>
  <c r="AG74" i="67"/>
  <c r="AO85" i="67"/>
  <c r="AI41" i="67"/>
  <c r="AH84" i="67"/>
  <c r="AI91" i="67"/>
  <c r="AP93" i="67"/>
  <c r="AL81" i="67"/>
  <c r="AQ40" i="67"/>
  <c r="AP41" i="67"/>
  <c r="AP71" i="67"/>
  <c r="AL80" i="67"/>
  <c r="AH103" i="67"/>
  <c r="AJ58" i="67"/>
  <c r="AI54" i="67"/>
  <c r="AM42" i="67"/>
  <c r="AH41" i="67"/>
  <c r="AP88" i="67"/>
  <c r="AK56" i="67"/>
  <c r="AQ97" i="67"/>
  <c r="AG77" i="67"/>
  <c r="AO62" i="67"/>
  <c r="AG87" i="67"/>
  <c r="AG98" i="67"/>
  <c r="AP62" i="67"/>
  <c r="AQ68" i="67"/>
  <c r="AN58" i="67"/>
  <c r="AQ82" i="67"/>
  <c r="AQ75" i="67"/>
  <c r="AJ45" i="67"/>
  <c r="AP47" i="67"/>
  <c r="AM99" i="67"/>
  <c r="AK86" i="67"/>
  <c r="AG62" i="67"/>
  <c r="AO38" i="67"/>
  <c r="AQ89" i="67"/>
  <c r="AI53" i="67"/>
  <c r="AN52" i="67"/>
  <c r="AL88" i="67"/>
  <c r="AI92" i="67"/>
  <c r="AI84" i="67"/>
  <c r="AP58" i="67"/>
  <c r="AO80" i="67"/>
  <c r="AH107" i="67"/>
  <c r="AF80" i="67"/>
  <c r="AF48" i="67"/>
  <c r="AN75" i="67"/>
  <c r="AP91" i="67"/>
  <c r="AI68" i="67"/>
  <c r="AF60" i="67"/>
  <c r="AI95" i="67"/>
  <c r="AI105" i="67"/>
  <c r="AP46" i="67"/>
  <c r="AH82" i="67"/>
  <c r="AF86" i="67"/>
  <c r="AI72" i="67"/>
  <c r="AK65" i="67"/>
  <c r="AN59" i="67"/>
  <c r="AI100" i="67"/>
  <c r="AG42" i="67"/>
  <c r="AM69" i="67"/>
  <c r="AH72" i="67"/>
  <c r="AK96" i="67"/>
  <c r="AI38" i="67"/>
  <c r="AK79" i="67"/>
  <c r="AP102" i="67"/>
  <c r="AG83" i="67"/>
  <c r="AH86" i="67"/>
  <c r="AO76" i="67"/>
  <c r="AQ105" i="67"/>
  <c r="AG43" i="67"/>
  <c r="AL46" i="67"/>
  <c r="AJ47" i="67"/>
  <c r="AJ69" i="67"/>
  <c r="AO70" i="67"/>
  <c r="AG85" i="67"/>
  <c r="AL99" i="67"/>
  <c r="AM40" i="67"/>
  <c r="AH42" i="67"/>
  <c r="AL50" i="67"/>
  <c r="AK76" i="67"/>
  <c r="AJ76" i="67"/>
  <c r="AI71" i="67"/>
  <c r="AI27" i="67"/>
  <c r="AI69" i="67"/>
  <c r="AH63" i="67"/>
  <c r="AG81" i="67"/>
  <c r="AF101" i="67"/>
  <c r="AP104" i="67"/>
  <c r="AF103" i="67"/>
  <c r="AH48" i="67"/>
  <c r="AK69" i="67"/>
  <c r="AJ66" i="67"/>
  <c r="AJ63" i="67"/>
  <c r="AH101" i="67"/>
  <c r="AF41" i="67"/>
  <c r="AJ100" i="67"/>
  <c r="AL61" i="67"/>
  <c r="AK82" i="67"/>
  <c r="AQ96" i="67"/>
  <c r="AF95" i="67"/>
  <c r="AP84" i="67"/>
  <c r="AN89" i="67"/>
  <c r="AG56" i="67"/>
  <c r="AQ67" i="67"/>
  <c r="AO57" i="67"/>
  <c r="AP79" i="67"/>
  <c r="AP42" i="67"/>
  <c r="AN38" i="67"/>
  <c r="AI60" i="67"/>
  <c r="AK60" i="67"/>
  <c r="AQ78" i="67"/>
  <c r="AH99" i="67"/>
  <c r="AJ86" i="67"/>
  <c r="AL48" i="67"/>
  <c r="AI85" i="67"/>
  <c r="AP45" i="67"/>
  <c r="AM90" i="67"/>
  <c r="AO46" i="67"/>
  <c r="AO90" i="67"/>
  <c r="AH68" i="67"/>
  <c r="AN97" i="67"/>
  <c r="AK66" i="67"/>
  <c r="AN40" i="67"/>
  <c r="AM73" i="67"/>
  <c r="AN72" i="67"/>
  <c r="AL73" i="67"/>
  <c r="AJ62" i="67"/>
  <c r="AG32" i="67"/>
  <c r="AG39" i="67"/>
  <c r="AN56" i="67"/>
  <c r="AM95" i="67"/>
  <c r="AP70" i="67"/>
  <c r="AN94" i="67"/>
  <c r="AH64" i="67"/>
  <c r="AK40" i="67"/>
  <c r="AI64" i="67"/>
  <c r="AK53" i="67"/>
  <c r="AG69" i="67"/>
  <c r="AN67" i="67"/>
  <c r="AK98" i="67"/>
  <c r="AF36" i="67"/>
  <c r="AF105" i="67"/>
  <c r="AI49" i="67"/>
  <c r="AJ64" i="67"/>
  <c r="AP105" i="67"/>
  <c r="AL70" i="67"/>
  <c r="AN61" i="67"/>
  <c r="AQ70" i="67"/>
  <c r="AP97" i="67"/>
  <c r="AO96" i="67"/>
  <c r="AQ79" i="67"/>
  <c r="AJ56" i="67"/>
  <c r="AF27" i="67"/>
  <c r="AF68" i="67"/>
  <c r="AM39" i="67"/>
  <c r="AM45" i="67"/>
  <c r="AG99" i="67"/>
  <c r="AL90" i="67"/>
  <c r="AM71" i="67"/>
  <c r="AL78" i="67"/>
  <c r="AL77" i="67"/>
  <c r="AO59" i="67"/>
  <c r="AI42" i="67"/>
  <c r="AM91" i="67"/>
  <c r="AG67" i="67"/>
  <c r="AQ73" i="67"/>
  <c r="AH65" i="67"/>
  <c r="AN50" i="67"/>
  <c r="AM70" i="67"/>
  <c r="AM84" i="67"/>
  <c r="AN42" i="67"/>
  <c r="AQ51" i="67"/>
  <c r="AM83" i="67"/>
  <c r="AK64" i="67"/>
  <c r="AM66" i="67"/>
  <c r="AG88" i="67"/>
  <c r="AM102" i="67"/>
  <c r="AI93" i="67"/>
  <c r="AO89" i="67"/>
  <c r="AI59" i="67"/>
  <c r="AN49" i="67"/>
  <c r="AL103" i="67"/>
  <c r="AN90" i="67"/>
  <c r="AM76" i="67"/>
  <c r="AN48" i="67"/>
  <c r="AO53" i="67"/>
  <c r="AM97" i="67"/>
  <c r="AO92" i="67"/>
  <c r="AO55" i="67"/>
  <c r="AF65" i="67"/>
  <c r="AF72" i="67"/>
  <c r="AN32" i="67"/>
  <c r="AF100" i="67"/>
  <c r="AF42" i="67"/>
  <c r="AF88" i="67"/>
  <c r="AF47" i="67"/>
  <c r="AN35" i="67"/>
  <c r="AF87" i="67"/>
  <c r="AF49" i="67"/>
  <c r="AF102" i="67"/>
  <c r="AF71" i="67"/>
  <c r="AQ27" i="67"/>
  <c r="AN25" i="67"/>
  <c r="AF89" i="67"/>
  <c r="AF25" i="67"/>
  <c r="AF93" i="67"/>
  <c r="AF82" i="67"/>
  <c r="AF53" i="67"/>
  <c r="AO26" i="67"/>
  <c r="AF77" i="67"/>
  <c r="AF40" i="67"/>
  <c r="AI28" i="67"/>
  <c r="AF52" i="67"/>
  <c r="AF78" i="67"/>
  <c r="AO36" i="67"/>
  <c r="AP24" i="67"/>
  <c r="AF59" i="67"/>
  <c r="AF69" i="67"/>
  <c r="AF66" i="67"/>
  <c r="AF44" i="67"/>
  <c r="AF55" i="67"/>
  <c r="AF63" i="67"/>
  <c r="AF38" i="67"/>
  <c r="AM35" i="67"/>
  <c r="AQ25" i="67"/>
  <c r="AF94" i="67"/>
  <c r="AF46" i="67"/>
  <c r="AF58" i="67"/>
  <c r="AF75" i="67"/>
  <c r="AF84" i="67"/>
  <c r="AF54" i="67"/>
  <c r="AF56" i="67"/>
  <c r="AF85" i="67"/>
  <c r="AF92" i="67"/>
  <c r="AJ35" i="67"/>
  <c r="AF81" i="67"/>
  <c r="AF57" i="67"/>
  <c r="AF73" i="67"/>
  <c r="AF61" i="67"/>
  <c r="AH30" i="67"/>
  <c r="AP29" i="67"/>
  <c r="AF104" i="67"/>
  <c r="AF97" i="67"/>
  <c r="AF79" i="67"/>
  <c r="AF96" i="67"/>
  <c r="AF107" i="67"/>
  <c r="AQ36" i="67"/>
  <c r="AK29" i="67"/>
  <c r="AG26" i="67"/>
  <c r="AQ35" i="67"/>
  <c r="AJ30" i="67"/>
  <c r="AG29" i="67"/>
  <c r="AO33" i="67"/>
  <c r="AK31" i="67"/>
  <c r="AN27" i="67"/>
  <c r="AN36" i="67"/>
  <c r="AO30" i="67"/>
  <c r="AK28" i="67"/>
  <c r="AM28" i="67"/>
  <c r="AJ29" i="67"/>
  <c r="AO35" i="67"/>
  <c r="AH29" i="67"/>
  <c r="AP30" i="67"/>
  <c r="AG35" i="67"/>
  <c r="AO31" i="67"/>
  <c r="AL31" i="67"/>
  <c r="AJ34" i="67"/>
  <c r="AP35" i="67"/>
  <c r="AH32" i="67"/>
  <c r="AM30" i="67"/>
  <c r="AM25" i="67"/>
  <c r="AQ28" i="67"/>
  <c r="AO24" i="67"/>
  <c r="AH33" i="67"/>
  <c r="AK33" i="67"/>
  <c r="AO27" i="67"/>
  <c r="AI25" i="67"/>
  <c r="AL36" i="67"/>
  <c r="AN34" i="67"/>
  <c r="AI36" i="67"/>
  <c r="AP33" i="67"/>
  <c r="AK24" i="67"/>
  <c r="AM36" i="67"/>
  <c r="AG33" i="67"/>
  <c r="AQ30" i="67"/>
  <c r="AI31" i="67"/>
  <c r="AN29" i="67"/>
  <c r="AN24" i="67"/>
  <c r="AO28" i="67"/>
  <c r="AL33" i="67"/>
  <c r="AL26" i="67"/>
  <c r="AN30" i="67"/>
  <c r="AI35" i="67"/>
  <c r="AQ33" i="67"/>
  <c r="AP34" i="67"/>
  <c r="AL25" i="67"/>
  <c r="AI29" i="67"/>
  <c r="AH28" i="67"/>
  <c r="AQ32" i="67"/>
  <c r="AM32" i="67"/>
  <c r="AO32" i="67"/>
  <c r="AJ31" i="67"/>
  <c r="AH34" i="67"/>
  <c r="AK26" i="67"/>
  <c r="AH35" i="67"/>
  <c r="AJ25" i="67"/>
  <c r="AQ29" i="67"/>
  <c r="AK25" i="67"/>
  <c r="AL27" i="67"/>
  <c r="AJ33" i="67"/>
  <c r="AN31" i="67"/>
  <c r="AL35" i="67"/>
  <c r="AK30" i="67"/>
  <c r="AL32" i="67"/>
  <c r="AI32" i="67"/>
  <c r="AJ36" i="67"/>
  <c r="AM31" i="67"/>
  <c r="AJ27" i="67"/>
  <c r="AI24" i="67"/>
  <c r="AK34" i="67"/>
  <c r="AQ24" i="67"/>
  <c r="AI30" i="67"/>
  <c r="AL24" i="67"/>
  <c r="AM26" i="67"/>
  <c r="AH26" i="67"/>
  <c r="AG31" i="67"/>
  <c r="AN26" i="67"/>
  <c r="AG30" i="67"/>
  <c r="AO34" i="67"/>
  <c r="AM33" i="67"/>
  <c r="AJ26" i="67"/>
  <c r="AK27" i="67"/>
  <c r="AL29" i="67"/>
  <c r="AP27" i="67"/>
  <c r="AK32" i="67"/>
  <c r="AG34" i="67"/>
  <c r="AH24" i="67"/>
  <c r="AM34" i="67"/>
  <c r="AH27" i="67"/>
  <c r="AP28" i="67"/>
  <c r="AP31" i="67"/>
  <c r="AN33" i="67"/>
  <c r="AQ31" i="67"/>
  <c r="AG36" i="67"/>
  <c r="AH36" i="67"/>
  <c r="AG25" i="67"/>
  <c r="AP25" i="67"/>
  <c r="AI26" i="67"/>
  <c r="AM27" i="67"/>
  <c r="AI34" i="67"/>
  <c r="AJ28" i="67"/>
  <c r="AK36" i="67"/>
  <c r="AI33" i="67"/>
  <c r="AH31" i="67"/>
  <c r="AN28" i="67"/>
  <c r="AK35" i="67"/>
  <c r="AH25" i="67"/>
  <c r="AO25" i="67"/>
  <c r="AL28" i="67"/>
  <c r="AP36" i="67"/>
  <c r="AP32" i="67"/>
  <c r="AG28" i="67"/>
  <c r="AL30" i="67"/>
  <c r="AQ26" i="67"/>
  <c r="AQ34" i="67"/>
  <c r="AO29" i="67"/>
  <c r="AL34" i="67"/>
  <c r="AM29" i="67"/>
  <c r="AM24" i="67"/>
  <c r="AG24" i="67"/>
  <c r="AF31" i="67"/>
  <c r="AF35" i="67"/>
  <c r="AF28" i="67"/>
  <c r="AF29" i="67"/>
  <c r="AF33" i="67"/>
  <c r="AF30" i="67"/>
  <c r="AN10" i="67"/>
  <c r="AF24" i="67"/>
  <c r="AF32" i="67"/>
  <c r="AF26" i="67"/>
  <c r="AF34" i="67"/>
  <c r="AP15" i="67"/>
  <c r="AF10" i="67"/>
  <c r="AQ22" i="67"/>
  <c r="AQ21" i="67" s="1"/>
  <c r="AL22" i="67"/>
  <c r="AL21" i="67" s="1"/>
  <c r="AH22" i="67"/>
  <c r="AH21" i="67" s="1"/>
  <c r="AP22" i="67"/>
  <c r="AP21" i="67" s="1"/>
  <c r="AO22" i="67"/>
  <c r="AO21" i="67" s="1"/>
  <c r="AK22" i="67"/>
  <c r="AK21" i="67" s="1"/>
  <c r="AI22" i="67"/>
  <c r="AI21" i="67" s="1"/>
  <c r="AL17" i="67"/>
  <c r="AN22" i="67"/>
  <c r="AN21" i="67" s="1"/>
  <c r="AJ22" i="67"/>
  <c r="AJ21" i="67" s="1"/>
  <c r="AM22" i="67"/>
  <c r="AM21" i="67" s="1"/>
  <c r="AG22" i="67"/>
  <c r="AG21" i="67" s="1"/>
  <c r="AQ18" i="67"/>
  <c r="AN14" i="67"/>
  <c r="AQ20" i="67"/>
  <c r="AF22" i="67"/>
  <c r="AK13" i="67"/>
  <c r="AO16" i="67"/>
  <c r="AP18" i="67"/>
  <c r="AK15" i="67"/>
  <c r="AG18" i="67"/>
  <c r="AJ20" i="67"/>
  <c r="AQ15" i="67"/>
  <c r="AQ13" i="67"/>
  <c r="AM17" i="67"/>
  <c r="AN18" i="67"/>
  <c r="AM20" i="67"/>
  <c r="AQ16" i="67"/>
  <c r="AP16" i="67"/>
  <c r="AN20" i="67"/>
  <c r="AQ14" i="67"/>
  <c r="AM11" i="67"/>
  <c r="AH14" i="67"/>
  <c r="AO19" i="67"/>
  <c r="AG15" i="67"/>
  <c r="AG17" i="67"/>
  <c r="AJ19" i="67"/>
  <c r="AN12" i="67"/>
  <c r="AM13" i="67"/>
  <c r="AJ16" i="67"/>
  <c r="AL14" i="67"/>
  <c r="AJ13" i="67"/>
  <c r="AJ18" i="67"/>
  <c r="AH20" i="67"/>
  <c r="AG19" i="67"/>
  <c r="AM16" i="67"/>
  <c r="AM15" i="67"/>
  <c r="AL20" i="67"/>
  <c r="AN13" i="67"/>
  <c r="AN17" i="67"/>
  <c r="AI16" i="67"/>
  <c r="AP19" i="67"/>
  <c r="AI18" i="67"/>
  <c r="AQ11" i="67"/>
  <c r="AL18" i="67"/>
  <c r="AP20" i="67"/>
  <c r="AL16" i="67"/>
  <c r="AI12" i="67"/>
  <c r="AL11" i="67"/>
  <c r="AG20" i="67"/>
  <c r="AJ12" i="67"/>
  <c r="AL12" i="67"/>
  <c r="AO15" i="67"/>
  <c r="AM14" i="67"/>
  <c r="AI19" i="67"/>
  <c r="AG16" i="67"/>
  <c r="AM19" i="67"/>
  <c r="AL13" i="67"/>
  <c r="AO20" i="67"/>
  <c r="AQ17" i="67"/>
  <c r="AK17" i="67"/>
  <c r="AP17" i="67"/>
  <c r="AH11" i="67"/>
  <c r="AI11" i="67"/>
  <c r="AJ11" i="67"/>
  <c r="AK12" i="67"/>
  <c r="AO17" i="67"/>
  <c r="AO14" i="67"/>
  <c r="AQ12" i="67"/>
  <c r="AO18" i="67"/>
  <c r="AO13" i="67"/>
  <c r="AG14" i="67"/>
  <c r="AH19" i="67"/>
  <c r="AM12" i="67"/>
  <c r="AH17" i="67"/>
  <c r="AF14" i="67"/>
  <c r="AL19" i="67"/>
  <c r="AI20" i="67"/>
  <c r="AH18" i="67"/>
  <c r="AN15" i="67"/>
  <c r="AH16" i="67"/>
  <c r="AP11" i="67"/>
  <c r="AK14" i="67"/>
  <c r="AJ15" i="67"/>
  <c r="AP14" i="67"/>
  <c r="AM18" i="67"/>
  <c r="AN11" i="67"/>
  <c r="AG13" i="67"/>
  <c r="AH13" i="67"/>
  <c r="AK18" i="67"/>
  <c r="AJ14" i="67"/>
  <c r="AK16" i="67"/>
  <c r="AK19" i="67"/>
  <c r="AI13" i="67"/>
  <c r="AP13" i="67"/>
  <c r="AH15" i="67"/>
  <c r="AN19" i="67"/>
  <c r="AI14" i="67"/>
  <c r="AO12" i="67"/>
  <c r="AP12" i="67"/>
  <c r="AI17" i="67"/>
  <c r="AK11" i="67"/>
  <c r="AN16" i="67"/>
  <c r="AH12" i="67"/>
  <c r="AQ19" i="67"/>
  <c r="AK20" i="67"/>
  <c r="AO11" i="67"/>
  <c r="AG12" i="67"/>
  <c r="AL15" i="67"/>
  <c r="AJ17" i="67"/>
  <c r="AI15" i="67"/>
  <c r="AG11" i="67"/>
  <c r="AF19" i="67"/>
  <c r="AF16" i="67"/>
  <c r="AF12" i="67"/>
  <c r="AF11" i="67"/>
  <c r="AF18" i="67"/>
  <c r="S117" i="67"/>
  <c r="AF13" i="67"/>
  <c r="AF17" i="67"/>
  <c r="AF15" i="67"/>
  <c r="AF20" i="67"/>
  <c r="AH10" i="67"/>
  <c r="AL10" i="67"/>
  <c r="AO10" i="67"/>
  <c r="AJ10" i="67"/>
  <c r="AM10" i="67"/>
  <c r="AI10" i="67"/>
  <c r="R118" i="67"/>
  <c r="AK10" i="67"/>
  <c r="AP10" i="67"/>
  <c r="V113" i="67"/>
  <c r="AG10" i="67"/>
  <c r="R115" i="67"/>
  <c r="Y109" i="67"/>
  <c r="U110" i="67"/>
  <c r="T110" i="67"/>
  <c r="AC118" i="67"/>
  <c r="W111" i="67"/>
  <c r="W117" i="67"/>
  <c r="T116" i="67"/>
  <c r="AB116" i="67"/>
  <c r="AA118" i="67"/>
  <c r="U109" i="67"/>
  <c r="Z109" i="67"/>
  <c r="AC117" i="67"/>
  <c r="W110" i="67"/>
  <c r="Y110" i="67"/>
  <c r="X112" i="67"/>
  <c r="Y111" i="67"/>
  <c r="U118" i="67"/>
  <c r="AC111" i="67"/>
  <c r="V110" i="67"/>
  <c r="X114" i="67"/>
  <c r="AA115" i="67"/>
  <c r="Y112" i="67"/>
  <c r="R114" i="67"/>
  <c r="AA117" i="67"/>
  <c r="AA109" i="67"/>
  <c r="X116" i="67"/>
  <c r="X110" i="67"/>
  <c r="AC113" i="67"/>
  <c r="Z118" i="67"/>
  <c r="AB111" i="67"/>
  <c r="Z111" i="67"/>
  <c r="W118" i="67"/>
  <c r="Y116" i="67"/>
  <c r="Y114" i="67"/>
  <c r="AA114" i="67"/>
  <c r="U115" i="67"/>
  <c r="AC110" i="67"/>
  <c r="AA111" i="67"/>
  <c r="AB112" i="67"/>
  <c r="V115" i="67"/>
  <c r="Z115" i="67"/>
  <c r="Z112" i="67"/>
  <c r="Y118" i="67"/>
  <c r="AB109" i="67"/>
  <c r="X113" i="67"/>
  <c r="AB113" i="67"/>
  <c r="AA112" i="67"/>
  <c r="V118" i="67"/>
  <c r="U112" i="67"/>
  <c r="Y115" i="67"/>
  <c r="T114" i="67"/>
  <c r="AB117" i="67"/>
  <c r="T115" i="67"/>
  <c r="S115" i="67"/>
  <c r="X111" i="67"/>
  <c r="AC115" i="67"/>
  <c r="T113" i="67"/>
  <c r="R96" i="67"/>
  <c r="W114" i="67"/>
  <c r="U114" i="67"/>
  <c r="V111" i="67"/>
  <c r="W109" i="67"/>
  <c r="V116" i="67"/>
  <c r="V112" i="67"/>
  <c r="W112" i="67"/>
  <c r="AC116" i="67"/>
  <c r="AB115" i="67"/>
  <c r="S118" i="67"/>
  <c r="S57" i="67"/>
  <c r="U116" i="67"/>
  <c r="V114" i="67"/>
  <c r="Z110" i="67"/>
  <c r="W115" i="67"/>
  <c r="S110" i="67"/>
  <c r="W116" i="67"/>
  <c r="Y113" i="67"/>
  <c r="T117" i="67"/>
  <c r="T118" i="67"/>
  <c r="AC112" i="67"/>
  <c r="S114" i="67"/>
  <c r="AB68" i="67"/>
  <c r="S116" i="67"/>
  <c r="S111" i="67"/>
  <c r="X115" i="67"/>
  <c r="Z114" i="67"/>
  <c r="V117" i="67"/>
  <c r="Y117" i="67"/>
  <c r="T112" i="67"/>
  <c r="X118" i="67"/>
  <c r="AA110" i="67"/>
  <c r="Z116" i="67"/>
  <c r="U111" i="67"/>
  <c r="U113" i="67"/>
  <c r="AB114" i="67"/>
  <c r="X117" i="67"/>
  <c r="W113" i="67"/>
  <c r="S51" i="67"/>
  <c r="R112" i="67"/>
  <c r="X109" i="67"/>
  <c r="S112" i="67"/>
  <c r="AA113" i="67"/>
  <c r="AC109" i="67"/>
  <c r="Z117" i="67"/>
  <c r="U117" i="67"/>
  <c r="Z113" i="67"/>
  <c r="AC114" i="67"/>
  <c r="S113" i="67"/>
  <c r="T111" i="67"/>
  <c r="AB110" i="67"/>
  <c r="AA116" i="67"/>
  <c r="AB118" i="67"/>
  <c r="V109" i="67"/>
  <c r="T109" i="67"/>
  <c r="S109" i="67"/>
  <c r="R113" i="67"/>
  <c r="R117" i="67"/>
  <c r="R116" i="67"/>
  <c r="W55" i="67"/>
  <c r="X60" i="67"/>
  <c r="AB82" i="67"/>
  <c r="V53" i="67"/>
  <c r="AB65" i="67"/>
  <c r="R111" i="67"/>
  <c r="Z66" i="67"/>
  <c r="R110" i="67"/>
  <c r="W57" i="67"/>
  <c r="AB75" i="67"/>
  <c r="AB104" i="67"/>
  <c r="Z55" i="67"/>
  <c r="V83" i="67"/>
  <c r="Y102" i="67"/>
  <c r="Z48" i="67"/>
  <c r="U66" i="67"/>
  <c r="V57" i="67"/>
  <c r="V104" i="67"/>
  <c r="V56" i="67"/>
  <c r="U90" i="67"/>
  <c r="Z75" i="67"/>
  <c r="W85" i="67"/>
  <c r="AA97" i="67"/>
  <c r="AC98" i="67"/>
  <c r="X39" i="67"/>
  <c r="Y92" i="67"/>
  <c r="S48" i="67"/>
  <c r="X66" i="67"/>
  <c r="T73" i="67"/>
  <c r="AA89" i="67"/>
  <c r="Z47" i="67"/>
  <c r="Y42" i="67"/>
  <c r="U92" i="67"/>
  <c r="T104" i="67"/>
  <c r="Y75" i="67"/>
  <c r="AA107" i="67"/>
  <c r="AC75" i="67"/>
  <c r="AB52" i="67"/>
  <c r="Y78" i="67"/>
  <c r="S83" i="67"/>
  <c r="S65" i="67"/>
  <c r="AB101" i="67"/>
  <c r="S92" i="67"/>
  <c r="T107" i="67"/>
  <c r="X41" i="67"/>
  <c r="X64" i="67"/>
  <c r="W46" i="67"/>
  <c r="T78" i="67"/>
  <c r="AA105" i="67"/>
  <c r="X74" i="67"/>
  <c r="X81" i="67"/>
  <c r="S95" i="67"/>
  <c r="T58" i="67"/>
  <c r="U104" i="67"/>
  <c r="Z57" i="67"/>
  <c r="AC48" i="67"/>
  <c r="X73" i="67"/>
  <c r="AC85" i="67"/>
  <c r="X54" i="67"/>
  <c r="W49" i="67"/>
  <c r="T39" i="67"/>
  <c r="V60" i="67"/>
  <c r="S81" i="67"/>
  <c r="T91" i="67"/>
  <c r="V92" i="67"/>
  <c r="U77" i="67"/>
  <c r="Y38" i="67"/>
  <c r="U84" i="67"/>
  <c r="W81" i="67"/>
  <c r="T100" i="67"/>
  <c r="U83" i="67"/>
  <c r="T93" i="67"/>
  <c r="T76" i="67"/>
  <c r="X42" i="67"/>
  <c r="AA57" i="67"/>
  <c r="T92" i="67"/>
  <c r="Z69" i="67"/>
  <c r="X94" i="67"/>
  <c r="Y104" i="67"/>
  <c r="W66" i="67"/>
  <c r="AC67" i="67"/>
  <c r="Z46" i="67"/>
  <c r="Z107" i="67"/>
  <c r="U81" i="67"/>
  <c r="S84" i="67"/>
  <c r="V82" i="67"/>
  <c r="AC73" i="67"/>
  <c r="S59" i="67"/>
  <c r="AB76" i="67"/>
  <c r="AA80" i="67"/>
  <c r="Z43" i="67"/>
  <c r="T88" i="67"/>
  <c r="V74" i="67"/>
  <c r="X78" i="67"/>
  <c r="T69" i="67"/>
  <c r="AC69" i="67"/>
  <c r="AB97" i="67"/>
  <c r="AC100" i="67"/>
  <c r="R105" i="67"/>
  <c r="X72" i="67"/>
  <c r="U47" i="67"/>
  <c r="Z83" i="67"/>
  <c r="AC94" i="67"/>
  <c r="AA74" i="67"/>
  <c r="S58" i="67"/>
  <c r="W75" i="67"/>
  <c r="U57" i="67"/>
  <c r="X56" i="67"/>
  <c r="Z60" i="67"/>
  <c r="T41" i="67"/>
  <c r="T52" i="67"/>
  <c r="Z98" i="67"/>
  <c r="T54" i="67"/>
  <c r="T105" i="67"/>
  <c r="Z54" i="67"/>
  <c r="AC76" i="67"/>
  <c r="R90" i="67"/>
  <c r="Y76" i="67"/>
  <c r="AB100" i="67"/>
  <c r="V70" i="67"/>
  <c r="S89" i="67"/>
  <c r="V79" i="67"/>
  <c r="S40" i="67"/>
  <c r="Z41" i="67"/>
  <c r="X107" i="67"/>
  <c r="W86" i="67"/>
  <c r="R89" i="67"/>
  <c r="V78" i="67"/>
  <c r="S68" i="67"/>
  <c r="AB69" i="67"/>
  <c r="R91" i="67"/>
  <c r="U88" i="67"/>
  <c r="AB39" i="67"/>
  <c r="Z86" i="67"/>
  <c r="S52" i="67"/>
  <c r="AA72" i="67"/>
  <c r="W42" i="67"/>
  <c r="U71" i="67"/>
  <c r="AB81" i="67"/>
  <c r="T87" i="67"/>
  <c r="R109" i="67"/>
  <c r="V42" i="67"/>
  <c r="AC97" i="67"/>
  <c r="Z85" i="67"/>
  <c r="AC90" i="67"/>
  <c r="W79" i="67"/>
  <c r="T70" i="67"/>
  <c r="AB48" i="67"/>
  <c r="Y39" i="67"/>
  <c r="AC95" i="67"/>
  <c r="W65" i="67"/>
  <c r="T56" i="67"/>
  <c r="S103" i="67"/>
  <c r="W87" i="67"/>
  <c r="S97" i="67"/>
  <c r="Y63" i="67"/>
  <c r="Z78" i="67"/>
  <c r="V91" i="67"/>
  <c r="X79" i="67"/>
  <c r="T86" i="67"/>
  <c r="T55" i="67"/>
  <c r="T80" i="67"/>
  <c r="T96" i="67"/>
  <c r="Y101" i="67"/>
  <c r="Y61" i="67"/>
  <c r="V52" i="67"/>
  <c r="Y100" i="67"/>
  <c r="V44" i="67"/>
  <c r="AB42" i="67"/>
  <c r="V89" i="67"/>
  <c r="AC102" i="67"/>
  <c r="AC84" i="67"/>
  <c r="W101" i="67"/>
  <c r="W59" i="67"/>
  <c r="AB105" i="67"/>
  <c r="W53" i="67"/>
  <c r="AA103" i="67"/>
  <c r="V55" i="67"/>
  <c r="Z64" i="67"/>
  <c r="V40" i="67"/>
  <c r="AA86" i="67"/>
  <c r="W100" i="67"/>
  <c r="Y65" i="67"/>
  <c r="X92" i="67"/>
  <c r="V65" i="67"/>
  <c r="X86" i="67"/>
  <c r="S104" i="67"/>
  <c r="Y48" i="67"/>
  <c r="V50" i="67"/>
  <c r="V102" i="67"/>
  <c r="U60" i="67"/>
  <c r="W90" i="67"/>
  <c r="AC65" i="67"/>
  <c r="Y47" i="67"/>
  <c r="V38" i="67"/>
  <c r="Y80" i="67"/>
  <c r="AA51" i="67"/>
  <c r="U98" i="67"/>
  <c r="AA45" i="67"/>
  <c r="AA47" i="67"/>
  <c r="AA61" i="67"/>
  <c r="X65" i="67"/>
  <c r="V68" i="67"/>
  <c r="AA95" i="67"/>
  <c r="V62" i="67"/>
  <c r="AB85" i="67"/>
  <c r="V69" i="67"/>
  <c r="AA43" i="67"/>
  <c r="T103" i="67"/>
  <c r="W92" i="67"/>
  <c r="AB66" i="67"/>
  <c r="U45" i="67"/>
  <c r="Z38" i="67"/>
  <c r="S98" i="67"/>
  <c r="T94" i="67"/>
  <c r="V107" i="67"/>
  <c r="AB89" i="67"/>
  <c r="X71" i="67"/>
  <c r="T85" i="67"/>
  <c r="U100" i="67"/>
  <c r="AA88" i="67"/>
  <c r="Y41" i="67"/>
  <c r="S88" i="67"/>
  <c r="Z101" i="67"/>
  <c r="W41" i="67"/>
  <c r="T83" i="67"/>
  <c r="X104" i="67"/>
  <c r="V87" i="67"/>
  <c r="AC68" i="67"/>
  <c r="Y82" i="67"/>
  <c r="W88" i="67"/>
  <c r="Z74" i="67"/>
  <c r="AC105" i="67"/>
  <c r="Z68" i="67"/>
  <c r="W73" i="67"/>
  <c r="V94" i="67"/>
  <c r="AB88" i="67"/>
  <c r="AA38" i="67"/>
  <c r="AA81" i="67"/>
  <c r="Y72" i="67"/>
  <c r="S77" i="67"/>
  <c r="W56" i="67"/>
  <c r="T89" i="67"/>
  <c r="AA46" i="67"/>
  <c r="AA98" i="67"/>
  <c r="W80" i="67"/>
  <c r="S94" i="67"/>
  <c r="AB102" i="67"/>
  <c r="U97" i="67"/>
  <c r="Z97" i="67"/>
  <c r="X50" i="67"/>
  <c r="AC96" i="67"/>
  <c r="X44" i="67"/>
  <c r="W82" i="67"/>
  <c r="T90" i="67"/>
  <c r="U46" i="67"/>
  <c r="V85" i="67"/>
  <c r="U80" i="67"/>
  <c r="AC88" i="67"/>
  <c r="V58" i="67"/>
  <c r="S72" i="67"/>
  <c r="Z53" i="67"/>
  <c r="V67" i="67"/>
  <c r="X51" i="67"/>
  <c r="AB94" i="67"/>
  <c r="Y88" i="67"/>
  <c r="U70" i="67"/>
  <c r="AB83" i="67"/>
  <c r="V86" i="67"/>
  <c r="W77" i="67"/>
  <c r="X46" i="67"/>
  <c r="X69" i="67"/>
  <c r="T51" i="67"/>
  <c r="AA64" i="67"/>
  <c r="W98" i="67"/>
  <c r="AB56" i="67"/>
  <c r="V103" i="67"/>
  <c r="AB50" i="67"/>
  <c r="AA84" i="67"/>
  <c r="X76" i="67"/>
  <c r="Z89" i="67"/>
  <c r="V63" i="67"/>
  <c r="AC63" i="67"/>
  <c r="AA54" i="67"/>
  <c r="V41" i="67"/>
  <c r="X80" i="67"/>
  <c r="V71" i="67"/>
  <c r="W93" i="67"/>
  <c r="AC80" i="67"/>
  <c r="Y62" i="67"/>
  <c r="U76" i="67"/>
  <c r="Z94" i="67"/>
  <c r="AB79" i="67"/>
  <c r="W74" i="67"/>
  <c r="X97" i="67"/>
  <c r="T79" i="67"/>
  <c r="AA92" i="67"/>
  <c r="V72" i="67"/>
  <c r="S76" i="67"/>
  <c r="Z76" i="67"/>
  <c r="X67" i="67"/>
  <c r="AC70" i="67"/>
  <c r="Y71" i="67"/>
  <c r="W62" i="67"/>
  <c r="U73" i="67"/>
  <c r="Y94" i="67"/>
  <c r="U54" i="67"/>
  <c r="W99" i="67"/>
  <c r="X49" i="67"/>
  <c r="U72" i="67"/>
  <c r="Z70" i="67"/>
  <c r="AA70" i="67"/>
  <c r="W52" i="67"/>
  <c r="S66" i="67"/>
  <c r="Y79" i="67"/>
  <c r="U86" i="67"/>
  <c r="X87" i="67"/>
  <c r="Z51" i="67"/>
  <c r="AB96" i="67"/>
  <c r="AC46" i="67"/>
  <c r="T59" i="67"/>
  <c r="S39" i="67"/>
  <c r="X85" i="67"/>
  <c r="T99" i="67"/>
  <c r="AA85" i="67"/>
  <c r="Z58" i="67"/>
  <c r="AC71" i="67"/>
  <c r="X45" i="67"/>
  <c r="T46" i="67"/>
  <c r="AA101" i="67"/>
  <c r="AA69" i="67"/>
  <c r="Z62" i="67"/>
  <c r="X53" i="67"/>
  <c r="S90" i="67"/>
  <c r="T63" i="67"/>
  <c r="AA44" i="67"/>
  <c r="W58" i="67"/>
  <c r="S99" i="67"/>
  <c r="X96" i="67"/>
  <c r="Y87" i="67"/>
  <c r="Z79" i="67"/>
  <c r="V61" i="67"/>
  <c r="AC74" i="67"/>
  <c r="S105" i="67"/>
  <c r="U58" i="67"/>
  <c r="AB58" i="67"/>
  <c r="Z49" i="67"/>
  <c r="T74" i="67"/>
  <c r="U95" i="67"/>
  <c r="AA53" i="67"/>
  <c r="X98" i="67"/>
  <c r="AB107" i="67"/>
  <c r="AB90" i="67"/>
  <c r="Y81" i="67"/>
  <c r="AA48" i="67"/>
  <c r="U63" i="67"/>
  <c r="AA52" i="67"/>
  <c r="AC52" i="67"/>
  <c r="T98" i="67"/>
  <c r="U48" i="67"/>
  <c r="W54" i="67"/>
  <c r="U107" i="67"/>
  <c r="W107" i="67"/>
  <c r="V88" i="67"/>
  <c r="S79" i="67"/>
  <c r="Y70" i="67"/>
  <c r="AA102" i="67"/>
  <c r="S86" i="67"/>
  <c r="Z67" i="67"/>
  <c r="V81" i="67"/>
  <c r="T50" i="67"/>
  <c r="AB40" i="67"/>
  <c r="S54" i="67"/>
  <c r="AC89" i="67"/>
  <c r="X61" i="67"/>
  <c r="AC83" i="67"/>
  <c r="W83" i="67"/>
  <c r="AB44" i="67"/>
  <c r="X100" i="67"/>
  <c r="U44" i="67"/>
  <c r="V45" i="67"/>
  <c r="X90" i="67"/>
  <c r="Y40" i="67"/>
  <c r="AC99" i="67"/>
  <c r="AA60" i="67"/>
  <c r="AC104" i="67"/>
  <c r="AB61" i="67"/>
  <c r="X43" i="67"/>
  <c r="T57" i="67"/>
  <c r="T48" i="67"/>
  <c r="W40" i="67"/>
  <c r="S41" i="67"/>
  <c r="Z96" i="67"/>
  <c r="Z102" i="67"/>
  <c r="Y57" i="67"/>
  <c r="T84" i="67"/>
  <c r="T53" i="67"/>
  <c r="Y44" i="67"/>
  <c r="R100" i="67"/>
  <c r="T82" i="67"/>
  <c r="U53" i="67"/>
  <c r="U41" i="67"/>
  <c r="U40" i="67"/>
  <c r="AA39" i="67"/>
  <c r="W95" i="67"/>
  <c r="Z63" i="67"/>
  <c r="T95" i="67"/>
  <c r="Y97" i="67"/>
  <c r="AC72" i="67"/>
  <c r="Y91" i="67"/>
  <c r="Y84" i="67"/>
  <c r="W69" i="67"/>
  <c r="S73" i="67"/>
  <c r="AA63" i="67"/>
  <c r="V75" i="67"/>
  <c r="Y74" i="67"/>
  <c r="U103" i="67"/>
  <c r="Y89" i="67"/>
  <c r="V80" i="67"/>
  <c r="X38" i="67"/>
  <c r="AA56" i="67"/>
  <c r="S91" i="67"/>
  <c r="AB57" i="67"/>
  <c r="X70" i="67"/>
  <c r="U61" i="67"/>
  <c r="AC38" i="67"/>
  <c r="X40" i="67"/>
  <c r="U68" i="67"/>
  <c r="AB49" i="67"/>
  <c r="X63" i="67"/>
  <c r="S64" i="67"/>
  <c r="Z91" i="67"/>
  <c r="T81" i="67"/>
  <c r="T72" i="67"/>
  <c r="T102" i="67"/>
  <c r="T66" i="67"/>
  <c r="S62" i="67"/>
  <c r="AC58" i="67"/>
  <c r="Z82" i="67"/>
  <c r="AC103" i="67"/>
  <c r="AC81" i="67"/>
  <c r="Z72" i="67"/>
  <c r="V105" i="67"/>
  <c r="AA99" i="67"/>
  <c r="AC42" i="67"/>
  <c r="AC57" i="67"/>
  <c r="S44" i="67"/>
  <c r="U89" i="67"/>
  <c r="V39" i="67"/>
  <c r="AC101" i="67"/>
  <c r="AB84" i="67"/>
  <c r="Y52" i="67"/>
  <c r="AB78" i="67"/>
  <c r="AC56" i="67"/>
  <c r="W48" i="67"/>
  <c r="R103" i="67"/>
  <c r="W91" i="67"/>
  <c r="U67" i="67"/>
  <c r="S96" i="67"/>
  <c r="AC43" i="67"/>
  <c r="V51" i="67"/>
  <c r="Y77" i="67"/>
  <c r="AB45" i="67"/>
  <c r="S101" i="67"/>
  <c r="AA79" i="67"/>
  <c r="AC44" i="67"/>
  <c r="AA73" i="67"/>
  <c r="AC79" i="67"/>
  <c r="W102" i="67"/>
  <c r="U55" i="67"/>
  <c r="AC45" i="67"/>
  <c r="Z39" i="67"/>
  <c r="AC39" i="67"/>
  <c r="W63" i="67"/>
  <c r="AA71" i="67"/>
  <c r="X62" i="67"/>
  <c r="W89" i="67"/>
  <c r="Z104" i="67"/>
  <c r="U105" i="67"/>
  <c r="T97" i="67"/>
  <c r="Z52" i="67"/>
  <c r="W43" i="67"/>
  <c r="AB72" i="67"/>
  <c r="AA83" i="67"/>
  <c r="W50" i="67"/>
  <c r="Y95" i="67"/>
  <c r="Z45" i="67"/>
  <c r="V84" i="67"/>
  <c r="AB73" i="67"/>
  <c r="AA104" i="67"/>
  <c r="V54" i="67"/>
  <c r="AA100" i="67"/>
  <c r="V48" i="67"/>
  <c r="AB70" i="67"/>
  <c r="Y99" i="67"/>
  <c r="AB64" i="67"/>
  <c r="U50" i="67"/>
  <c r="T64" i="67"/>
  <c r="AB54" i="67"/>
  <c r="Z84" i="67"/>
  <c r="U39" i="67"/>
  <c r="Y69" i="67"/>
  <c r="AC93" i="67"/>
  <c r="Z80" i="67"/>
  <c r="W71" i="67"/>
  <c r="X101" i="67"/>
  <c r="U59" i="67"/>
  <c r="S67" i="67"/>
  <c r="U93" i="67"/>
  <c r="S61" i="67"/>
  <c r="S63" i="67"/>
  <c r="Y73" i="67"/>
  <c r="AC91" i="67"/>
  <c r="AB92" i="67"/>
  <c r="AC61" i="67"/>
  <c r="AC55" i="67"/>
  <c r="AB38" i="67"/>
  <c r="AA96" i="67"/>
  <c r="AB99" i="67"/>
  <c r="AC53" i="67"/>
  <c r="Z44" i="67"/>
  <c r="X57" i="67"/>
  <c r="X75" i="67"/>
  <c r="S49" i="67"/>
  <c r="AA55" i="67"/>
  <c r="W70" i="67"/>
  <c r="U94" i="67"/>
  <c r="AB91" i="67"/>
  <c r="S107" i="67"/>
  <c r="S87" i="67"/>
  <c r="AA77" i="67"/>
  <c r="S80" i="67"/>
  <c r="U65" i="67"/>
  <c r="S56" i="67"/>
  <c r="AB46" i="67"/>
  <c r="V101" i="67"/>
  <c r="AC82" i="67"/>
  <c r="Y96" i="67"/>
  <c r="S53" i="67"/>
  <c r="X99" i="67"/>
  <c r="S47" i="67"/>
  <c r="W60" i="67"/>
  <c r="V46" i="67"/>
  <c r="Z105" i="67"/>
  <c r="V100" i="67"/>
  <c r="Z88" i="67"/>
  <c r="Y56" i="67"/>
  <c r="X82" i="67"/>
  <c r="AB62" i="67"/>
  <c r="Y53" i="67"/>
  <c r="Y59" i="67"/>
  <c r="AA94" i="67"/>
  <c r="U49" i="67"/>
  <c r="Z95" i="67"/>
  <c r="U43" i="67"/>
  <c r="T101" i="67"/>
  <c r="AA59" i="67"/>
  <c r="W96" i="67"/>
  <c r="Y85" i="67"/>
  <c r="AB98" i="67"/>
  <c r="AA76" i="67"/>
  <c r="AA49" i="67"/>
  <c r="S55" i="67"/>
  <c r="R107" i="67"/>
  <c r="AC47" i="67"/>
  <c r="AC86" i="67"/>
  <c r="Z99" i="67"/>
  <c r="AA65" i="67"/>
  <c r="W94" i="67"/>
  <c r="AC41" i="67"/>
  <c r="S75" i="67"/>
  <c r="AB80" i="67"/>
  <c r="T44" i="67"/>
  <c r="Y90" i="67"/>
  <c r="T38" i="67"/>
  <c r="W45" i="67"/>
  <c r="X68" i="67"/>
  <c r="V98" i="67"/>
  <c r="AC78" i="67"/>
  <c r="AA82" i="67"/>
  <c r="U56" i="67"/>
  <c r="T62" i="67"/>
  <c r="U74" i="67"/>
  <c r="X95" i="67"/>
  <c r="Y67" i="67"/>
  <c r="S74" i="67"/>
  <c r="Y98" i="67"/>
  <c r="Z56" i="67"/>
  <c r="Z90" i="67"/>
  <c r="W76" i="67"/>
  <c r="V66" i="67"/>
  <c r="Y51" i="67"/>
  <c r="U69" i="67"/>
  <c r="AC59" i="67"/>
  <c r="U62" i="67"/>
  <c r="W47" i="67"/>
  <c r="U38" i="67"/>
  <c r="W97" i="67"/>
  <c r="X83" i="67"/>
  <c r="T65" i="67"/>
  <c r="AA78" i="67"/>
  <c r="S100" i="67"/>
  <c r="Z81" i="67"/>
  <c r="V95" i="67"/>
  <c r="S71" i="67"/>
  <c r="AB53" i="67"/>
  <c r="AB87" i="67"/>
  <c r="Y45" i="67"/>
  <c r="Z92" i="67"/>
  <c r="X89" i="67"/>
  <c r="AB74" i="67"/>
  <c r="S45" i="67"/>
  <c r="W104" i="67"/>
  <c r="X105" i="67"/>
  <c r="AB103" i="67"/>
  <c r="U96" i="67"/>
  <c r="AB77" i="67"/>
  <c r="X91" i="67"/>
  <c r="Z77" i="67"/>
  <c r="AC64" i="67"/>
  <c r="X48" i="67"/>
  <c r="W105" i="67"/>
  <c r="T67" i="67"/>
  <c r="AA67" i="67"/>
  <c r="Y58" i="67"/>
  <c r="Z103" i="67"/>
  <c r="AB93" i="67"/>
  <c r="W51" i="67"/>
  <c r="T42" i="67"/>
  <c r="W44" i="67"/>
  <c r="AA62" i="67"/>
  <c r="U85" i="67"/>
  <c r="T68" i="67"/>
  <c r="Z65" i="67"/>
  <c r="V47" i="67"/>
  <c r="AC60" i="67"/>
  <c r="U82" i="67"/>
  <c r="AB63" i="67"/>
  <c r="X77" i="67"/>
  <c r="U102" i="67"/>
  <c r="U79" i="67"/>
  <c r="S70" i="67"/>
  <c r="T45" i="67"/>
  <c r="S82" i="67"/>
  <c r="V93" i="67"/>
  <c r="Y93" i="67"/>
  <c r="S50" i="67"/>
  <c r="Y86" i="67"/>
  <c r="AA90" i="67"/>
  <c r="W84" i="67"/>
  <c r="W78" i="67"/>
  <c r="S60" i="67"/>
  <c r="Z73" i="67"/>
  <c r="T61" i="67"/>
  <c r="T47" i="67"/>
  <c r="V99" i="67"/>
  <c r="AC62" i="67"/>
  <c r="U101" i="67"/>
  <c r="X103" i="67"/>
  <c r="Z93" i="67"/>
  <c r="U87" i="67"/>
  <c r="T77" i="67"/>
  <c r="AA58" i="67"/>
  <c r="W72" i="67"/>
  <c r="W39" i="67"/>
  <c r="V64" i="67"/>
  <c r="V73" i="67"/>
  <c r="AC54" i="67"/>
  <c r="Y68" i="67"/>
  <c r="X47" i="67"/>
  <c r="AB51" i="67"/>
  <c r="X52" i="67"/>
  <c r="V43" i="67"/>
  <c r="X58" i="67"/>
  <c r="AB60" i="67"/>
  <c r="W68" i="67"/>
  <c r="S69" i="67"/>
  <c r="AB59" i="67"/>
  <c r="V76" i="67"/>
  <c r="AB43" i="67"/>
  <c r="S85" i="67"/>
  <c r="V49" i="67"/>
  <c r="AC49" i="67"/>
  <c r="AA40" i="67"/>
  <c r="S43" i="67"/>
  <c r="Y105" i="67"/>
  <c r="Y66" i="67"/>
  <c r="AC92" i="67"/>
  <c r="X93" i="67"/>
  <c r="W103" i="67"/>
  <c r="W67" i="67"/>
  <c r="AA75" i="67"/>
  <c r="AB47" i="67"/>
  <c r="S93" i="67"/>
  <c r="T43" i="67"/>
  <c r="W64" i="67"/>
  <c r="S46" i="67"/>
  <c r="Z59" i="67"/>
  <c r="U64" i="67"/>
  <c r="W61" i="67"/>
  <c r="U52" i="67"/>
  <c r="Y55" i="67"/>
  <c r="Z61" i="67"/>
  <c r="U78" i="67"/>
  <c r="V77" i="67"/>
  <c r="AC77" i="67"/>
  <c r="AA68" i="67"/>
  <c r="U91" i="67"/>
  <c r="X88" i="67"/>
  <c r="Y60" i="67"/>
  <c r="U42" i="67"/>
  <c r="AB55" i="67"/>
  <c r="T40" i="67"/>
  <c r="AA66" i="67"/>
  <c r="Y83" i="67"/>
  <c r="V59" i="67"/>
  <c r="AC40" i="67"/>
  <c r="Y54" i="67"/>
  <c r="Z87" i="67"/>
  <c r="V97" i="67"/>
  <c r="X55" i="67"/>
  <c r="Z100" i="67"/>
  <c r="AA50" i="67"/>
  <c r="W38" i="67"/>
  <c r="V96" i="67"/>
  <c r="Z71" i="67"/>
  <c r="V90" i="67"/>
  <c r="T71" i="67"/>
  <c r="Z42" i="67"/>
  <c r="Y50" i="67"/>
  <c r="U51" i="67"/>
  <c r="S42" i="67"/>
  <c r="Z40" i="67"/>
  <c r="Y103" i="67"/>
  <c r="AB71" i="67"/>
  <c r="AA93" i="67"/>
  <c r="AB67" i="67"/>
  <c r="AA87" i="67"/>
  <c r="AB95" i="67"/>
  <c r="Z50" i="67"/>
  <c r="AB86" i="67"/>
  <c r="T75" i="67"/>
  <c r="S78" i="67"/>
  <c r="S102" i="67"/>
  <c r="Y49" i="67"/>
  <c r="X102" i="67"/>
  <c r="X84" i="67"/>
  <c r="U75" i="67"/>
  <c r="Y64" i="67"/>
  <c r="Y46" i="67"/>
  <c r="AA91" i="67"/>
  <c r="AB41" i="67"/>
  <c r="AC107" i="67"/>
  <c r="Y43" i="67"/>
  <c r="U99" i="67"/>
  <c r="AC66" i="67"/>
  <c r="AA41" i="67"/>
  <c r="Y107" i="67"/>
  <c r="X59" i="67"/>
  <c r="T60" i="67"/>
  <c r="AC50" i="67"/>
  <c r="T49" i="67"/>
  <c r="AC51" i="67"/>
  <c r="AA42" i="67"/>
  <c r="AC87" i="67"/>
  <c r="S38" i="67"/>
  <c r="R98" i="67"/>
  <c r="R99" i="67"/>
  <c r="R104" i="67"/>
  <c r="R92" i="67"/>
  <c r="R102" i="67"/>
  <c r="R101" i="67"/>
  <c r="R85" i="67"/>
  <c r="R97" i="67"/>
  <c r="R83" i="67"/>
  <c r="R95" i="67"/>
  <c r="R94" i="67"/>
  <c r="R93" i="67"/>
  <c r="R75" i="67"/>
  <c r="R82" i="67"/>
  <c r="R72" i="67"/>
  <c r="AC32" i="67"/>
  <c r="R88" i="67"/>
  <c r="R87" i="67"/>
  <c r="R51" i="67"/>
  <c r="R86" i="67"/>
  <c r="R84" i="67"/>
  <c r="AC17" i="67"/>
  <c r="R74" i="67"/>
  <c r="R81" i="67"/>
  <c r="R80" i="67"/>
  <c r="R61" i="67"/>
  <c r="R79" i="67"/>
  <c r="R78" i="67"/>
  <c r="R69" i="67"/>
  <c r="R77" i="67"/>
  <c r="R76" i="67"/>
  <c r="R73" i="67"/>
  <c r="R68" i="67"/>
  <c r="R71" i="67"/>
  <c r="R70" i="67"/>
  <c r="R67" i="67"/>
  <c r="R42" i="67"/>
  <c r="R57" i="67"/>
  <c r="R66" i="67"/>
  <c r="V30" i="67"/>
  <c r="R65" i="67"/>
  <c r="R45" i="67"/>
  <c r="R64" i="67"/>
  <c r="R63" i="67"/>
  <c r="R62" i="67"/>
  <c r="W28" i="67"/>
  <c r="R60" i="67"/>
  <c r="R59" i="67"/>
  <c r="R58" i="67"/>
  <c r="R56" i="67"/>
  <c r="R55" i="67"/>
  <c r="R54" i="67"/>
  <c r="R53" i="67"/>
  <c r="R52" i="67"/>
  <c r="U18" i="67"/>
  <c r="R50" i="67"/>
  <c r="R49" i="67"/>
  <c r="R48" i="67"/>
  <c r="R47" i="67"/>
  <c r="R46" i="67"/>
  <c r="R44" i="67"/>
  <c r="AC13" i="67"/>
  <c r="U32" i="67"/>
  <c r="R41" i="67"/>
  <c r="R40" i="67"/>
  <c r="AA24" i="67"/>
  <c r="AC30" i="67"/>
  <c r="R39" i="67"/>
  <c r="R38" i="67"/>
  <c r="W25" i="67"/>
  <c r="Z29" i="67"/>
  <c r="Y29" i="67"/>
  <c r="T28" i="67"/>
  <c r="R32" i="67"/>
  <c r="S36" i="67"/>
  <c r="AA34" i="67"/>
  <c r="X33" i="67"/>
  <c r="T34" i="67"/>
  <c r="S35" i="67"/>
  <c r="X29" i="67"/>
  <c r="W24" i="67"/>
  <c r="U30" i="67"/>
  <c r="AA30" i="67"/>
  <c r="U28" i="67"/>
  <c r="X34" i="67"/>
  <c r="T24" i="67"/>
  <c r="V26" i="67"/>
  <c r="T31" i="67"/>
  <c r="V34" i="67"/>
  <c r="S29" i="67"/>
  <c r="U33" i="67"/>
  <c r="Y30" i="67"/>
  <c r="Z34" i="67"/>
  <c r="S27" i="67"/>
  <c r="X26" i="67"/>
  <c r="AB32" i="67"/>
  <c r="Y31" i="67"/>
  <c r="AC25" i="67"/>
  <c r="Z25" i="67"/>
  <c r="Y27" i="67"/>
  <c r="AB29" i="67"/>
  <c r="Z26" i="67"/>
  <c r="Y35" i="67"/>
  <c r="AC27" i="67"/>
  <c r="AB24" i="67"/>
  <c r="U34" i="67"/>
  <c r="Z32" i="67"/>
  <c r="W31" i="67"/>
  <c r="T30" i="67"/>
  <c r="W30" i="67"/>
  <c r="AB25" i="67"/>
  <c r="Y24" i="67"/>
  <c r="X36" i="67"/>
  <c r="U35" i="67"/>
  <c r="AC33" i="67"/>
  <c r="U26" i="67"/>
  <c r="U29" i="67"/>
  <c r="AA36" i="67"/>
  <c r="AB31" i="67"/>
  <c r="V29" i="67"/>
  <c r="AB36" i="67"/>
  <c r="X24" i="67"/>
  <c r="V28" i="67"/>
  <c r="V33" i="67"/>
  <c r="W26" i="67"/>
  <c r="Z30" i="67"/>
  <c r="T33" i="67"/>
  <c r="X27" i="67"/>
  <c r="AC26" i="67"/>
  <c r="V35" i="67"/>
  <c r="AC35" i="67"/>
  <c r="AC28" i="67"/>
  <c r="Z27" i="67"/>
  <c r="T35" i="67"/>
  <c r="AB33" i="67"/>
  <c r="Y32" i="67"/>
  <c r="V31" i="67"/>
  <c r="S30" i="67"/>
  <c r="AA28" i="67"/>
  <c r="Z36" i="67"/>
  <c r="AA32" i="67"/>
  <c r="T27" i="67"/>
  <c r="AB28" i="67"/>
  <c r="AA25" i="67"/>
  <c r="Z35" i="67"/>
  <c r="S33" i="67"/>
  <c r="T26" i="67"/>
  <c r="T29" i="67"/>
  <c r="V24" i="67"/>
  <c r="AB30" i="67"/>
  <c r="AB35" i="67"/>
  <c r="W29" i="67"/>
  <c r="V36" i="67"/>
  <c r="Y36" i="67"/>
  <c r="AA27" i="67"/>
  <c r="X31" i="67"/>
  <c r="W36" i="67"/>
  <c r="AC29" i="67"/>
  <c r="Z28" i="67"/>
  <c r="W27" i="67"/>
  <c r="AB26" i="67"/>
  <c r="Y25" i="67"/>
  <c r="AC34" i="67"/>
  <c r="Z33" i="67"/>
  <c r="W32" i="67"/>
  <c r="T32" i="67"/>
  <c r="Y34" i="67"/>
  <c r="T25" i="67"/>
  <c r="X35" i="67"/>
  <c r="AB27" i="67"/>
  <c r="W35" i="67"/>
  <c r="S34" i="67"/>
  <c r="U36" i="67"/>
  <c r="AC31" i="67"/>
  <c r="S25" i="67"/>
  <c r="S28" i="67"/>
  <c r="AA33" i="67"/>
  <c r="X32" i="67"/>
  <c r="U31" i="67"/>
  <c r="AA26" i="67"/>
  <c r="X25" i="67"/>
  <c r="U24" i="67"/>
  <c r="W33" i="67"/>
  <c r="U25" i="67"/>
  <c r="AA29" i="67"/>
  <c r="X28" i="67"/>
  <c r="U27" i="67"/>
  <c r="AC36" i="67"/>
  <c r="AC24" i="67"/>
  <c r="X30" i="67"/>
  <c r="Z24" i="67"/>
  <c r="T36" i="67"/>
  <c r="AB34" i="67"/>
  <c r="Y33" i="67"/>
  <c r="V32" i="67"/>
  <c r="S31" i="67"/>
  <c r="Z31" i="67"/>
  <c r="S26" i="67"/>
  <c r="Y28" i="67"/>
  <c r="V27" i="67"/>
  <c r="S32" i="67"/>
  <c r="AA35" i="67"/>
  <c r="W34" i="67"/>
  <c r="AA31" i="67"/>
  <c r="Y26" i="67"/>
  <c r="V25" i="67"/>
  <c r="S24" i="67"/>
  <c r="R26" i="67"/>
  <c r="R36" i="67"/>
  <c r="R35" i="67"/>
  <c r="R34" i="67"/>
  <c r="R33" i="67"/>
  <c r="Z22" i="67"/>
  <c r="R31" i="67"/>
  <c r="R30" i="67"/>
  <c r="R29" i="67"/>
  <c r="R28" i="67"/>
  <c r="R27" i="67"/>
  <c r="V12" i="67"/>
  <c r="Z15" i="67"/>
  <c r="R25" i="67"/>
  <c r="R24" i="67"/>
  <c r="AC16" i="67"/>
  <c r="W13" i="67"/>
  <c r="Z14" i="67"/>
  <c r="AC22" i="67"/>
  <c r="Y22" i="67"/>
  <c r="S14" i="67"/>
  <c r="X22" i="67"/>
  <c r="W22" i="67"/>
  <c r="U11" i="67"/>
  <c r="AB22" i="67"/>
  <c r="V22" i="67"/>
  <c r="U22" i="67"/>
  <c r="AA22" i="67"/>
  <c r="T22" i="67"/>
  <c r="T11" i="67"/>
  <c r="X11" i="67"/>
  <c r="V20" i="67"/>
  <c r="W16" i="67"/>
  <c r="X14" i="67"/>
  <c r="W15" i="67"/>
  <c r="AA17" i="67"/>
  <c r="AB14" i="67"/>
  <c r="AC19" i="67"/>
  <c r="Y20" i="67"/>
  <c r="V13" i="67"/>
  <c r="AB18" i="67"/>
  <c r="W12" i="67"/>
  <c r="AC18" i="67"/>
  <c r="U13" i="67"/>
  <c r="AC15" i="67"/>
  <c r="Z12" i="67"/>
  <c r="AB15" i="67"/>
  <c r="AA15" i="67"/>
  <c r="V16" i="67"/>
  <c r="Y18" i="67"/>
  <c r="Z16" i="67"/>
  <c r="AA16" i="67"/>
  <c r="U12" i="67"/>
  <c r="AA12" i="67"/>
  <c r="V17" i="67"/>
  <c r="W18" i="67"/>
  <c r="T12" i="67"/>
  <c r="AA18" i="67"/>
  <c r="T19" i="67"/>
  <c r="U17" i="67"/>
  <c r="Z17" i="67"/>
  <c r="U20" i="67"/>
  <c r="W11" i="67"/>
  <c r="W17" i="67"/>
  <c r="W14" i="67"/>
  <c r="Y17" i="67"/>
  <c r="S22" i="67"/>
  <c r="Y14" i="67"/>
  <c r="X20" i="67"/>
  <c r="Y16" i="67"/>
  <c r="T13" i="67"/>
  <c r="V11" i="67"/>
  <c r="S13" i="67"/>
  <c r="X17" i="67"/>
  <c r="T18" i="67"/>
  <c r="V18" i="67"/>
  <c r="AB16" i="67"/>
  <c r="Z19" i="67"/>
  <c r="Y19" i="67"/>
  <c r="Z18" i="67"/>
  <c r="S15" i="67"/>
  <c r="AB17" i="67"/>
  <c r="V15" i="67"/>
  <c r="AB13" i="67"/>
  <c r="X15" i="67"/>
  <c r="T14" i="67"/>
  <c r="T20" i="67"/>
  <c r="AB19" i="67"/>
  <c r="U19" i="67"/>
  <c r="U15" i="67"/>
  <c r="AA13" i="67"/>
  <c r="S16" i="67"/>
  <c r="X18" i="67"/>
  <c r="AC20" i="67"/>
  <c r="AC14" i="67"/>
  <c r="T15" i="67"/>
  <c r="Z13" i="67"/>
  <c r="Y13" i="67"/>
  <c r="V19" i="67"/>
  <c r="AB20" i="67"/>
  <c r="W20" i="67"/>
  <c r="AC12" i="67"/>
  <c r="AA11" i="67"/>
  <c r="U14" i="67"/>
  <c r="T16" i="67"/>
  <c r="AA20" i="67"/>
  <c r="AA14" i="67"/>
  <c r="X19" i="67"/>
  <c r="AB12" i="67"/>
  <c r="Z11" i="67"/>
  <c r="X16" i="67"/>
  <c r="Y15" i="67"/>
  <c r="V14" i="67"/>
  <c r="U16" i="67"/>
  <c r="X13" i="67"/>
  <c r="T17" i="67"/>
  <c r="Y12" i="67"/>
  <c r="Z20" i="67"/>
  <c r="X12" i="67"/>
  <c r="W19" i="67"/>
  <c r="AC11" i="67"/>
  <c r="AB11" i="67"/>
  <c r="Y11" i="67"/>
  <c r="AA19" i="67"/>
  <c r="S20" i="67"/>
  <c r="S19" i="67"/>
  <c r="S18" i="67"/>
  <c r="S17" i="67"/>
  <c r="S12" i="67"/>
  <c r="S11" i="67"/>
  <c r="R13" i="67"/>
  <c r="R11" i="67"/>
  <c r="S119" i="67"/>
  <c r="R19" i="67"/>
  <c r="R15" i="67"/>
  <c r="R20" i="67"/>
  <c r="R18" i="67"/>
  <c r="R14" i="67"/>
  <c r="R16" i="67"/>
  <c r="R17" i="67"/>
  <c r="R12" i="67"/>
  <c r="AS147" i="67"/>
  <c r="AT147" i="67" s="1"/>
  <c r="AS137" i="67"/>
  <c r="AT137" i="67" s="1"/>
  <c r="AS135" i="67"/>
  <c r="AT135" i="67" s="1"/>
  <c r="AS149" i="67"/>
  <c r="AT149" i="67" s="1"/>
  <c r="AS141" i="67"/>
  <c r="AT141" i="67" s="1"/>
  <c r="AS144" i="67"/>
  <c r="AT144" i="67" s="1"/>
  <c r="AS124" i="67"/>
  <c r="AT124" i="67" s="1"/>
  <c r="AS132" i="67"/>
  <c r="AT132" i="67" s="1"/>
  <c r="AS128" i="67"/>
  <c r="AT128" i="67" s="1"/>
  <c r="AS131" i="67"/>
  <c r="AT131" i="67" s="1"/>
  <c r="AS127" i="67"/>
  <c r="AT127" i="67" s="1"/>
  <c r="AS123" i="67"/>
  <c r="AT123" i="67" s="1"/>
  <c r="AS130" i="67"/>
  <c r="AT130" i="67" s="1"/>
  <c r="AS129" i="67"/>
  <c r="AT129" i="67" s="1"/>
  <c r="AS126" i="67"/>
  <c r="AT126" i="67" s="1"/>
  <c r="AS122" i="67"/>
  <c r="AT122" i="67" s="1"/>
  <c r="AS121" i="67"/>
  <c r="AT121" i="67" s="1"/>
  <c r="R22" i="67"/>
  <c r="M47" i="48"/>
  <c r="S47" i="48" s="1"/>
  <c r="M49" i="55"/>
  <c r="S47" i="55"/>
  <c r="F27" i="48"/>
  <c r="V47" i="48" l="1"/>
  <c r="Z126" i="64"/>
  <c r="Z127" i="64"/>
  <c r="Z58" i="64"/>
  <c r="Z64" i="64"/>
  <c r="X21" i="67"/>
  <c r="AB21" i="67"/>
  <c r="Y21" i="67"/>
  <c r="Z21" i="67"/>
  <c r="V21" i="67"/>
  <c r="S21" i="67"/>
  <c r="AC21" i="67"/>
  <c r="T21" i="67"/>
  <c r="AA21" i="67"/>
  <c r="U21" i="67"/>
  <c r="W21" i="67"/>
  <c r="AR106" i="67"/>
  <c r="AD106" i="67"/>
  <c r="AD81" i="67"/>
  <c r="AD49" i="67"/>
  <c r="AD64" i="67"/>
  <c r="AD72" i="67"/>
  <c r="AD98" i="67"/>
  <c r="AD112" i="67"/>
  <c r="AD115" i="67"/>
  <c r="AD110" i="67"/>
  <c r="AD82" i="67"/>
  <c r="AD111" i="67"/>
  <c r="AD114" i="67"/>
  <c r="AD118" i="67"/>
  <c r="AD116" i="67"/>
  <c r="AD117" i="67"/>
  <c r="AD48" i="67"/>
  <c r="AD63" i="67"/>
  <c r="AD77" i="67"/>
  <c r="AD99" i="67"/>
  <c r="AD113" i="67"/>
  <c r="AD39" i="67"/>
  <c r="AD65" i="67"/>
  <c r="AD79" i="67"/>
  <c r="AD75" i="67"/>
  <c r="AD69" i="67"/>
  <c r="AD96" i="67"/>
  <c r="AD78" i="67"/>
  <c r="AD52" i="67"/>
  <c r="AD61" i="67"/>
  <c r="AD93" i="67"/>
  <c r="AD103" i="67"/>
  <c r="AD53" i="67"/>
  <c r="AD66" i="67"/>
  <c r="AD80" i="67"/>
  <c r="AD94" i="67"/>
  <c r="AD100" i="67"/>
  <c r="AD95" i="67"/>
  <c r="AD55" i="67"/>
  <c r="AD83" i="67"/>
  <c r="AD90" i="67"/>
  <c r="AD45" i="67"/>
  <c r="AD57" i="67"/>
  <c r="AD41" i="67"/>
  <c r="AD42" i="67"/>
  <c r="AD74" i="67"/>
  <c r="AD91" i="67"/>
  <c r="AD56" i="67"/>
  <c r="AD67" i="67"/>
  <c r="AD97" i="67"/>
  <c r="AD107" i="67"/>
  <c r="AD85" i="67"/>
  <c r="AD50" i="67"/>
  <c r="AD40" i="67"/>
  <c r="AD84" i="67"/>
  <c r="AD43" i="67"/>
  <c r="AD59" i="67"/>
  <c r="AD71" i="67"/>
  <c r="AD86" i="67"/>
  <c r="AD101" i="67"/>
  <c r="AD58" i="67"/>
  <c r="AD68" i="67"/>
  <c r="AD89" i="67"/>
  <c r="AD105" i="67"/>
  <c r="AD54" i="67"/>
  <c r="AD70" i="67"/>
  <c r="AD44" i="67"/>
  <c r="AD51" i="67"/>
  <c r="AD27" i="67"/>
  <c r="AD46" i="67"/>
  <c r="AD73" i="67"/>
  <c r="AD87" i="67"/>
  <c r="AD92" i="67"/>
  <c r="AD60" i="67"/>
  <c r="AD102" i="67"/>
  <c r="AD47" i="67"/>
  <c r="AD62" i="67"/>
  <c r="AD76" i="67"/>
  <c r="AD88" i="67"/>
  <c r="AD104" i="67"/>
  <c r="AD12" i="67"/>
  <c r="AD30" i="67"/>
  <c r="AD28" i="67"/>
  <c r="AD33" i="67"/>
  <c r="AD34" i="67"/>
  <c r="AD29" i="67"/>
  <c r="AD17" i="67"/>
  <c r="AD25" i="67"/>
  <c r="AD31" i="67"/>
  <c r="AD35" i="67"/>
  <c r="AD36" i="67"/>
  <c r="AD26" i="67"/>
  <c r="AD32" i="67"/>
  <c r="AD24" i="67"/>
  <c r="AD18" i="67"/>
  <c r="AD20" i="67"/>
  <c r="AD19" i="67"/>
  <c r="AD16" i="67"/>
  <c r="AD14" i="67"/>
  <c r="AD15" i="67"/>
  <c r="AD11" i="67"/>
  <c r="AD13" i="67"/>
  <c r="AR112" i="67"/>
  <c r="AP108" i="67"/>
  <c r="AR114" i="67"/>
  <c r="AJ108" i="67"/>
  <c r="AN108" i="67"/>
  <c r="AO108" i="67"/>
  <c r="AR111" i="67"/>
  <c r="AR116" i="67"/>
  <c r="AQ108" i="67"/>
  <c r="AI108" i="67"/>
  <c r="AL108" i="67"/>
  <c r="AR110" i="67"/>
  <c r="AR113" i="67"/>
  <c r="AR115" i="67"/>
  <c r="AR74" i="67"/>
  <c r="AH108" i="67"/>
  <c r="AG108" i="67"/>
  <c r="AR118" i="67"/>
  <c r="AK108" i="67"/>
  <c r="AM108" i="67"/>
  <c r="AR117" i="67"/>
  <c r="AR84" i="67"/>
  <c r="AR27" i="67"/>
  <c r="AR58" i="67"/>
  <c r="AR60" i="67"/>
  <c r="AR75" i="67"/>
  <c r="AR30" i="67"/>
  <c r="AR45" i="67"/>
  <c r="AR104" i="67"/>
  <c r="AI37" i="67"/>
  <c r="AR78" i="67"/>
  <c r="AR109" i="67"/>
  <c r="AF108" i="67"/>
  <c r="AO37" i="67"/>
  <c r="AR46" i="67"/>
  <c r="AR52" i="67"/>
  <c r="AR71" i="67"/>
  <c r="AR103" i="67"/>
  <c r="AR99" i="67"/>
  <c r="AJ37" i="67"/>
  <c r="AR70" i="67"/>
  <c r="AR64" i="67"/>
  <c r="AR61" i="67"/>
  <c r="AR94" i="67"/>
  <c r="AR102" i="67"/>
  <c r="AG37" i="67"/>
  <c r="AR73" i="67"/>
  <c r="AR40" i="67"/>
  <c r="AR49" i="67"/>
  <c r="AR101" i="67"/>
  <c r="AR48" i="67"/>
  <c r="AR62" i="67"/>
  <c r="AR83" i="67"/>
  <c r="AR57" i="67"/>
  <c r="AR77" i="67"/>
  <c r="AR87" i="67"/>
  <c r="AR105" i="67"/>
  <c r="AR95" i="67"/>
  <c r="AR80" i="67"/>
  <c r="AR43" i="67"/>
  <c r="AR50" i="67"/>
  <c r="AP37" i="67"/>
  <c r="AR81" i="67"/>
  <c r="AL37" i="67"/>
  <c r="AR76" i="67"/>
  <c r="AR63" i="67"/>
  <c r="AR47" i="67"/>
  <c r="AR68" i="67"/>
  <c r="AM37" i="67"/>
  <c r="AR55" i="67"/>
  <c r="AR53" i="67"/>
  <c r="AR88" i="67"/>
  <c r="AR92" i="67"/>
  <c r="AR44" i="67"/>
  <c r="AR82" i="67"/>
  <c r="AR42" i="67"/>
  <c r="AR86" i="67"/>
  <c r="AQ37" i="67"/>
  <c r="AR107" i="67"/>
  <c r="AR85" i="67"/>
  <c r="AR66" i="67"/>
  <c r="AR100" i="67"/>
  <c r="AR41" i="67"/>
  <c r="AR67" i="67"/>
  <c r="AK37" i="67"/>
  <c r="AR90" i="67"/>
  <c r="AR96" i="67"/>
  <c r="AR56" i="67"/>
  <c r="AR69" i="67"/>
  <c r="AR93" i="67"/>
  <c r="AN37" i="67"/>
  <c r="AR51" i="67"/>
  <c r="AR39" i="67"/>
  <c r="AH37" i="67"/>
  <c r="AR79" i="67"/>
  <c r="AR54" i="67"/>
  <c r="AR59" i="67"/>
  <c r="AR72" i="67"/>
  <c r="AR91" i="67"/>
  <c r="AR97" i="67"/>
  <c r="AR89" i="67"/>
  <c r="AR65" i="67"/>
  <c r="AR98" i="67"/>
  <c r="AP23" i="67"/>
  <c r="AF37" i="67"/>
  <c r="AR38" i="67"/>
  <c r="AR25" i="67"/>
  <c r="AR33" i="67"/>
  <c r="AR36" i="67"/>
  <c r="AJ23" i="67"/>
  <c r="AR29" i="67"/>
  <c r="AH23" i="67"/>
  <c r="AR28" i="67"/>
  <c r="AR31" i="67"/>
  <c r="AK23" i="67"/>
  <c r="AG23" i="67"/>
  <c r="AQ23" i="67"/>
  <c r="AR34" i="67"/>
  <c r="AM23" i="67"/>
  <c r="AO23" i="67"/>
  <c r="AR26" i="67"/>
  <c r="AI23" i="67"/>
  <c r="AN23" i="67"/>
  <c r="AR32" i="67"/>
  <c r="AR35" i="67"/>
  <c r="AL23" i="67"/>
  <c r="AF23" i="67"/>
  <c r="AR24" i="67"/>
  <c r="AF356" i="67"/>
  <c r="AF21" i="67"/>
  <c r="AR22" i="67"/>
  <c r="AR21" i="67" s="1"/>
  <c r="AR20" i="67"/>
  <c r="AF9" i="67"/>
  <c r="AN356" i="67"/>
  <c r="AR16" i="67"/>
  <c r="AN9" i="67"/>
  <c r="AR12" i="67"/>
  <c r="AR19" i="67"/>
  <c r="AR14" i="67"/>
  <c r="AR15" i="67"/>
  <c r="AR17" i="67"/>
  <c r="AR13" i="67"/>
  <c r="AR18" i="67"/>
  <c r="AR11" i="67"/>
  <c r="AG356" i="67"/>
  <c r="AG9" i="67"/>
  <c r="AQ356" i="67"/>
  <c r="AQ9" i="67"/>
  <c r="AP356" i="67"/>
  <c r="AP9" i="67"/>
  <c r="AK356" i="67"/>
  <c r="AK9" i="67"/>
  <c r="AI9" i="67"/>
  <c r="AI356" i="67"/>
  <c r="AM9" i="67"/>
  <c r="AM356" i="67"/>
  <c r="AO356" i="67"/>
  <c r="AO9" i="67"/>
  <c r="AL9" i="67"/>
  <c r="AL356" i="67"/>
  <c r="AJ9" i="67"/>
  <c r="AJ356" i="67"/>
  <c r="AR10" i="67"/>
  <c r="AH9" i="67"/>
  <c r="AH356" i="67"/>
  <c r="V108" i="67"/>
  <c r="AA108" i="67"/>
  <c r="Z108" i="67"/>
  <c r="U108" i="67"/>
  <c r="W108" i="67"/>
  <c r="AC108" i="67"/>
  <c r="S108" i="67"/>
  <c r="AB108" i="67"/>
  <c r="T108" i="67"/>
  <c r="X108" i="67"/>
  <c r="Y108" i="67"/>
  <c r="R108" i="67"/>
  <c r="AC37" i="67"/>
  <c r="Z37" i="67"/>
  <c r="U37" i="67"/>
  <c r="T37" i="67"/>
  <c r="X37" i="67"/>
  <c r="AA37" i="67"/>
  <c r="AB37" i="67"/>
  <c r="V37" i="67"/>
  <c r="Y37" i="67"/>
  <c r="S37" i="67"/>
  <c r="W37" i="67"/>
  <c r="R37" i="67"/>
  <c r="AC23" i="67"/>
  <c r="V23" i="67"/>
  <c r="W23" i="67"/>
  <c r="AB23" i="67"/>
  <c r="S23" i="67"/>
  <c r="U23" i="67"/>
  <c r="X23" i="67"/>
  <c r="T23" i="67"/>
  <c r="Z23" i="67"/>
  <c r="AA23" i="67"/>
  <c r="Y23" i="67"/>
  <c r="R23" i="67"/>
  <c r="R21" i="67"/>
  <c r="AD22" i="67"/>
  <c r="AD10" i="67"/>
  <c r="S9" i="67"/>
  <c r="V9" i="67"/>
  <c r="T9" i="67"/>
  <c r="Z9" i="67"/>
  <c r="U9" i="67"/>
  <c r="AC9" i="67"/>
  <c r="X9" i="67"/>
  <c r="AB9" i="67"/>
  <c r="W9" i="67"/>
  <c r="AA9" i="67"/>
  <c r="Y9" i="67"/>
  <c r="R9" i="67"/>
  <c r="R133" i="67"/>
  <c r="AD133" i="67" s="1"/>
  <c r="AS133" i="67" s="1"/>
  <c r="AT133" i="67" s="1"/>
  <c r="AD134" i="67"/>
  <c r="AS134" i="67" s="1"/>
  <c r="AT134" i="67" s="1"/>
  <c r="R119" i="67"/>
  <c r="AD119" i="67" s="1"/>
  <c r="AS119" i="67" s="1"/>
  <c r="AT119" i="67" s="1"/>
  <c r="AD120" i="67"/>
  <c r="AS120" i="67" s="1"/>
  <c r="AT120" i="67" s="1"/>
  <c r="AD109" i="67"/>
  <c r="AD38" i="67"/>
  <c r="M49" i="48"/>
  <c r="M52" i="48" s="1"/>
  <c r="F32" i="48"/>
  <c r="U32" i="48" s="1"/>
  <c r="M50" i="55"/>
  <c r="M52" i="55"/>
  <c r="S52" i="55" s="1"/>
  <c r="S49" i="55"/>
  <c r="S50" i="55" s="1"/>
  <c r="AS106" i="67" l="1"/>
  <c r="AT106" i="67" s="1"/>
  <c r="AS52" i="67"/>
  <c r="AT52" i="67" s="1"/>
  <c r="AS81" i="67"/>
  <c r="AT81" i="67" s="1"/>
  <c r="AS88" i="67"/>
  <c r="AT88" i="67" s="1"/>
  <c r="AS28" i="67"/>
  <c r="AT28" i="67" s="1"/>
  <c r="AS112" i="67"/>
  <c r="AT112" i="67" s="1"/>
  <c r="AS47" i="67"/>
  <c r="AT47" i="67" s="1"/>
  <c r="AS100" i="67"/>
  <c r="AT100" i="67" s="1"/>
  <c r="AD108" i="67"/>
  <c r="AD37" i="67"/>
  <c r="AD23" i="67"/>
  <c r="AD9" i="67"/>
  <c r="AS116" i="67"/>
  <c r="AT116" i="67" s="1"/>
  <c r="AS78" i="67"/>
  <c r="AT78" i="67" s="1"/>
  <c r="AS114" i="67"/>
  <c r="AT114" i="67" s="1"/>
  <c r="AS117" i="67"/>
  <c r="AT117" i="67" s="1"/>
  <c r="AS99" i="67"/>
  <c r="AT99" i="67" s="1"/>
  <c r="AS36" i="67"/>
  <c r="AT36" i="67" s="1"/>
  <c r="AS79" i="67"/>
  <c r="AT79" i="67" s="1"/>
  <c r="AS105" i="67"/>
  <c r="AT105" i="67" s="1"/>
  <c r="AS77" i="67"/>
  <c r="AT77" i="67" s="1"/>
  <c r="AS57" i="67"/>
  <c r="AT57" i="67" s="1"/>
  <c r="AS113" i="67"/>
  <c r="AT113" i="67" s="1"/>
  <c r="AS45" i="67"/>
  <c r="AT45" i="67" s="1"/>
  <c r="AS75" i="67"/>
  <c r="AT75" i="67" s="1"/>
  <c r="AS115" i="67"/>
  <c r="AT115" i="67" s="1"/>
  <c r="AS67" i="67"/>
  <c r="AT67" i="67" s="1"/>
  <c r="AS30" i="67"/>
  <c r="AT30" i="67" s="1"/>
  <c r="AS54" i="67"/>
  <c r="AT54" i="67" s="1"/>
  <c r="AS111" i="67"/>
  <c r="AT111" i="67" s="1"/>
  <c r="AR108" i="67"/>
  <c r="AS104" i="67"/>
  <c r="AT104" i="67" s="1"/>
  <c r="AS60" i="67"/>
  <c r="AT60" i="67" s="1"/>
  <c r="AS61" i="67"/>
  <c r="AT61" i="67" s="1"/>
  <c r="AS82" i="67"/>
  <c r="AT82" i="67" s="1"/>
  <c r="AS89" i="67"/>
  <c r="AT89" i="67" s="1"/>
  <c r="AS90" i="67"/>
  <c r="AT90" i="67" s="1"/>
  <c r="AS51" i="67"/>
  <c r="AT51" i="67" s="1"/>
  <c r="AS63" i="67"/>
  <c r="AT63" i="67" s="1"/>
  <c r="AS103" i="67"/>
  <c r="AT103" i="67" s="1"/>
  <c r="AS25" i="67"/>
  <c r="AT25" i="67" s="1"/>
  <c r="AS48" i="67"/>
  <c r="AT48" i="67" s="1"/>
  <c r="AS84" i="67"/>
  <c r="AT84" i="67" s="1"/>
  <c r="AS118" i="67"/>
  <c r="AT118" i="67" s="1"/>
  <c r="AS27" i="67"/>
  <c r="AT27" i="67" s="1"/>
  <c r="AS85" i="67"/>
  <c r="AT85" i="67" s="1"/>
  <c r="AS58" i="67"/>
  <c r="AT58" i="67" s="1"/>
  <c r="AS76" i="67"/>
  <c r="AT76" i="67" s="1"/>
  <c r="AS101" i="67"/>
  <c r="AT101" i="67" s="1"/>
  <c r="AS107" i="67"/>
  <c r="AT107" i="67" s="1"/>
  <c r="AS62" i="67"/>
  <c r="AT62" i="67" s="1"/>
  <c r="AS39" i="67"/>
  <c r="AT39" i="67" s="1"/>
  <c r="AS71" i="67"/>
  <c r="AT71" i="67" s="1"/>
  <c r="AS74" i="67"/>
  <c r="AT74" i="67" s="1"/>
  <c r="AS110" i="67"/>
  <c r="AT110" i="67" s="1"/>
  <c r="AS40" i="67"/>
  <c r="AT40" i="67" s="1"/>
  <c r="AS50" i="67"/>
  <c r="AT50" i="67" s="1"/>
  <c r="AS93" i="67"/>
  <c r="AT93" i="67" s="1"/>
  <c r="AS65" i="67"/>
  <c r="AT65" i="67" s="1"/>
  <c r="AS44" i="67"/>
  <c r="AT44" i="67" s="1"/>
  <c r="AS96" i="67"/>
  <c r="AT96" i="67" s="1"/>
  <c r="AS86" i="67"/>
  <c r="AT86" i="67" s="1"/>
  <c r="AS97" i="67"/>
  <c r="AT97" i="67" s="1"/>
  <c r="AS98" i="67"/>
  <c r="AT98" i="67" s="1"/>
  <c r="AS72" i="67"/>
  <c r="AT72" i="67" s="1"/>
  <c r="AS102" i="67"/>
  <c r="AT102" i="67" s="1"/>
  <c r="AS59" i="67"/>
  <c r="AT59" i="67" s="1"/>
  <c r="AS94" i="67"/>
  <c r="AT94" i="67" s="1"/>
  <c r="AS42" i="67"/>
  <c r="AT42" i="67" s="1"/>
  <c r="AS34" i="67"/>
  <c r="AT34" i="67" s="1"/>
  <c r="AS69" i="67"/>
  <c r="AT69" i="67" s="1"/>
  <c r="AS92" i="67"/>
  <c r="AT92" i="67" s="1"/>
  <c r="AS43" i="67"/>
  <c r="AT43" i="67" s="1"/>
  <c r="AS80" i="67"/>
  <c r="AT80" i="67" s="1"/>
  <c r="AS91" i="67"/>
  <c r="AT91" i="67" s="1"/>
  <c r="AS64" i="67"/>
  <c r="AT64" i="67" s="1"/>
  <c r="AS87" i="67"/>
  <c r="AT87" i="67" s="1"/>
  <c r="AS70" i="67"/>
  <c r="AT70" i="67" s="1"/>
  <c r="AS66" i="67"/>
  <c r="AT66" i="67" s="1"/>
  <c r="AS83" i="67"/>
  <c r="AT83" i="67" s="1"/>
  <c r="AS49" i="67"/>
  <c r="AT49" i="67" s="1"/>
  <c r="AS73" i="67"/>
  <c r="AT73" i="67" s="1"/>
  <c r="AS56" i="67"/>
  <c r="AT56" i="67" s="1"/>
  <c r="AS53" i="67"/>
  <c r="AT53" i="67" s="1"/>
  <c r="AS55" i="67"/>
  <c r="AT55" i="67" s="1"/>
  <c r="AS68" i="67"/>
  <c r="AT68" i="67" s="1"/>
  <c r="AS46" i="67"/>
  <c r="AT46" i="67" s="1"/>
  <c r="AS95" i="67"/>
  <c r="AT95" i="67" s="1"/>
  <c r="AS41" i="67"/>
  <c r="AT41" i="67" s="1"/>
  <c r="AR37" i="67"/>
  <c r="AS29" i="67"/>
  <c r="AT29" i="67" s="1"/>
  <c r="AS12" i="67"/>
  <c r="AT12" i="67" s="1"/>
  <c r="AS35" i="67"/>
  <c r="AT35" i="67" s="1"/>
  <c r="AS33" i="67"/>
  <c r="AT33" i="67" s="1"/>
  <c r="AS31" i="67"/>
  <c r="AT31" i="67" s="1"/>
  <c r="AS26" i="67"/>
  <c r="AT26" i="67" s="1"/>
  <c r="AR23" i="67"/>
  <c r="AS11" i="67"/>
  <c r="AT11" i="67" s="1"/>
  <c r="AS32" i="67"/>
  <c r="AT32" i="67" s="1"/>
  <c r="AS16" i="67"/>
  <c r="AT16" i="67" s="1"/>
  <c r="AR9" i="67"/>
  <c r="AS20" i="67"/>
  <c r="AT20" i="67" s="1"/>
  <c r="AS14" i="67"/>
  <c r="AT14" i="67" s="1"/>
  <c r="AS18" i="67"/>
  <c r="AT18" i="67" s="1"/>
  <c r="AR356" i="67"/>
  <c r="AS17" i="67"/>
  <c r="AT17" i="67" s="1"/>
  <c r="AS19" i="67"/>
  <c r="AT19" i="67" s="1"/>
  <c r="AS13" i="67"/>
  <c r="AT13" i="67" s="1"/>
  <c r="AS15" i="67"/>
  <c r="AT15" i="67" s="1"/>
  <c r="AS109" i="67"/>
  <c r="AT109" i="67" s="1"/>
  <c r="AS38" i="67"/>
  <c r="AT38" i="67" s="1"/>
  <c r="AS24" i="67"/>
  <c r="AT24" i="67" s="1"/>
  <c r="AS22" i="67"/>
  <c r="AT22" i="67" s="1"/>
  <c r="AD21" i="67"/>
  <c r="AS21" i="67" s="1"/>
  <c r="AT21" i="67" s="1"/>
  <c r="AA356" i="67"/>
  <c r="AC356" i="67"/>
  <c r="AS10" i="67"/>
  <c r="AT10" i="67" s="1"/>
  <c r="V356" i="67"/>
  <c r="Y356" i="67"/>
  <c r="AB356" i="67"/>
  <c r="S356" i="67"/>
  <c r="W356" i="67"/>
  <c r="U356" i="67"/>
  <c r="X356" i="67"/>
  <c r="Z356" i="67"/>
  <c r="T356" i="67"/>
  <c r="R356" i="67"/>
  <c r="M50" i="48"/>
  <c r="S49" i="48"/>
  <c r="S53" i="55"/>
  <c r="M53" i="55"/>
  <c r="S52" i="48"/>
  <c r="M53" i="48"/>
  <c r="S53" i="48" l="1"/>
  <c r="V53" i="48" s="1"/>
  <c r="V52" i="48"/>
  <c r="S50" i="48"/>
  <c r="V50" i="48" s="1"/>
  <c r="V49" i="48"/>
  <c r="AD356" i="67"/>
  <c r="AS108" i="67"/>
  <c r="AT108" i="67" s="1"/>
  <c r="AS23" i="67"/>
  <c r="AT23" i="67" s="1"/>
  <c r="AS37" i="67"/>
  <c r="AT37" i="67" s="1"/>
  <c r="AS9" i="67"/>
  <c r="AT9" i="67" s="1"/>
  <c r="AS356" i="67" l="1"/>
  <c r="AT356" i="67" s="1"/>
  <c r="AK47" i="42"/>
  <c r="AK68" i="42" s="1"/>
  <c r="AR47" i="42" l="1"/>
  <c r="AQ68" i="42"/>
  <c r="L108" i="64"/>
  <c r="L126" i="64" s="1"/>
  <c r="L127" i="64" s="1"/>
  <c r="F40" i="55"/>
  <c r="AQ47" i="42"/>
  <c r="AR68" i="42" l="1"/>
  <c r="F38" i="55"/>
  <c r="F40" i="48"/>
  <c r="F43" i="55" l="1"/>
  <c r="F38" i="48"/>
  <c r="F62" i="55"/>
  <c r="F58" i="55"/>
  <c r="F57" i="55" l="1"/>
  <c r="F59" i="55"/>
  <c r="F61" i="55"/>
  <c r="F63" i="55"/>
  <c r="F62" i="48"/>
  <c r="F58" i="48"/>
  <c r="F47" i="55"/>
  <c r="F43" i="48"/>
  <c r="U43" i="48" s="1"/>
  <c r="F49" i="55" l="1"/>
  <c r="F52" i="55" s="1"/>
  <c r="F47" i="48"/>
  <c r="U47" i="48" s="1"/>
  <c r="F59" i="48"/>
  <c r="F57" i="48"/>
  <c r="F61" i="48"/>
  <c r="F63" i="48"/>
  <c r="F50" i="55" l="1"/>
  <c r="F50" i="48" s="1"/>
  <c r="U50" i="48" s="1"/>
  <c r="F49" i="48"/>
  <c r="U49" i="48" s="1"/>
  <c r="F53" i="55" l="1"/>
  <c r="F53" i="48" s="1"/>
  <c r="U53" i="48" s="1"/>
  <c r="F52" i="48"/>
  <c r="U52" i="48" s="1"/>
  <c r="AS8" i="69"/>
  <c r="AS115" i="69"/>
  <c r="AS92" i="69"/>
  <c r="AS78" i="69"/>
  <c r="AS64" i="69"/>
  <c r="AS50" i="69"/>
  <c r="AS36" i="69"/>
  <c r="AS22" i="69"/>
  <c r="AS91" i="69"/>
  <c r="AS77" i="69"/>
  <c r="AS63" i="69"/>
  <c r="AS49" i="69"/>
  <c r="AS21" i="69"/>
  <c r="AS90" i="69"/>
  <c r="AS76" i="69"/>
  <c r="AS20" i="69"/>
  <c r="AS89" i="69"/>
  <c r="AS75" i="69"/>
  <c r="AS61" i="69"/>
  <c r="AS47" i="69"/>
  <c r="AS19" i="69"/>
  <c r="AS88" i="69"/>
  <c r="AS74" i="69"/>
  <c r="AS60" i="69"/>
  <c r="AS46" i="69"/>
  <c r="AS18" i="69"/>
  <c r="AS101" i="69"/>
  <c r="AS87" i="69"/>
  <c r="AS59" i="69"/>
  <c r="AS45" i="69"/>
  <c r="AS31" i="69"/>
  <c r="AS17" i="69"/>
  <c r="AS100" i="69"/>
  <c r="AS86" i="69"/>
  <c r="AS72" i="69"/>
  <c r="AS58" i="69"/>
  <c r="AS44" i="69"/>
  <c r="AS30" i="69"/>
  <c r="AS99" i="69"/>
  <c r="AS85" i="69"/>
  <c r="AS71" i="69"/>
  <c r="AS43" i="69"/>
  <c r="AS29" i="69"/>
  <c r="AS15" i="69"/>
  <c r="AS84" i="69"/>
  <c r="AS70" i="69"/>
  <c r="AS56" i="69"/>
  <c r="AS42" i="69"/>
  <c r="AS28" i="69"/>
  <c r="AS14" i="69"/>
  <c r="AS97" i="69"/>
  <c r="AS83" i="69"/>
  <c r="AS69" i="69"/>
  <c r="AS55" i="69"/>
  <c r="AS41" i="69"/>
  <c r="AS27" i="69"/>
  <c r="AS13" i="69"/>
  <c r="AS35" i="69"/>
  <c r="AS33" i="69"/>
  <c r="AS73" i="69"/>
  <c r="AS16" i="69"/>
  <c r="AS98" i="69"/>
  <c r="AS96" i="69"/>
  <c r="AS82" i="69"/>
  <c r="AS68" i="69"/>
  <c r="AS54" i="69"/>
  <c r="AS40" i="69"/>
  <c r="AS26" i="69"/>
  <c r="AS12" i="69"/>
  <c r="AS114" i="69"/>
  <c r="AS34" i="69"/>
  <c r="AS32" i="69"/>
  <c r="AS81" i="69"/>
  <c r="AS67" i="69"/>
  <c r="AS53" i="69"/>
  <c r="AS11" i="69"/>
  <c r="AS62" i="69"/>
  <c r="AS95" i="69"/>
  <c r="AS25" i="69"/>
  <c r="AS94" i="69"/>
  <c r="AS80" i="69"/>
  <c r="AS66" i="69"/>
  <c r="AS52" i="69"/>
  <c r="AS38" i="69"/>
  <c r="AS24" i="69"/>
  <c r="AS10" i="69"/>
  <c r="AS48" i="69"/>
  <c r="AS39" i="69"/>
  <c r="AS93" i="69"/>
  <c r="AS79" i="69"/>
  <c r="AS65" i="69"/>
  <c r="AS51" i="69"/>
  <c r="AS37" i="69"/>
  <c r="AS23" i="69"/>
  <c r="AS113" i="69"/>
  <c r="AS9" i="69"/>
  <c r="AS116" i="69" l="1"/>
  <c r="AS118" i="69" s="1"/>
  <c r="AR116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Cẩm, Lương Thị Thanh</author>
  </authors>
  <commentList>
    <comment ref="D22" authorId="0" shapeId="0" xr:uid="{C4893BBF-E603-47C5-88CD-CC532808D5B5}">
      <text>
        <r>
          <rPr>
            <sz val="9"/>
            <color indexed="81"/>
            <rFont val="Tahoma"/>
            <family val="2"/>
          </rPr>
          <t xml:space="preserve">Xe nâng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F8" authorId="0" shapeId="0" xr:uid="{4411AEC6-F4C1-4BE7-8EE4-D0474FB71A4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Luong + ngoai gio + BHXH</t>
        </r>
      </text>
    </comment>
    <comment ref="F9" authorId="0" shapeId="0" xr:uid="{169D0A23-6DE3-48D4-80FA-D7D2EFB7E14B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chu yeu la ld nữ</t>
        </r>
      </text>
    </comment>
    <comment ref="F12" authorId="0" shapeId="0" xr:uid="{25D82036-1218-4520-B5CB-8D4A73864D00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dao: 150 trieu, thue xe cẩu: 10 triệu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C42" authorId="0" shapeId="0" xr:uid="{6A7E100E-AD30-42C1-8393-4900D0899674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Chi phí Nguyên vật liệu chính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  <author>Ngân, Lê Thùy</author>
  </authors>
  <commentList>
    <comment ref="E90" authorId="0" shapeId="0" xr:uid="{8A09100F-4DA0-4AA6-A6A1-E0412D9D1EEC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dap han truc, hu dot xuat</t>
        </r>
      </text>
    </comment>
    <comment ref="D157" authorId="1" shapeId="0" xr:uid="{CB09F802-E823-4B32-AEC8-D2E0F63A37A0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W23" authorId="0" shapeId="0" xr:uid="{C0478B5A-BBA0-49A8-9DD1-758D5E8E5FEB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tien cua KTT cu</t>
        </r>
      </text>
    </comment>
    <comment ref="W57" authorId="0" shapeId="0" xr:uid="{4A2F18DB-7F9B-47CA-86A7-3EC9A3D4AEC7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li xi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D53" authorId="0" shapeId="0" xr:uid="{99A378B9-7059-4F8A-9ACC-51569B140381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  <comment ref="C56" authorId="0" shapeId="0" xr:uid="{5C4FBCBA-94AF-46CF-86F5-92E4C31E1977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SẢN XUẤT K CÓ MÃ
</t>
        </r>
      </text>
    </comment>
    <comment ref="J56" authorId="0" shapeId="0" xr:uid="{43C15928-26FA-4206-B443-93065335EA6B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SẢN XUẤT K CÓ MÃ
</t>
        </r>
      </text>
    </comment>
    <comment ref="F111" authorId="0" shapeId="0" xr:uid="{17F37C14-5F49-4C76-A0AA-A93B1323BDC1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Per Diem, Traveling and Others Expense-Local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D53" authorId="0" shapeId="0" xr:uid="{E3DFC99C-A542-4F0F-9F6C-05BB7EDE2AF1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O10" authorId="0" shapeId="0" xr:uid="{00ADFC8C-B9E1-4726-A761-2C341E5EA567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1" authorId="0" shapeId="0" xr:uid="{AD55FD3E-3130-4E4E-9A63-46A17D85538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2" authorId="0" shapeId="0" xr:uid="{97E28CEC-6CCC-45CB-AA01-736EA24E176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3" authorId="0" shapeId="0" xr:uid="{A2A89737-FF2F-4CA2-8433-C3716CBD453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4" authorId="0" shapeId="0" xr:uid="{ED7BB6E2-1732-4A71-8314-0376FAB760D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6" authorId="0" shapeId="0" xr:uid="{A7393986-1177-4BB7-8ADE-CF2189E63AA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7" authorId="0" shapeId="0" xr:uid="{A73BF6E5-F8A2-4E88-9A1E-438FFFCB7E46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8" authorId="0" shapeId="0" xr:uid="{7139EC13-96DD-40F3-A75B-3DB181AA6C23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9" authorId="0" shapeId="0" xr:uid="{A120EF13-5A53-4E4B-8153-4AF799A8C3E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0" authorId="0" shapeId="0" xr:uid="{84CD17B6-8800-41EA-86DE-E5B85E7AB612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36 sang 144</t>
        </r>
      </text>
    </comment>
    <comment ref="O22" authorId="0" shapeId="0" xr:uid="{1E9181AE-FEB9-47EA-BD09-615AA48BC8C2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3" authorId="0" shapeId="0" xr:uid="{4C674589-F62F-4F2A-B7CD-667C1BFA988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4" authorId="0" shapeId="0" xr:uid="{2C0EC077-A1EE-4FA3-A188-2DD873AE1C96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5" authorId="0" shapeId="0" xr:uid="{972AF7CE-F830-45BF-A80C-66606CAA253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6" authorId="0" shapeId="0" xr:uid="{C66D3376-1DBE-45C2-AA0B-DA4339BEAF7E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7" authorId="0" shapeId="0" xr:uid="{D763013F-0F78-48FF-96BC-AFF1022FA2E1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8" authorId="0" shapeId="0" xr:uid="{C141F4E6-5375-490F-A403-B5DFE615A08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qua 120</t>
        </r>
      </text>
    </comment>
    <comment ref="O29" authorId="0" shapeId="0" xr:uid="{5BC5AC97-7480-45ED-AD37-74A732F0697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31" authorId="0" shapeId="0" xr:uid="{CEF55C59-BE63-4B85-842D-9D4454EAE6D0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qua 120</t>
        </r>
      </text>
    </comment>
    <comment ref="O32" authorId="0" shapeId="0" xr:uid="{1DF5954E-92EE-47C5-AEEF-1A9194DAFA7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qua 120</t>
        </r>
      </text>
    </comment>
    <comment ref="O34" authorId="0" shapeId="0" xr:uid="{734242D9-F797-481A-BF16-F06CF58681A1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5" authorId="0" shapeId="0" xr:uid="{2239B03A-4FBA-48E2-B68B-9D30C46977F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6" authorId="0" shapeId="0" xr:uid="{822DD10C-8714-4CD5-AD11-DC2670DA70D3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7" authorId="0" shapeId="0" xr:uid="{3780C102-185C-4D0A-A0D2-1CDCA332A1B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8" authorId="0" shapeId="0" xr:uid="{490EF953-63FF-40E8-9974-4EF6C3442F7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9" authorId="0" shapeId="0" xr:uid="{4182C4AE-0B1B-438A-AC2B-374B5CE5E65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40" authorId="0" shapeId="0" xr:uid="{B54E1359-7427-4568-AC77-085AA3B33D8D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41" authorId="0" shapeId="0" xr:uid="{039E3671-600C-4AD5-A31F-A0F5D9F88EB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43" authorId="0" shapeId="0" xr:uid="{A3B317AB-963E-45F3-B378-17934332FDFB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dieu chinh tu 60 thang qua 120 thang</t>
        </r>
      </text>
    </comment>
    <comment ref="O44" authorId="0" shapeId="0" xr:uid="{921E48C3-ADD9-4EB3-92F4-C5E633D4276C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dieu chinh tu 60 thang qua 120 thang</t>
        </r>
      </text>
    </comment>
    <comment ref="O45" authorId="0" shapeId="0" xr:uid="{1E10985E-BC22-4056-AFAF-6F426D3429C3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dieu chinh tu 60 thang qua 120 thang</t>
        </r>
      </text>
    </comment>
    <comment ref="O46" authorId="0" shapeId="0" xr:uid="{BD9E4089-F28D-4317-8111-446EFD624F35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48 sang 120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D50" authorId="0" shapeId="0" xr:uid="{EE4531F2-B308-47BE-84B1-83ED49DD482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Bảo trì phần mềm kế toán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<sst xmlns="http://schemas.openxmlformats.org/spreadsheetml/2006/main" count="12520" uniqueCount="2261">
  <si>
    <t>STT</t>
  </si>
  <si>
    <t>Đơn giá</t>
  </si>
  <si>
    <t>I</t>
  </si>
  <si>
    <t>Chi phí nhân công</t>
  </si>
  <si>
    <t>II</t>
  </si>
  <si>
    <t>Chi phí nguyên vật liệu</t>
  </si>
  <si>
    <t>Hao hụt</t>
  </si>
  <si>
    <t>Định phí</t>
  </si>
  <si>
    <t>Biến phí</t>
  </si>
  <si>
    <t>III</t>
  </si>
  <si>
    <t>Chi phí sản xuất chung</t>
  </si>
  <si>
    <t>ĐVT</t>
  </si>
  <si>
    <t>Kg</t>
  </si>
  <si>
    <t>Người</t>
  </si>
  <si>
    <t>Dây đai</t>
  </si>
  <si>
    <t>Chi phí nước sinh hoạt</t>
  </si>
  <si>
    <t>Chi phí thuê xưởng</t>
  </si>
  <si>
    <t>IV</t>
  </si>
  <si>
    <t>V</t>
  </si>
  <si>
    <t>Chi phí quản lý</t>
  </si>
  <si>
    <t>A</t>
  </si>
  <si>
    <t>B</t>
  </si>
  <si>
    <t>Tấn</t>
  </si>
  <si>
    <t>Điện sản xuất</t>
  </si>
  <si>
    <t>%</t>
  </si>
  <si>
    <t>Khác</t>
  </si>
  <si>
    <t>Nhân sự</t>
  </si>
  <si>
    <t>Kế toán kho</t>
  </si>
  <si>
    <t>Ép kiện</t>
  </si>
  <si>
    <t>Sản xuất</t>
  </si>
  <si>
    <t>C</t>
  </si>
  <si>
    <t>Tổng</t>
  </si>
  <si>
    <t>Chai PET B2.2</t>
  </si>
  <si>
    <t>Chai PET B5</t>
  </si>
  <si>
    <t>Chai PET B4</t>
  </si>
  <si>
    <t>Chai PET B1</t>
  </si>
  <si>
    <t>Chai PET B3</t>
  </si>
  <si>
    <t>Chai PET B6.1</t>
  </si>
  <si>
    <t>Chai PET B6.2</t>
  </si>
  <si>
    <t>Chai PET B2.1</t>
  </si>
  <si>
    <t>Người lập</t>
  </si>
  <si>
    <t>TỔNG:</t>
  </si>
  <si>
    <t>Chai PET B1.3</t>
  </si>
  <si>
    <t>Hao hụt vô hình (nước, đất, ..)</t>
  </si>
  <si>
    <t>CHAI B1.4 (XÔ TUYỂN)</t>
  </si>
  <si>
    <t>Nắp tuyển nổi</t>
  </si>
  <si>
    <t>Bụi cám + nhãn</t>
  </si>
  <si>
    <t>Mấy kg</t>
  </si>
  <si>
    <t>Tổng hao hụt</t>
  </si>
  <si>
    <t>Tỷ lệ vảy thành phẩm</t>
  </si>
  <si>
    <t>Trưởng trạm thu mua</t>
  </si>
  <si>
    <t>Kế toán trưởng</t>
  </si>
  <si>
    <t>Đồng/kg</t>
  </si>
  <si>
    <t>Vảy PET B4</t>
  </si>
  <si>
    <t>Vảy PET B5</t>
  </si>
  <si>
    <t>Vảy PET B2.2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</si>
  <si>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</si>
  <si>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</si>
  <si>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</si>
  <si>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</si>
  <si>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</si>
  <si>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</si>
  <si>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</si>
  <si>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</si>
  <si>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</si>
  <si>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</si>
  <si>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</si>
  <si>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</si>
  <si>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Nhãn</t>
  </si>
  <si>
    <t>Tạp chất (ly mũ, ống hút, PET màu, trắng sữa, chai dín nhớt, nylong ….: loại trên chuyền)</t>
  </si>
  <si>
    <t>KHNS 2025 đã duyệt</t>
  </si>
  <si>
    <t>NHU CẦU MUA NGUYÊN VẬT LIỆU CHAI</t>
  </si>
  <si>
    <t>Loại chai nguyên liệu</t>
  </si>
  <si>
    <t>Chai B1.4 (xô tuyển)</t>
  </si>
  <si>
    <t>Tổng:</t>
  </si>
  <si>
    <t>1. Số lượng</t>
  </si>
  <si>
    <t>a</t>
  </si>
  <si>
    <t>b</t>
  </si>
  <si>
    <t>Giá chai</t>
  </si>
  <si>
    <t>Chi phí mua (các chính sách mua hàng)</t>
  </si>
  <si>
    <t>i. Tỷ lệ chai</t>
  </si>
  <si>
    <t>Thành phẩm (chai sau phân loại)</t>
  </si>
  <si>
    <t>ĐVT: Tấn</t>
  </si>
  <si>
    <t>DOANH THU</t>
  </si>
  <si>
    <t>Chi phí dịch vụ môi trường</t>
  </si>
  <si>
    <t>BIẾN PHÍ</t>
  </si>
  <si>
    <t>ĐỊNH PHÍ</t>
  </si>
  <si>
    <t xml:space="preserve">Xăng dầu xe nâng   </t>
  </si>
  <si>
    <t>Chi phí bảo vệ</t>
  </si>
  <si>
    <t>Chi phí thuê xe đưa rước</t>
  </si>
  <si>
    <t>Chi phí xây dựng sửa chữa VP</t>
  </si>
  <si>
    <t>Chi phí in ấn, VPP</t>
  </si>
  <si>
    <t>Chi phí internet, điện thoại, CPN</t>
  </si>
  <si>
    <t>Chi phí công tác</t>
  </si>
  <si>
    <t>Chi phí tiếp khách</t>
  </si>
  <si>
    <t>Chi phí hội nghị, hội thảo</t>
  </si>
  <si>
    <t>Chi phí bằng tiền khác</t>
  </si>
  <si>
    <t>Chi phí điện văn phòng</t>
  </si>
  <si>
    <t>Chi phí nhân công trực tiếp</t>
  </si>
  <si>
    <t>TỔNG</t>
  </si>
  <si>
    <t>Mục phí</t>
  </si>
  <si>
    <t>XƯỞNG SẢN XUẤT</t>
  </si>
  <si>
    <t>Tự động hóa</t>
  </si>
  <si>
    <t>Văn phòng kỹ thuật</t>
  </si>
  <si>
    <t>Quản trị hệ thống</t>
  </si>
  <si>
    <t>Bảo vệ</t>
  </si>
  <si>
    <t>Hành chính</t>
  </si>
  <si>
    <t>Tạp vụ</t>
  </si>
  <si>
    <t>Tuyển dụng</t>
  </si>
  <si>
    <t>Lao động thuê ngoài</t>
  </si>
  <si>
    <t>Giám đốc</t>
  </si>
  <si>
    <t>Phó giám đốc</t>
  </si>
  <si>
    <t>Nhân viên mua hàng</t>
  </si>
  <si>
    <t>Quản lý sản xuất</t>
  </si>
  <si>
    <t>Trưởng phòng sản xuất</t>
  </si>
  <si>
    <t>Phó phòng sản xuất</t>
  </si>
  <si>
    <t>Trợ lý giám đốc</t>
  </si>
  <si>
    <t>VI</t>
  </si>
  <si>
    <t>Chăm sóc cây xanh</t>
  </si>
  <si>
    <t>Ban An Toàn và 5S</t>
  </si>
  <si>
    <t>Kế toán tổng hợp</t>
  </si>
  <si>
    <t>Kiểm soát NVL</t>
  </si>
  <si>
    <t>Kiểm soát thành phẩm</t>
  </si>
  <si>
    <t>Xử lý nước thải</t>
  </si>
  <si>
    <t>Điện, nước sản xuất</t>
  </si>
  <si>
    <t>Bảo trì MMTB, thay dao</t>
  </si>
  <si>
    <t>Thống kê sản xuất</t>
  </si>
  <si>
    <t>Thống kê kỹ thuật</t>
  </si>
  <si>
    <t>c</t>
  </si>
  <si>
    <t>d</t>
  </si>
  <si>
    <t>VII</t>
  </si>
  <si>
    <t>VIII</t>
  </si>
  <si>
    <t>Phòng ban</t>
  </si>
  <si>
    <t>Trưởng ca sản xuất (theo ca sx)</t>
  </si>
  <si>
    <t>Vận hành MMTB (theo ca sx)</t>
  </si>
  <si>
    <t>Lao động định biên</t>
  </si>
  <si>
    <t>Phân loại</t>
  </si>
  <si>
    <t>BAN GIÁM ĐỐC (642)</t>
  </si>
  <si>
    <t>VĂN PHÒNG GIÁM ĐỐC (642)</t>
  </si>
  <si>
    <t>CUNG ỨNG (642)</t>
  </si>
  <si>
    <t>HÀNH CHÍNH NHÂN SỰ (642)</t>
  </si>
  <si>
    <t>KẾ TOÁN (642)</t>
  </si>
  <si>
    <t>Quản lý sản xuất (627)</t>
  </si>
  <si>
    <t>Bộ phận kho (627)</t>
  </si>
  <si>
    <t>Công nhân trực tiếp sản xuất (622)</t>
  </si>
  <si>
    <t>KỸ THUẬT (627)</t>
  </si>
  <si>
    <t>KIỂM SOÁT CHẤT LƯỢNG (627)</t>
  </si>
  <si>
    <t>Trong đó: Định phí</t>
  </si>
  <si>
    <t>Lương BQ/người/ tháng</t>
  </si>
  <si>
    <t>Tài khoản</t>
  </si>
  <si>
    <t>627</t>
  </si>
  <si>
    <t>Trong đó: 622</t>
  </si>
  <si>
    <t>Dầu xe nâng</t>
  </si>
  <si>
    <t>Định mức</t>
  </si>
  <si>
    <t>Công đoạn sản xuất</t>
  </si>
  <si>
    <t>Cấp liệu</t>
  </si>
  <si>
    <t>Lồng tách tạp chất</t>
  </si>
  <si>
    <t>Lựa phân loại chai</t>
  </si>
  <si>
    <t>Lựa phân loại chai sau tách nhãn</t>
  </si>
  <si>
    <t>Tách nhãn</t>
  </si>
  <si>
    <t>Định mức nhân công
(Số NV / Ca8)</t>
  </si>
  <si>
    <t>Diễn giải</t>
  </si>
  <si>
    <t>Định mức NVL đầu vào:</t>
  </si>
  <si>
    <t>kg/giờ</t>
  </si>
  <si>
    <t>kg/giờ/người</t>
  </si>
  <si>
    <t>Năng suất THIẾT KẾ
(Kg NVL đầu vào / giờ)</t>
  </si>
  <si>
    <t>Năng suất ĐỊNH MỨC
(Kg NVL đầu vào / giờ)</t>
  </si>
  <si>
    <t>Định mức thành phẩm/người:</t>
  </si>
  <si>
    <t>Định mức thành phẩm:</t>
  </si>
  <si>
    <t>Công suất thành phẩm cả chuyền</t>
  </si>
  <si>
    <t>Tổng nhân sự:</t>
  </si>
  <si>
    <t>Hao hụt:</t>
  </si>
  <si>
    <t>Chi phí vận chuyển</t>
  </si>
  <si>
    <t>Lít/giờ hoạt động</t>
  </si>
  <si>
    <t>Chi phí/1kg thành phẩm</t>
  </si>
  <si>
    <t>Phá kiện
(thủ công bằng tay)</t>
  </si>
  <si>
    <t>ĐM 1 giờ</t>
  </si>
  <si>
    <t>ĐM 1 Ca8</t>
  </si>
  <si>
    <t>ĐM 1 Ca12</t>
  </si>
  <si>
    <t>ĐM 2 Ca8</t>
  </si>
  <si>
    <t>ĐM 2 Ca12</t>
  </si>
  <si>
    <t>Chỉ tiêu định mức</t>
  </si>
  <si>
    <t>Kw/1chuyền/1giờ hoạt động</t>
  </si>
  <si>
    <t>TỔNG (1+2)</t>
  </si>
  <si>
    <t>1</t>
  </si>
  <si>
    <t xml:space="preserve">DOANH THU </t>
  </si>
  <si>
    <t>BIẾN PHÍ SẢN XUẤT</t>
  </si>
  <si>
    <t>Nhân công trực tiếp</t>
  </si>
  <si>
    <t>BIẾN PHÍ BÁN HÀNG</t>
  </si>
  <si>
    <t>LÃI SAU BIẾN PHÍ</t>
  </si>
  <si>
    <t>CHI PHÍ SẢN XUẤT CHUNG</t>
  </si>
  <si>
    <t>Lương gián tiếp Sản xuất</t>
  </si>
  <si>
    <t>LỢI NHUẬN GỘP</t>
  </si>
  <si>
    <t>% lãi gộp/doanh thu</t>
  </si>
  <si>
    <t>CHI PHÍ BÁN HÀNG &amp; MKT &amp; R&amp;D</t>
  </si>
  <si>
    <t>Lương</t>
  </si>
  <si>
    <t>Khấu hao tài sản</t>
  </si>
  <si>
    <t>CHI PHÍ QUẢN LÝ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</si>
  <si>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</si>
  <si>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</si>
  <si>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</si>
  <si>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</si>
  <si>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</si>
  <si>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</si>
  <si>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</si>
  <si>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</si>
  <si>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18.1</t>
  </si>
  <si>
    <t>% LNST/doanh thu</t>
  </si>
  <si>
    <t>LỢI NHUẬN KHÔNG BAO GỒM KHẤU HAO, LÃI VAY</t>
  </si>
  <si>
    <t>1.1</t>
  </si>
  <si>
    <t>1.2</t>
  </si>
  <si>
    <t>1.3</t>
  </si>
  <si>
    <t>2.2</t>
  </si>
  <si>
    <t>2.3</t>
  </si>
  <si>
    <t>2.1</t>
  </si>
  <si>
    <t>2.4</t>
  </si>
  <si>
    <t>3.1.1</t>
  </si>
  <si>
    <t>3.1.2</t>
  </si>
  <si>
    <t>3.1.3</t>
  </si>
  <si>
    <t>3.1.4</t>
  </si>
  <si>
    <t>Nguyên vật liệu phụ</t>
  </si>
  <si>
    <t>Chi phí sản xuất (Ngoài lương, BOM, thuê xưởng, khấu hao)</t>
  </si>
  <si>
    <t>% LN không gồm khấu hao/doanh thu</t>
  </si>
  <si>
    <t>7.1</t>
  </si>
  <si>
    <t>16.1</t>
  </si>
  <si>
    <t>LĐ định biên</t>
  </si>
  <si>
    <t>LĐ thời vụ</t>
  </si>
  <si>
    <t>Giờ công/ca 8</t>
  </si>
  <si>
    <t>SẢN LƯỢNG BÁN (TẤN)</t>
  </si>
  <si>
    <t>Chi phí bán hàng (ngoài lương, khấu hao)</t>
  </si>
  <si>
    <t>Chi phí quản lý (ngoài lương, khấu hao)</t>
  </si>
  <si>
    <t>ĐVT: người</t>
  </si>
  <si>
    <t>Tham chiếu</t>
  </si>
  <si>
    <t>ĐVT: Triệu đồng</t>
  </si>
  <si>
    <t>Triệu đ</t>
  </si>
  <si>
    <t>Nhóm công việc</t>
  </si>
  <si>
    <t>Kế hoạch hành động</t>
  </si>
  <si>
    <t>Người thực hiện</t>
  </si>
  <si>
    <t>Đánh giá KQ đạt được (cập nhật đến thời điểm báo cáo)</t>
  </si>
  <si>
    <t>Mục tiêu T4</t>
  </si>
  <si>
    <t>Mục tiêu T5</t>
  </si>
  <si>
    <t>Mục tiêu T6</t>
  </si>
  <si>
    <t>Mục tiêu T7</t>
  </si>
  <si>
    <t>Mục tiêu T8</t>
  </si>
  <si>
    <t>Mục tiêu T9</t>
  </si>
  <si>
    <t>Mục tiêu T10</t>
  </si>
  <si>
    <t>Mục tiêu T11</t>
  </si>
  <si>
    <t>Mục tiêu T12</t>
  </si>
  <si>
    <t>Theo số tiền phát sinh</t>
  </si>
  <si>
    <t>Theo mức độ hoạt động</t>
  </si>
  <si>
    <t>Định mức NCTT</t>
  </si>
  <si>
    <t>Năng suất lao động</t>
  </si>
  <si>
    <t>Chi phí điện</t>
  </si>
  <si>
    <t>Chi phí xe nâng</t>
  </si>
  <si>
    <t>Hóa chất</t>
  </si>
  <si>
    <t>3.1.5</t>
  </si>
  <si>
    <t>Kiểm soát tồn kho thành phẩm</t>
  </si>
  <si>
    <t>Lập KH giao hàng về DTR hàng ngày, ngày cuối tháng không để tồn kho và xuất hóa đơn 100%</t>
  </si>
  <si>
    <t>Chi phí thuê xe vận chuyển</t>
  </si>
  <si>
    <t xml:space="preserve">- Đàm phán giảm giá, đề nghị NCC sử dụng phương tiện vận chuyển hiệu quả.
- Tìm NCC mới cạnh tranh. </t>
  </si>
  <si>
    <t>Thanh toán trong ngày và cuối tuần</t>
  </si>
  <si>
    <t>Chi phí theo mục phí (ngoài chi phí lương)</t>
  </si>
  <si>
    <t>- Lập danh mục chi phí dịch vụ thuê/mua trả tiền định kỳ (nhóm dịch vụ/phòng ban quản lý, tên NCC, hợp đồng mới nhất, tiền trả định kỳ tháng/quý/năm, thời hạn công nợ) -&gt; đàm phán từng NC giảm giá và tìm NCC mới cạnh tranh
- XD định mức chi phí cho các khoản mục có thể xác lập định mức
- Phân tích chi phí, nguyên nhân tăng/giảm và giải pháp cải tiến.</t>
  </si>
  <si>
    <t>Xử lý phế liệu, phó sản thu hồi</t>
  </si>
  <si>
    <t>Phân loại phế liệu thành 2 nhóm:
- Nhóm hàng hóa (nhãn, bao jumbo, kim loại,…): tìm đơn vị thu mua giá cao
- Nhóm rác thải công nghiệp (bùn, hỗn hợp tạp chất): thuê thu gom</t>
  </si>
  <si>
    <t>- Thống kê và thực hiện cải tiến tiêu hao.
- Mua tập trung tại P.Mua hàng DTR.</t>
  </si>
  <si>
    <t>- Phối hợp kỹ thuật bảo trì MMTB đảm bảo hoạt động liên tục -&gt; tăng hiệu quả sử dụng điện và tăng năng suất lao động.</t>
  </si>
  <si>
    <t>- Chuyển dần xe nâng dầu từ DTR về các Trạm (các xe của trạm sửa chữa nhiều sẽ thanh lý)</t>
  </si>
  <si>
    <t>Chi phí khấu hao TSCĐ, CCDC, chi phí phân bổ khác</t>
  </si>
  <si>
    <t xml:space="preserve">- Thống kê, đánh giá lại hiệu quả sử dụng tất cả TS.
- Tách chi phí khấu hao/phân bổ không phục vụ trực tiếp hoạt động để đánh giá hiệu quả KD thực của trạm. </t>
  </si>
  <si>
    <t>- Tìm vị trí và đề xuất phương án di dời nhà máy để giảm tiền thu, tăng hiệu quả thu mua.</t>
  </si>
  <si>
    <t>- Kiểm soát định mức NCTT theo chuyền/công đoạn.
- Thực hiện tiêu chuẩn hóa/tự động hóa MMTB để giảm nhân công, tăng năng suất.
- Tăng số lượng lao động thời vụ.
- Tính toán phương án trả lương/ thưởng theo sản lượng.</t>
  </si>
  <si>
    <t>HOẠT ĐỘNG MUA HÀNG</t>
  </si>
  <si>
    <t>Đáp ứng sản lượng mua cho Trạm</t>
  </si>
  <si>
    <t>Đàm phán tăng sản lượng mua từ các NCC đang giao dịch.</t>
  </si>
  <si>
    <t>Xây dựng các trạm vệ tinh để tăng lượng chai về Trạm.</t>
  </si>
  <si>
    <t>Phát triển thêm các NCC liên kết ở tỉnh.</t>
  </si>
  <si>
    <t>Lập mục tiêu sản lượng mua để Trạm đạt hòa vốn và có lãi.</t>
  </si>
  <si>
    <t>Cải thiện dịch vụ khách hàng</t>
  </si>
  <si>
    <t>Cải thiện thời gian nhận hàng</t>
  </si>
  <si>
    <t>HOẠT ĐỘNG BÁN HÀNG</t>
  </si>
  <si>
    <t>Giá bán về DTR</t>
  </si>
  <si>
    <t>HOẠT ĐỘNG CẢI TIẾN CHI PHÍ</t>
  </si>
  <si>
    <t>Kiểm soát lượng mua, giá mua</t>
  </si>
  <si>
    <t>- Lập mục tiêu tồn kho tối thiểu 10 ngày sản xuất và phối hợp P.Cung ứng lập KH mua hàng theo tuần.
- Kiểm soát giá mua tương ứng với từng mức chất lượng chai.</t>
  </si>
  <si>
    <t>Kiểm soát chất lượng NVL, hao hụt</t>
  </si>
  <si>
    <t xml:space="preserve"> Kiểm soát chất lượng chai (tỷ lệ chai nguyên liệu - Chai xá/xô tuyển, thành phần chai sau phân loại, tỷ lệ tạp chất).</t>
  </si>
  <si>
    <t>Kiểm soát định mức vật tư sản xuất (hóa chất, dây đai, vật tư kỹ thuật …)</t>
  </si>
  <si>
    <t>- Lập mục tiêu tăng thời gian sản xuất từ 8 giờ/ngày -&gt; 12 giờ -&gt; 16 giờ -&gt; 24 giờ.</t>
  </si>
  <si>
    <t>Mục tiêu lợi nhuận</t>
  </si>
  <si>
    <t>Chi phí lương (gồm gián tiếp SX)</t>
  </si>
  <si>
    <t>Tiền ăn giữa Ca</t>
  </si>
  <si>
    <t>Đồng/người</t>
  </si>
  <si>
    <t>Nguyên vật liệu chính (nhựa, gồm hao hụt)</t>
  </si>
  <si>
    <t>4.1</t>
  </si>
  <si>
    <t>% lãi biến phí/doanh thu</t>
  </si>
  <si>
    <t>3.1.6</t>
  </si>
  <si>
    <t>% chi phí nguyên liệu/doanh thu</t>
  </si>
  <si>
    <t>1. Sản lượng bán chai</t>
  </si>
  <si>
    <t>2. Giá bán chai</t>
  </si>
  <si>
    <t>3. Doanh thu chai</t>
  </si>
  <si>
    <t>1. Sản lượng vảy</t>
  </si>
  <si>
    <t>Vảy PET B1.3</t>
  </si>
  <si>
    <t>Vảy PET B6.2</t>
  </si>
  <si>
    <t>2. Giá bán vảy</t>
  </si>
  <si>
    <t>3. Doanh thu vảy PET</t>
  </si>
  <si>
    <t>Vảy - Băm B1</t>
  </si>
  <si>
    <t>Trong đó: i/ Hao hụt CĐ phân loại chai</t>
  </si>
  <si>
    <t xml:space="preserve">               ii/ Hao hụt CĐ băm vảy</t>
  </si>
  <si>
    <t>Bao jumbo</t>
  </si>
  <si>
    <t>Công nhân trực tiếp sản xuất - Băm vảy</t>
  </si>
  <si>
    <t>Chai PET B7.2</t>
  </si>
  <si>
    <t>Vảy PET B2.1</t>
  </si>
  <si>
    <t>Vảy PET B3</t>
  </si>
  <si>
    <t>Vảy PET B7.2</t>
  </si>
  <si>
    <t>CÔNG SUẤT</t>
  </si>
  <si>
    <t>II - ĐỊNH MỨC TIÊU HAO VẬT TƯ - BĂM VẢY PET</t>
  </si>
  <si>
    <t>III - ĐỊNH MỨC TIÊU HAO VẬT TƯ - BĂM VẢY HD</t>
  </si>
  <si>
    <t>Công suất băm HD</t>
  </si>
  <si>
    <t>Công suất băm PET</t>
  </si>
  <si>
    <t>Công suất lựa chai</t>
  </si>
  <si>
    <t>ĐỊNH MỨC CHI PHÍ</t>
  </si>
  <si>
    <t>ii Số lượng chai</t>
  </si>
  <si>
    <t>Giá mua bình quân</t>
  </si>
  <si>
    <t>Vảy - Băm B2/B3/B4/B5</t>
  </si>
  <si>
    <t>622</t>
  </si>
  <si>
    <t>Chi phí xử lý nước thải, môi trường</t>
  </si>
  <si>
    <t>Chai PET</t>
  </si>
  <si>
    <t>Vảy PET</t>
  </si>
  <si>
    <t>Vảy HD</t>
  </si>
  <si>
    <t>Công nhân trực tiếp sản xuất - Băm vảy PET</t>
  </si>
  <si>
    <t>Chai B1.4 (xô tuyển -&gt; ép kiện)</t>
  </si>
  <si>
    <t>Chai B0 - Xá tròn</t>
  </si>
  <si>
    <t>Chai B0 - Ép kiện</t>
  </si>
  <si>
    <t>CHAI B0 - Xá tròn</t>
  </si>
  <si>
    <t>CHAI B0 - Ép kiện</t>
  </si>
  <si>
    <t>Vảy - HD</t>
  </si>
  <si>
    <t>Lượng mua NVL vảy HD</t>
  </si>
  <si>
    <t>Lượng bán vảy HD</t>
  </si>
  <si>
    <t>Giá bán HD</t>
  </si>
  <si>
    <t>Doanh thu HD</t>
  </si>
  <si>
    <t>II - CHI PHÍ SẢN XUẤT - HD</t>
  </si>
  <si>
    <t>I - CHI PHÍ LƯƠNG - PET</t>
  </si>
  <si>
    <t>II - CHI PHÍ LƯƠNG - HD</t>
  </si>
  <si>
    <t>Công nhân trực tiếp sản xuất</t>
  </si>
  <si>
    <t>II - ĐỊNH BIÊN - HD</t>
  </si>
  <si>
    <t>Giá mua vảy HD</t>
  </si>
  <si>
    <t>Tổng giá trị HD</t>
  </si>
  <si>
    <t>iii Số lượng và giá trị mua vảy HD</t>
  </si>
  <si>
    <t>Chi phí nhân công trực tiếp (giờ công lao động)</t>
  </si>
  <si>
    <t>III - CÔNG SUẤT CHUYỀN LỰA CHAI - CHAI TUYỂN XÔ</t>
  </si>
  <si>
    <t>I - CÔNG SUẤT CHUYỀN LỰA CHAI - CHAI XÁ TRÒN</t>
  </si>
  <si>
    <t>II - CÔNG SUẤT CHUYỀN LỰA CHAI - CHAI ÉP KIỆN</t>
  </si>
  <si>
    <t>Xử lý phó sản, nắp, cổ chai</t>
  </si>
  <si>
    <t>VI - CÔNG SUẤT MÁY VÀ NĂNG SUẤT LAO ĐỘNG MỤC TIÊU</t>
  </si>
  <si>
    <t>CHUYỀN LỰA CHAI - CHAI XÁ TRÒN</t>
  </si>
  <si>
    <t>Số nhân sự/ chuyền/ ca</t>
  </si>
  <si>
    <t>Công suất/ chuyền</t>
  </si>
  <si>
    <t>CHUYỀN LỰA CHAI - CHAI ÉP KIỆN</t>
  </si>
  <si>
    <t>Công suất/chuyền (kg thành phẩm/ giờ)</t>
  </si>
  <si>
    <t>Năng suất lao động (kg thành phẩm/ người/ giờ):</t>
  </si>
  <si>
    <t>CHUYỀN LỰA CHAI - CHAI TUYỂN XÔ (có thể xử lý chạy trên chuyền chai tròn hoặc ép kiện)</t>
  </si>
  <si>
    <t>i</t>
  </si>
  <si>
    <t>Tổng công suất PET/giờ</t>
  </si>
  <si>
    <t>Công suất máy - Tính trên NVL đầu vào</t>
  </si>
  <si>
    <t>Công suất máy - Tính trên Thành phẩm SX</t>
  </si>
  <si>
    <t>ii</t>
  </si>
  <si>
    <t>kg/tháng</t>
  </si>
  <si>
    <t>Hiệu suất máy - Tính trên NVL đầu vào</t>
  </si>
  <si>
    <t>Tổng sản lượng chai mua vào</t>
  </si>
  <si>
    <t>Hiệu suất máy - Tính trên Thành phẩm SX</t>
  </si>
  <si>
    <t>Tổng sản lượng Thành phẩm SX</t>
  </si>
  <si>
    <t>Tổng công suất máy (thành phẩm)</t>
  </si>
  <si>
    <t>Thực tế năm 2024</t>
  </si>
  <si>
    <t>TỔNG CPQL</t>
  </si>
  <si>
    <t>TỔNG CHI PHÍ</t>
  </si>
  <si>
    <t>Sản lượng NVL hòa vốn (tấn)</t>
  </si>
  <si>
    <t>Sản lượng thành phẩm hòa vốn (tấn)</t>
  </si>
  <si>
    <t>Doanh thu hòa vốn (triệu đồng)</t>
  </si>
  <si>
    <t>iii</t>
  </si>
  <si>
    <t>VII - TỔNG CÔNG SUẤT MÁY PET và NĂNG SUẤT LAO ĐỘNG</t>
  </si>
  <si>
    <t>Năng suất lao động (CNTT)</t>
  </si>
  <si>
    <t>Năng suất lao động (Thực tế/ Định mức)</t>
  </si>
  <si>
    <t>Năng suất lao động - Tấn/người/ngày</t>
  </si>
  <si>
    <t>Tấn/người/ngày</t>
  </si>
  <si>
    <t>Năng suất lao động - Tấn/người/tháng</t>
  </si>
  <si>
    <t>Tấn/người/tháng</t>
  </si>
  <si>
    <t>Tấn/giờ</t>
  </si>
  <si>
    <t>Tấn/tháng</t>
  </si>
  <si>
    <t>Xử lý nước thải, bùn, nhãn chai PET</t>
  </si>
  <si>
    <t>Năng suất lao động - Thực tế (tấn/người/tháng)</t>
  </si>
  <si>
    <t>Năng suất lao động - Định mức (tấn/người/tháng)</t>
  </si>
  <si>
    <t>Duyệt</t>
  </si>
  <si>
    <t>Xem xét</t>
  </si>
  <si>
    <t>GĐĐH DTR</t>
  </si>
  <si>
    <t>GĐTC DTR</t>
  </si>
  <si>
    <t>Trưởng Trạm</t>
  </si>
  <si>
    <t>GĐ các trạm</t>
  </si>
  <si>
    <t>Logo CTY</t>
  </si>
  <si>
    <t>Mục tiêu 2026</t>
  </si>
  <si>
    <t>MỤC TIÊU KẾT QUẢ KINH DOANH NĂM 2026</t>
  </si>
  <si>
    <t>Chai PET B1 Không Phân Loại</t>
  </si>
  <si>
    <t>Chai PET B7.1</t>
  </si>
  <si>
    <t>Cổ Chai PET</t>
  </si>
  <si>
    <t>Nắp HD ép các màu</t>
  </si>
  <si>
    <t>KQKD 2025</t>
  </si>
  <si>
    <t>Vảy PET B1</t>
  </si>
  <si>
    <t>Vảy PET B1 Không Phân Loại</t>
  </si>
  <si>
    <t>Vảy PET B6.1</t>
  </si>
  <si>
    <t>Vảy PET B7.1</t>
  </si>
  <si>
    <t>Vảy cổ chai PET</t>
  </si>
  <si>
    <t>Vảy Nắp HD ép các màu</t>
  </si>
  <si>
    <t>Giá bán Trung bình</t>
  </si>
  <si>
    <t>Tổng công suất máy (NVL)</t>
  </si>
  <si>
    <t>Thành phẩm (Vảy sau khi băm)</t>
  </si>
  <si>
    <t>Vảy - Băm B6/B7</t>
  </si>
  <si>
    <t>Nhóm hao hụt</t>
  </si>
  <si>
    <r>
      <t xml:space="preserve">Hao hụt từ sản xuất chai </t>
    </r>
    <r>
      <rPr>
        <b/>
        <sz val="10"/>
        <color rgb="FF0000FF"/>
        <rFont val="Arial"/>
        <family val="2"/>
      </rPr>
      <t>B0 - Xá tròn</t>
    </r>
  </si>
  <si>
    <r>
      <t xml:space="preserve">Hao hụt từ sản xuất chai </t>
    </r>
    <r>
      <rPr>
        <b/>
        <sz val="10"/>
        <color rgb="FF0000FF"/>
        <rFont val="Arial"/>
        <family val="2"/>
      </rPr>
      <t>B0 - Ép kiện</t>
    </r>
  </si>
  <si>
    <r>
      <t xml:space="preserve">Hao hụt từ Sản xuất từ chai </t>
    </r>
    <r>
      <rPr>
        <b/>
        <sz val="10"/>
        <color rgb="FF0000FF"/>
        <rFont val="Arial"/>
        <family val="2"/>
      </rPr>
      <t>B1.4 (tuyển xô)</t>
    </r>
  </si>
  <si>
    <t>Hao hụt từ sản xuất Vảy</t>
  </si>
  <si>
    <t>2. Giá mua</t>
  </si>
  <si>
    <t>3. Tổng giá trị mua</t>
  </si>
  <si>
    <t>4. Hiệu suất máy (1ca 8giờ x 4ca 1 ngày x 30 ngày 1 tháng)</t>
  </si>
  <si>
    <t>5. Năng suất lao động (kg/người/tháng)</t>
  </si>
  <si>
    <t>Giá vốn NVL</t>
  </si>
  <si>
    <t>Tổng giá vốn</t>
  </si>
  <si>
    <t>Giá mua</t>
  </si>
  <si>
    <t>Chi phí điện sản xuất</t>
  </si>
  <si>
    <t>Chi phí vật liệu phục vụ SX</t>
  </si>
  <si>
    <t>Chi phí đồng phục</t>
  </si>
  <si>
    <t>Chi phí khen thưởng, bồi dưỡng khác</t>
  </si>
  <si>
    <t>Chi phí công cụ dụng cụ phục vụ SX</t>
  </si>
  <si>
    <t>Chi phí thuê nhà, văn phòng, xưởng, kho</t>
  </si>
  <si>
    <t>Chi phí dịch vụ, tư vấn</t>
  </si>
  <si>
    <t>Phân bổ công cụ dụng cụ</t>
  </si>
  <si>
    <t>Chi phí CCDC, thiết bị - Phục vụ quản lý</t>
  </si>
  <si>
    <t>Chi phí tiệc, phúc lợi</t>
  </si>
  <si>
    <t>Vé bay, tàu, xe, taxi</t>
  </si>
  <si>
    <t>Khách sạn</t>
  </si>
  <si>
    <t>Chi phí ăn uống</t>
  </si>
  <si>
    <t>Chi phí y tế, BH sức khỏe</t>
  </si>
  <si>
    <t>Điện thoại bàn</t>
  </si>
  <si>
    <t>Điện thoại di động</t>
  </si>
  <si>
    <t>Internet</t>
  </si>
  <si>
    <t>Chi phí mực in, mực photo</t>
  </si>
  <si>
    <t>Chi phí đào tạo</t>
  </si>
  <si>
    <t>Chi phí xây dựng, sửa chữa nhà xưởng, văn phòng</t>
  </si>
  <si>
    <t>Chi phí mua mẫu</t>
  </si>
  <si>
    <t>Chi phí đồ BHLĐ</t>
  </si>
  <si>
    <t>Chi phí xăng dầu xe du lịch, xe gắn máy, xe nâng</t>
  </si>
  <si>
    <t>Tiền nước uống</t>
  </si>
  <si>
    <t>Chi phí bồi thường, nộp phạt</t>
  </si>
  <si>
    <t>Chi phí điện quản lý</t>
  </si>
  <si>
    <t>Chi phí lương chính - Trực tiếp</t>
  </si>
  <si>
    <t>Chi phí lương T13, phép năm - Trực tiếp</t>
  </si>
  <si>
    <t>BHXH, BHYT, KPCĐ, BHTN - Trực tiếp</t>
  </si>
  <si>
    <t>Chi phí lương ngoài giờ - Trực tiếp</t>
  </si>
  <si>
    <t>Chi phí khen thưởng - Trực tiếp</t>
  </si>
  <si>
    <t>Phụ cấp ca đêm - Trực tiếp</t>
  </si>
  <si>
    <t>Tiền ăn giữa ca - Trực tiếp</t>
  </si>
  <si>
    <t>Chi phí lương chính - Gián tiếp</t>
  </si>
  <si>
    <t>Chi phí lương T13, phép năm - Gián tiếp</t>
  </si>
  <si>
    <t>BHXH, BHYT, KPCĐ, BHTN - Gián tiếp</t>
  </si>
  <si>
    <t>Chi phí lương ngoài giờ - Gián tiếp</t>
  </si>
  <si>
    <t>Chi phí khen thưởng - Gián tiếp</t>
  </si>
  <si>
    <t>Phụ cấp ca đêm - Gián tiếp</t>
  </si>
  <si>
    <t>Tiền ăn giữa ca - Gián tiếp</t>
  </si>
  <si>
    <t>Chi phí Khấu hao</t>
  </si>
  <si>
    <t>Chi Phí Bảo Trì</t>
  </si>
  <si>
    <t>Tên tài khoản (Cost elements 2)</t>
  </si>
  <si>
    <t>Thưởng danh hiệu - Trực tiếp</t>
  </si>
  <si>
    <t>Thưởng danh hiệu - Gián tiếp</t>
  </si>
  <si>
    <t>Chi phí bảo trì</t>
  </si>
  <si>
    <t>Chi phí ngân hàng</t>
  </si>
  <si>
    <t>Chi phí bưu phẩm</t>
  </si>
  <si>
    <t>Chi phí kiểm toán</t>
  </si>
  <si>
    <t>Chi phí trang trí văn phòng</t>
  </si>
  <si>
    <t>Chi phí ấn phẩm: Catalogue, tờ rơi</t>
  </si>
  <si>
    <t>Chi phí hội nghị khách hàng</t>
  </si>
  <si>
    <t>Chi phí ủng hộ, hỗ trợ, tài trợ</t>
  </si>
  <si>
    <t>Tài trợ thương hiệu Duy Tân</t>
  </si>
  <si>
    <t>Chi phí nghỉ mát, du lịch</t>
  </si>
  <si>
    <t>Chi phí hiếu hỷ, phúc lợi khác NV</t>
  </si>
  <si>
    <t>Chi phí hội nghị, hội thảo, hội họp</t>
  </si>
  <si>
    <t>Chi phí bảo hiểm tài sản</t>
  </si>
  <si>
    <t>Chi phí tuyển dụng</t>
  </si>
  <si>
    <t>Chi phí phát triển sản phẩm, thị trường</t>
  </si>
  <si>
    <t>Phí cầu đường xe</t>
  </si>
  <si>
    <t>Phí đăng kiểm, kiểm định xe</t>
  </si>
  <si>
    <t>Chi phí gởi xe du lịch, xe gắn máy</t>
  </si>
  <si>
    <t>Thuê xe ngoài (taxi, du lịch)</t>
  </si>
  <si>
    <t>Tiền cà phê, bánh phòng họp</t>
  </si>
  <si>
    <t>Dự phòng nợ khó đòi</t>
  </si>
  <si>
    <t>Chi phí công chứng, sao y, thuế khác</t>
  </si>
  <si>
    <t>Khấu hao nhà xưởng</t>
  </si>
  <si>
    <t>Khấu hao máy móc thiết bị xưởng</t>
  </si>
  <si>
    <t>Khấu hao thiết bị văn phòng</t>
  </si>
  <si>
    <t>Khấu hao phương tiện đi lại, vận tải</t>
  </si>
  <si>
    <t>Khấu hao IT phần cứng</t>
  </si>
  <si>
    <t>Khấu hao TSCĐ vô hình (Phần mềm)</t>
  </si>
  <si>
    <t>Khấu hao TSCĐ khác</t>
  </si>
  <si>
    <t>Khấu hao quyền sử dụng đất</t>
  </si>
  <si>
    <t>Khấu hao quyền phát hành</t>
  </si>
  <si>
    <t>Khấu hao bản quyền, sáng chế</t>
  </si>
  <si>
    <t>Khấu hao nhãn hiệu hàng hóa</t>
  </si>
  <si>
    <t>Khấu hao giấy phép và giấy phép nhượng quyền</t>
  </si>
  <si>
    <t>Khấu hao tài sản vô hình khác</t>
  </si>
  <si>
    <t>Bất động sản đầu tư</t>
  </si>
  <si>
    <t>Nhân Viên Lái Xe Nâng</t>
  </si>
  <si>
    <t>Nhân viên Nhập - Xuất hàng</t>
  </si>
  <si>
    <t>Tổ Trưởng Kho - Xuất nhập</t>
  </si>
  <si>
    <t>Thủ kho</t>
  </si>
  <si>
    <t>Ban giám đốc</t>
  </si>
  <si>
    <t>Ban dự án XDCB</t>
  </si>
  <si>
    <t>Phòng mua XNK</t>
  </si>
  <si>
    <t>Phòng Sản xuất</t>
  </si>
  <si>
    <t>Phòng Kho vận</t>
  </si>
  <si>
    <t>Phòng Kỹ thuật</t>
  </si>
  <si>
    <t>Phòng Kiểm soát chất lượng</t>
  </si>
  <si>
    <t>Phòng Nghiên Cứu &amp; Phát Triển</t>
  </si>
  <si>
    <t>Phòng Hành chánh nhân sự</t>
  </si>
  <si>
    <t>Phòng Kế toán</t>
  </si>
  <si>
    <t>Phòng Cung ứng</t>
  </si>
  <si>
    <t>Phòng Mua hàng</t>
  </si>
  <si>
    <t>Phòng Quản Trị Hệ Thống</t>
  </si>
  <si>
    <t>Phòng 5S &amp; an toàn</t>
  </si>
  <si>
    <t>Tư Vấn Dịch Vụ</t>
  </si>
  <si>
    <t>Trạm cấp 2 - Kiên Giang</t>
  </si>
  <si>
    <t>Trạm cấp 2 - Cà Mau</t>
  </si>
  <si>
    <t>Trạm cấp 2 - Gia Lai</t>
  </si>
  <si>
    <t>Nhân viên quản trị hệ thống</t>
  </si>
  <si>
    <t>Nhân viên 5S &amp; an toàn</t>
  </si>
  <si>
    <t>Kế toán viên</t>
  </si>
  <si>
    <t>Nhân viên</t>
  </si>
  <si>
    <t>Giám đốc Trạm</t>
  </si>
  <si>
    <t>Số lượng nhân sự</t>
  </si>
  <si>
    <t>Chi phí lương TB/1 Người</t>
  </si>
  <si>
    <t>II - CHI PHÍ BÁN HÀNG</t>
  </si>
  <si>
    <t>2.5</t>
  </si>
  <si>
    <t>2.6</t>
  </si>
  <si>
    <t>3.1</t>
  </si>
  <si>
    <t>3.2</t>
  </si>
  <si>
    <t>3.3</t>
  </si>
  <si>
    <t>3.4</t>
  </si>
  <si>
    <t>5.1</t>
  </si>
  <si>
    <t>6.1</t>
  </si>
  <si>
    <t>8.1</t>
  </si>
  <si>
    <t>9.1</t>
  </si>
  <si>
    <t>10.1</t>
  </si>
  <si>
    <t>11.1</t>
  </si>
  <si>
    <t>13.1</t>
  </si>
  <si>
    <t>13.2</t>
  </si>
  <si>
    <t>13.3</t>
  </si>
  <si>
    <t>13.6</t>
  </si>
  <si>
    <t>13.7</t>
  </si>
  <si>
    <t>14.1.2</t>
  </si>
  <si>
    <t>14.1.4</t>
  </si>
  <si>
    <t>14.3</t>
  </si>
  <si>
    <t>14.3.1</t>
  </si>
  <si>
    <t>14.3.2</t>
  </si>
  <si>
    <t>15.2</t>
  </si>
  <si>
    <t>15.3</t>
  </si>
  <si>
    <t>17.1</t>
  </si>
  <si>
    <t>19.1</t>
  </si>
  <si>
    <t>19.1.1</t>
  </si>
  <si>
    <t>19.2</t>
  </si>
  <si>
    <t>Chi Phí_L5 (Cost Group 2 file NS2026)</t>
  </si>
  <si>
    <t>Mã tài khoản (Mã Chi phí_L4)</t>
  </si>
  <si>
    <t>Salary and Wages - Direct</t>
  </si>
  <si>
    <t>Employee Welfare</t>
  </si>
  <si>
    <t>Direct Cost of Goods sold</t>
  </si>
  <si>
    <t>Operating Supplies</t>
  </si>
  <si>
    <t>Energy Expenses</t>
  </si>
  <si>
    <t>Salary and Wages - Support</t>
  </si>
  <si>
    <t>Miscellaneous Expenses</t>
  </si>
  <si>
    <t>Environmental Expenses</t>
  </si>
  <si>
    <t>Insurance Expenses</t>
  </si>
  <si>
    <t>Building and structures rent</t>
  </si>
  <si>
    <t>Repairs and Maintenance Expenses</t>
  </si>
  <si>
    <t>Tools and Equipments</t>
  </si>
  <si>
    <t>Thuê xe giao hàng</t>
  </si>
  <si>
    <t>Domestic Freight</t>
  </si>
  <si>
    <t>6417003602</t>
  </si>
  <si>
    <t>Thưởng danh hiệu</t>
  </si>
  <si>
    <t>Employees Development Expenses</t>
  </si>
  <si>
    <t>HR management fee</t>
  </si>
  <si>
    <t>Advertising Expenses</t>
  </si>
  <si>
    <t>Government Taxes, Licenses and Other Fee</t>
  </si>
  <si>
    <t>Doubtful Debts and Bad Debts Expenses</t>
  </si>
  <si>
    <t>Other professional fee</t>
  </si>
  <si>
    <t>Audit fee</t>
  </si>
  <si>
    <t>Communication and Mailing Expenses</t>
  </si>
  <si>
    <t>Bank Charges</t>
  </si>
  <si>
    <t>Calibration,Testing&amp;Quality Control Exp.</t>
  </si>
  <si>
    <t>Research and Development expenses</t>
  </si>
  <si>
    <t>Toll way fee</t>
  </si>
  <si>
    <t>Per Diem, Traveling and Others Expense-Local</t>
  </si>
  <si>
    <t>Lodging-Local</t>
  </si>
  <si>
    <t>Gasoline</t>
  </si>
  <si>
    <t>Representation &amp; Entertainment</t>
  </si>
  <si>
    <t>Donation</t>
  </si>
  <si>
    <t>Chi phí bảo trì - Xuất vật tư</t>
  </si>
  <si>
    <t>Chi phí bảo trì - DV bên ngoài</t>
  </si>
  <si>
    <t>Chi phí sửa chữa, bảo trì phương tiện vận tải</t>
  </si>
  <si>
    <t>Chi phi sửa chữa</t>
  </si>
  <si>
    <t>Xây Dựng, Sửa Chữa</t>
  </si>
  <si>
    <t>Công nhân trực tiếp sản xuất - Phân loại</t>
  </si>
  <si>
    <t>Trạm cấp 2</t>
  </si>
  <si>
    <t>FOH_Lương Trực Tiếp Sản Xuất</t>
  </si>
  <si>
    <t>FOH_Lương Gián Tiếp Sản Xuất</t>
  </si>
  <si>
    <t>ADM_Lương Khối Quản Lý</t>
  </si>
  <si>
    <t>LUONG</t>
  </si>
  <si>
    <t>CHECK</t>
  </si>
  <si>
    <t>TC</t>
  </si>
  <si>
    <t>CL</t>
  </si>
  <si>
    <t>TỔNG CPBH</t>
  </si>
  <si>
    <t>Depreciation</t>
  </si>
  <si>
    <t>BIẾN PHÍ_PHÂN LOẠI CHAI PET</t>
  </si>
  <si>
    <t>BIẾN PHÍ_BĂM VẢY PET</t>
  </si>
  <si>
    <t>Công nhân trực tiếp sản xuất - Phân loại chai PET</t>
  </si>
  <si>
    <t>Dinh muc</t>
  </si>
  <si>
    <t>Phan bo</t>
  </si>
  <si>
    <t>BP Phat sinh</t>
  </si>
  <si>
    <t>Khau hao</t>
  </si>
  <si>
    <t>Ngày …</t>
  </si>
  <si>
    <t>Chi phí xử lý nhãn chai PET</t>
  </si>
  <si>
    <t>VIII - CÔNG SUẤT CHUYỀN BĂM VẢY PET</t>
  </si>
  <si>
    <t>XXX</t>
  </si>
  <si>
    <t>Chuyến</t>
  </si>
  <si>
    <t>I - CHI PHÍ SẢN XUẤT</t>
  </si>
  <si>
    <t xml:space="preserve">&lt;= Nhập sản lượng </t>
  </si>
  <si>
    <t>Đại Lộc</t>
  </si>
  <si>
    <t>Khánh Nga</t>
  </si>
  <si>
    <t>Đồng Lâm</t>
  </si>
  <si>
    <t>Tổng mua / Năm</t>
  </si>
  <si>
    <t>Tổng mua / Tháng</t>
  </si>
  <si>
    <t>Trạm</t>
  </si>
  <si>
    <t>Sản lượng bán</t>
  </si>
  <si>
    <t>LNG / kg</t>
  </si>
  <si>
    <t>KẾ HOẠCH NGÂN SÁCH 2026</t>
  </si>
  <si>
    <t>NGÂN SÁCH CAPEX VÀ XÂY DỰNG CƠ BẢN</t>
  </si>
  <si>
    <t>Tỷ giá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</si>
  <si>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</si>
  <si>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</si>
  <si>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</si>
  <si>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</si>
  <si>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</si>
  <si>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</si>
  <si>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</si>
  <si>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</si>
  <si>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</si>
  <si>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</si>
  <si>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</si>
  <si>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</si>
  <si>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</si>
  <si>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</si>
  <si>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</si>
  <si>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</si>
  <si>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</si>
  <si>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</si>
  <si>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</si>
  <si>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</si>
  <si>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</si>
  <si>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</si>
  <si>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Depreciation-PPE-Building and structures</t>
  </si>
  <si>
    <t>Khấu hao khuôn</t>
  </si>
  <si>
    <t>Depreciation-PPE-Machinery and equipment</t>
  </si>
  <si>
    <t>Khấu hao máy móc thiết bị chính</t>
  </si>
  <si>
    <t>Depreciation-PPE-Office furniture and equipment</t>
  </si>
  <si>
    <t>Depreciation-PPE-Transportation and equipment</t>
  </si>
  <si>
    <t>Khấu hao máy móc thiết bị phụ</t>
  </si>
  <si>
    <t>Khấu hao TSCĐ vô hình</t>
  </si>
  <si>
    <t>Amortization of Software licenses</t>
  </si>
  <si>
    <t>Depreciation-PPE-Other depreciable assets</t>
  </si>
  <si>
    <t>Depreciation-Right of use -Land</t>
  </si>
  <si>
    <t>Amortization of Intangible assets - Others</t>
  </si>
  <si>
    <t xml:space="preserve">Amortization of Patent, copyright and trade secret </t>
  </si>
  <si>
    <t>Amortization of Concession fee</t>
  </si>
  <si>
    <t>Depreciation-Investment Property</t>
  </si>
  <si>
    <t>Khấu hao quản lý</t>
  </si>
  <si>
    <t>Khấu hao sản xuất</t>
  </si>
  <si>
    <t>Giá trị đã khấu hao</t>
  </si>
  <si>
    <t>Giá trị còn lại</t>
  </si>
  <si>
    <t>Nhóm khấu hao</t>
  </si>
  <si>
    <t>Giá trị nguyên giá</t>
  </si>
  <si>
    <t>Giá trị còn lại cuối năm 2026</t>
  </si>
  <si>
    <t>TỔNG CỘNG</t>
  </si>
  <si>
    <t>TỔNG CỘNG KHẤU HAO TSCĐ_SX</t>
  </si>
  <si>
    <t>TỔNG CỘNG KHẤU HAO TSCĐ_QL</t>
  </si>
  <si>
    <t>Kiểm tra lại các sheet chi phí</t>
  </si>
  <si>
    <t>Nhóm phân bổ</t>
  </si>
  <si>
    <t>CPTT sản xuất</t>
  </si>
  <si>
    <t>CPTT Quản lý</t>
  </si>
  <si>
    <t>Dao tách nhãn chai PET</t>
  </si>
  <si>
    <t>Dao băm vảy PET</t>
  </si>
  <si>
    <t>BẢNG LƯƠNG TỪ HCNS</t>
  </si>
  <si>
    <t>Dao băm vảy HD</t>
  </si>
  <si>
    <t>Đồng/người/ngày công</t>
  </si>
  <si>
    <t>I - ĐỊNH MỨC TIÊU HAO VẬT TƯ - PHÂN LOẠI CHAI PET</t>
  </si>
  <si>
    <t>Công suất thiết kế: 150 tấn</t>
  </si>
  <si>
    <t>Chi Phí_L5 (Cost Group 2)</t>
  </si>
  <si>
    <t>Chi tiết</t>
  </si>
  <si>
    <t>Dự phòng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</si>
  <si>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</si>
  <si>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</si>
  <si>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</si>
  <si>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</si>
  <si>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</si>
  <si>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</si>
  <si>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</si>
  <si>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Cost Center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</si>
  <si>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</si>
  <si>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</si>
  <si>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</si>
  <si>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</si>
  <si>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</si>
  <si>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</si>
  <si>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</si>
  <si>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</si>
  <si>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</si>
  <si>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</si>
  <si>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</si>
  <si>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</si>
  <si>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</si>
  <si>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</si>
  <si>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</si>
  <si>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</si>
  <si>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</si>
  <si>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</si>
  <si>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</si>
  <si>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</si>
  <si>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</si>
  <si>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</si>
  <si>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</si>
  <si>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</si>
  <si>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</si>
  <si>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</si>
  <si>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</si>
  <si>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</si>
  <si>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</si>
  <si>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</si>
  <si>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</si>
  <si>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</si>
  <si>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</si>
  <si>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</si>
  <si>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</si>
  <si>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</si>
  <si>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</si>
  <si>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+/- 2026 sv 2025</t>
  </si>
  <si>
    <t xml:space="preserve">+/- % 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</si>
  <si>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</si>
  <si>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</si>
  <si>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</si>
  <si>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</si>
  <si>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</si>
  <si>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</si>
  <si>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</si>
  <si>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Ghi chú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</si>
  <si>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</si>
  <si>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</si>
  <si>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</si>
  <si>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</si>
  <si>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</si>
  <si>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</si>
  <si>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</si>
  <si>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</si>
  <si>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</si>
  <si>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</si>
  <si>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</si>
  <si>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</si>
  <si>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</si>
  <si>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</si>
  <si>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</si>
  <si>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</si>
  <si>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</si>
  <si>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</si>
  <si>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</si>
  <si>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</si>
  <si>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</si>
  <si>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</si>
  <si>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</si>
  <si>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</si>
  <si>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</si>
  <si>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</si>
  <si>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</si>
  <si>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</si>
  <si>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</si>
  <si>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</si>
  <si>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CP_0026.01</t>
  </si>
  <si>
    <t>Chi Phí Lương Chính - Trực Tiếp</t>
  </si>
  <si>
    <t>CP_0026.02</t>
  </si>
  <si>
    <t>Chi Phí Lương T13, Phép Năm - Trực Tiếp</t>
  </si>
  <si>
    <t>03-LUONGTT_03</t>
  </si>
  <si>
    <t>CP_0034.01</t>
  </si>
  <si>
    <t>BHXH, BHYT, KPCĐ, BHTN</t>
  </si>
  <si>
    <t>02-LUONGTT_02</t>
  </si>
  <si>
    <t>Lương Ngoài giờ-TT</t>
  </si>
  <si>
    <t>CP_0027.01</t>
  </si>
  <si>
    <t>Chi Phí Lương Ngoài Giờ</t>
  </si>
  <si>
    <t>06-LUONGTT_06</t>
  </si>
  <si>
    <t>Thưởng-TT</t>
  </si>
  <si>
    <t>CP_0028.02</t>
  </si>
  <si>
    <t>Chi Phí Khen Thưởng</t>
  </si>
  <si>
    <t>CP_0028.06</t>
  </si>
  <si>
    <t>04-LUONGTT_04</t>
  </si>
  <si>
    <t>Phụ Cấp-TT</t>
  </si>
  <si>
    <t>CP_0026.03</t>
  </si>
  <si>
    <t>Phụ Cấp Ca Đêm</t>
  </si>
  <si>
    <t>6220002901</t>
  </si>
  <si>
    <t>Chi phí trợ cấp thôi việc - Trực tiếp</t>
  </si>
  <si>
    <t>Employee Benefits Expenses</t>
  </si>
  <si>
    <t>CP_0029.01</t>
  </si>
  <si>
    <t>Chi Phí Trợ Cấp Thôi Việc</t>
  </si>
  <si>
    <t>05-LUONGTT_05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</si>
  <si>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</si>
  <si>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</si>
  <si>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</si>
  <si>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</si>
  <si>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</si>
  <si>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</si>
  <si>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</si>
  <si>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CP_0030.01</t>
  </si>
  <si>
    <t>Chi Phí Đồng Phục</t>
  </si>
  <si>
    <t>43-DINHPHI_22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</si>
  <si>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</si>
  <si>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</si>
  <si>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</si>
  <si>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</si>
  <si>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</si>
  <si>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</si>
  <si>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</si>
  <si>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</si>
  <si>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</si>
  <si>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</si>
  <si>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</si>
  <si>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</si>
  <si>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</si>
  <si>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CP_0026.04</t>
  </si>
  <si>
    <t>Chi Phí Lương Chính - Gián Tiếp</t>
  </si>
  <si>
    <t>CP_0026.05</t>
  </si>
  <si>
    <t>Chi Phí Lương T13, Phép Năm - Gián Tiếp</t>
  </si>
  <si>
    <t>09-LUONGGT_03</t>
  </si>
  <si>
    <t>08-LUONGGT_02</t>
  </si>
  <si>
    <t>Lương Ngoài Giờ</t>
  </si>
  <si>
    <t>CP_0027.03</t>
  </si>
  <si>
    <t>Chi Phí Lương Ngoài Giờ - Gián Tiếp</t>
  </si>
  <si>
    <t>12-LUONGGT_06</t>
  </si>
  <si>
    <t>Thưởng</t>
  </si>
  <si>
    <t>10-LUONGGT_04</t>
  </si>
  <si>
    <t>Phụ Cấp</t>
  </si>
  <si>
    <t>Chi phí bồi dưỡng</t>
  </si>
  <si>
    <t>CP_0028.01</t>
  </si>
  <si>
    <t>Chi Phí Bồi Dưỡng</t>
  </si>
  <si>
    <t>6271002901</t>
  </si>
  <si>
    <t>Chi phí trợ cấp thôi việc - Gián tiếp</t>
  </si>
  <si>
    <t>11-LUONGGT_05</t>
  </si>
  <si>
    <t>6271003202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</si>
  <si>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</si>
  <si>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</si>
  <si>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</si>
  <si>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</si>
  <si>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</si>
  <si>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</si>
  <si>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</si>
  <si>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</si>
  <si>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</si>
  <si>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6271003001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</si>
  <si>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</si>
  <si>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</si>
  <si>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</si>
  <si>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</si>
  <si>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</si>
  <si>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</si>
  <si>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</si>
  <si>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</si>
  <si>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</si>
  <si>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</si>
  <si>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</si>
  <si>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</si>
  <si>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</si>
  <si>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</si>
  <si>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</si>
  <si>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</si>
  <si>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</si>
  <si>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</si>
  <si>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</si>
  <si>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</si>
  <si>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</si>
  <si>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6273000100</t>
  </si>
  <si>
    <t>CP_0001.00</t>
  </si>
  <si>
    <t>Chi Phí Vật Tư Phân Xưởng</t>
  </si>
  <si>
    <t>6272000100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</si>
  <si>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</si>
  <si>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</si>
  <si>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</si>
  <si>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</si>
  <si>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</si>
  <si>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</si>
  <si>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</si>
  <si>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</si>
  <si>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6272002101</t>
  </si>
  <si>
    <t>Chi phí vật tư phân xưởng</t>
  </si>
  <si>
    <t>CP_0021.01</t>
  </si>
  <si>
    <t>6278002101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</si>
  <si>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</si>
  <si>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</si>
  <si>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</si>
  <si>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</si>
  <si>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</si>
  <si>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</si>
  <si>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</si>
  <si>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</si>
  <si>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6272002503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</si>
  <si>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</si>
  <si>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</si>
  <si>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</si>
  <si>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</si>
  <si>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</si>
  <si>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</si>
  <si>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</si>
  <si>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</si>
  <si>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</si>
  <si>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</si>
  <si>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</si>
  <si>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6277005001</t>
  </si>
  <si>
    <t>CP_0050.01</t>
  </si>
  <si>
    <t>25-DINHPHI_04</t>
  </si>
  <si>
    <t>6272006501</t>
  </si>
  <si>
    <t>Chi phí bảo trì - Xuất nhiên liệu</t>
  </si>
  <si>
    <t>CP_0065.01</t>
  </si>
  <si>
    <t>6273006501</t>
  </si>
  <si>
    <t>6277006501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</si>
  <si>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</si>
  <si>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</si>
  <si>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</si>
  <si>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</si>
  <si>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</si>
  <si>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</si>
  <si>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</si>
  <si>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</si>
  <si>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</si>
  <si>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</si>
  <si>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</si>
  <si>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</si>
  <si>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</si>
  <si>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</si>
  <si>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</si>
  <si>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</si>
  <si>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</si>
  <si>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</si>
  <si>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</si>
  <si>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</si>
  <si>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</si>
  <si>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</si>
  <si>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</si>
  <si>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</si>
  <si>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</si>
  <si>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</si>
  <si>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</si>
  <si>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</si>
  <si>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</si>
  <si>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</si>
  <si>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</si>
  <si>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</si>
  <si>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6273001908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</si>
  <si>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</si>
  <si>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</si>
  <si>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</si>
  <si>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</si>
  <si>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</si>
  <si>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6273002402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</si>
  <si>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</si>
  <si>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</si>
  <si>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</si>
  <si>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</si>
  <si>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</si>
  <si>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</si>
  <si>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</si>
  <si>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</si>
  <si>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</si>
  <si>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6272002201</t>
  </si>
  <si>
    <t>Chi phí sửa chữa nhỏ</t>
  </si>
  <si>
    <t>CP_0022.01</t>
  </si>
  <si>
    <t>Chi Phí Sửa Chữa Nhỏ</t>
  </si>
  <si>
    <t>6277002201</t>
  </si>
  <si>
    <t>Chi phí sửa chữa nhỏ - DV bên ngoài</t>
  </si>
  <si>
    <t>6277002204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</si>
  <si>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</si>
  <si>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</si>
  <si>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</si>
  <si>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</si>
  <si>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</si>
  <si>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</si>
  <si>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</si>
  <si>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</si>
  <si>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</si>
  <si>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</si>
  <si>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</si>
  <si>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</si>
  <si>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</si>
  <si>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</si>
  <si>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</si>
  <si>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</si>
  <si>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6277003101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</si>
  <si>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</si>
  <si>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</si>
  <si>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</si>
  <si>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</si>
  <si>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</si>
  <si>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</si>
  <si>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</si>
  <si>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6277004902</t>
  </si>
  <si>
    <t>CP_0049.02</t>
  </si>
  <si>
    <t>Điện Thoại Di Động</t>
  </si>
  <si>
    <t>6277004903</t>
  </si>
  <si>
    <t>CP_0049.03</t>
  </si>
  <si>
    <t>6277004904</t>
  </si>
  <si>
    <t>Bảo trì IT</t>
  </si>
  <si>
    <t>Information Technology - IT</t>
  </si>
  <si>
    <t>CP_0049.04</t>
  </si>
  <si>
    <t>Bảo Trì IT</t>
  </si>
  <si>
    <t>36-DINHPHI_15</t>
  </si>
  <si>
    <t>In Ấn, Văn Phòng Phẩm</t>
  </si>
  <si>
    <t>6273005101</t>
  </si>
  <si>
    <t>CP_0051.01</t>
  </si>
  <si>
    <t>Chi Phí In Ấn, VPP</t>
  </si>
  <si>
    <t>6278005101</t>
  </si>
  <si>
    <t>6277005102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</si>
  <si>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</si>
  <si>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</si>
  <si>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</si>
  <si>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</si>
  <si>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</si>
  <si>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</si>
  <si>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</si>
  <si>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</si>
  <si>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</si>
  <si>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6273006601</t>
  </si>
  <si>
    <t>Chi phí nâng cấp, cải tạo, chế tạo</t>
  </si>
  <si>
    <t>CP_0066.01</t>
  </si>
  <si>
    <t>Chi Phí Nâng Cấp, Cải Tạo, Chế Tạo</t>
  </si>
  <si>
    <t>6278006601</t>
  </si>
  <si>
    <t>29-DINHPHI_08</t>
  </si>
  <si>
    <t>6273002001</t>
  </si>
  <si>
    <t>CP_0020.01</t>
  </si>
  <si>
    <t>Chi Phí Xây Dựng, Sửa Chữa Nhà Xưởng, Văn Phòng</t>
  </si>
  <si>
    <t>6277002001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</si>
  <si>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</si>
  <si>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</si>
  <si>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</si>
  <si>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</si>
  <si>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</si>
  <si>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</si>
  <si>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</si>
  <si>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</si>
  <si>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</si>
  <si>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</si>
  <si>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</si>
  <si>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</si>
  <si>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</si>
  <si>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</si>
  <si>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6278004805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</si>
  <si>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</si>
  <si>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</si>
  <si>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</si>
  <si>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</si>
  <si>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</si>
  <si>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</si>
  <si>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</si>
  <si>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6277003803</t>
  </si>
  <si>
    <t>Phí kiểm định kỹ thuật</t>
  </si>
  <si>
    <t>CP_0038.03</t>
  </si>
  <si>
    <t>Phí Kiểm Định Kỹ Thuật</t>
  </si>
  <si>
    <t>51-DINHPHI_30</t>
  </si>
  <si>
    <t>Bến Bãi, Dịch Vụ Môi Trường</t>
  </si>
  <si>
    <t>6277003702</t>
  </si>
  <si>
    <t>CP_0037.02</t>
  </si>
  <si>
    <t>Chi Phí Dịch Vụ Môi Trường</t>
  </si>
  <si>
    <t>6273003002</t>
  </si>
  <si>
    <t>CP_0030.02</t>
  </si>
  <si>
    <t>Chi Phí Đồ BHLĐ</t>
  </si>
  <si>
    <t>24-DINHPHI_03</t>
  </si>
  <si>
    <t>Chi Phí Xăng Dầu Xe Du Lịch, Xe Gắn Máy, Xe Nâng</t>
  </si>
  <si>
    <t>6272003502</t>
  </si>
  <si>
    <t>CP_0035.02</t>
  </si>
  <si>
    <t>31-DINHPHI_10</t>
  </si>
  <si>
    <t>Thuê Xe Vận Chuyển Khác</t>
  </si>
  <si>
    <t>6277003603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</si>
  <si>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</si>
  <si>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</si>
  <si>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</si>
  <si>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</si>
  <si>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</si>
  <si>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6277002804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</si>
  <si>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</si>
  <si>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</si>
  <si>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</si>
  <si>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</si>
  <si>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</si>
  <si>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</si>
  <si>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</si>
  <si>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</si>
  <si>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</si>
  <si>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</si>
  <si>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</si>
  <si>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</si>
  <si>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</si>
  <si>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</si>
  <si>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</si>
  <si>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</si>
  <si>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</si>
  <si>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</si>
  <si>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</si>
  <si>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</si>
  <si>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</si>
  <si>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6275001803</t>
  </si>
  <si>
    <t>CP_0018.03</t>
  </si>
  <si>
    <t>Chi Phí Nước Sinh Hoạt</t>
  </si>
  <si>
    <t>6278007201</t>
  </si>
  <si>
    <t>CP_0072.01</t>
  </si>
  <si>
    <t>Chi Phí Bằng Tiền Khác</t>
  </si>
  <si>
    <t>Khấu Hao Sản Xuất</t>
  </si>
  <si>
    <t/>
  </si>
  <si>
    <t>Khấu Hao</t>
  </si>
  <si>
    <t>57-KHAUHAO_01</t>
  </si>
  <si>
    <t>6274001901</t>
  </si>
  <si>
    <t>CP_0019.01</t>
  </si>
  <si>
    <t>Khấu Hao Nhà Xưởng</t>
  </si>
  <si>
    <t>6274001902</t>
  </si>
  <si>
    <t>CP_0019.02</t>
  </si>
  <si>
    <t>Khấu Hao Khuôn</t>
  </si>
  <si>
    <t>6274001903</t>
  </si>
  <si>
    <t>CP_0019.03</t>
  </si>
  <si>
    <t>Khấu Hao Máy Móc Thiết Bị Chính</t>
  </si>
  <si>
    <t>6274001904</t>
  </si>
  <si>
    <t>CP_0019.04</t>
  </si>
  <si>
    <t>Khấu Hao Thiết Bị Văn Phòng</t>
  </si>
  <si>
    <t>6274001905</t>
  </si>
  <si>
    <t>CP_0019.05</t>
  </si>
  <si>
    <t>Khấu Hao Phương Tiện Đi Lại, Vận Tải</t>
  </si>
  <si>
    <t>6274001906</t>
  </si>
  <si>
    <t>CP_0019.06</t>
  </si>
  <si>
    <t>Khấu Hao Máy Móc Thiết Bị Phụ</t>
  </si>
  <si>
    <t>6274001907</t>
  </si>
  <si>
    <t>CP_0019.07</t>
  </si>
  <si>
    <t>Khấu Hao TSCĐ Vô Hình (Phần Mềm)</t>
  </si>
  <si>
    <t>6274001909</t>
  </si>
  <si>
    <t>CP_0019.09</t>
  </si>
  <si>
    <t>Khấu Hao TSCĐ Khác</t>
  </si>
  <si>
    <t>6274001910</t>
  </si>
  <si>
    <t>CP_0019.10</t>
  </si>
  <si>
    <t>Khấu Hao Quyền Sử Dụng Đất</t>
  </si>
  <si>
    <t>6274001915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</si>
  <si>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</si>
  <si>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</si>
  <si>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</si>
  <si>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</si>
  <si>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</si>
  <si>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</si>
  <si>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</si>
  <si>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</si>
  <si>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</si>
  <si>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</si>
  <si>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</si>
  <si>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</si>
  <si>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</si>
  <si>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</si>
  <si>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</si>
  <si>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</si>
  <si>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</si>
  <si>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</si>
  <si>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</si>
  <si>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</si>
  <si>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</si>
  <si>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</si>
  <si>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</si>
  <si>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</si>
  <si>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</si>
  <si>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</si>
  <si>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</si>
  <si>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</si>
  <si>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</si>
  <si>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</si>
  <si>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</si>
  <si>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</si>
  <si>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</si>
  <si>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</si>
  <si>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</si>
  <si>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</si>
  <si>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</si>
  <si>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</si>
  <si>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</si>
  <si>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</si>
  <si>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</si>
  <si>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</si>
  <si>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6418003901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</si>
  <si>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</si>
  <si>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</si>
  <si>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</si>
  <si>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</si>
  <si>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</si>
  <si>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</si>
  <si>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</si>
  <si>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</si>
  <si>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</si>
  <si>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</si>
  <si>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</si>
  <si>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</si>
  <si>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</si>
  <si>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</si>
  <si>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</si>
  <si>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</si>
  <si>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</si>
  <si>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</si>
  <si>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</si>
  <si>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</si>
  <si>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</si>
  <si>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</si>
  <si>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6418004102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</si>
  <si>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</si>
  <si>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</si>
  <si>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</si>
  <si>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</si>
  <si>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</si>
  <si>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</si>
  <si>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</si>
  <si>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</si>
  <si>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</si>
  <si>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</si>
  <si>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</si>
  <si>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</si>
  <si>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</si>
  <si>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</si>
  <si>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</si>
  <si>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</si>
  <si>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</si>
  <si>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</si>
  <si>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</si>
  <si>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</si>
  <si>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</si>
  <si>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</si>
  <si>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</si>
  <si>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</si>
  <si>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6417005001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</si>
  <si>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</si>
  <si>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</si>
  <si>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</si>
  <si>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</si>
  <si>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</si>
  <si>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</si>
  <si>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</si>
  <si>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</si>
  <si>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</si>
  <si>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</si>
  <si>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</si>
  <si>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</si>
  <si>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</si>
  <si>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</si>
  <si>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</si>
  <si>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</si>
  <si>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</si>
  <si>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</si>
  <si>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</si>
  <si>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</si>
  <si>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</si>
  <si>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</si>
  <si>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</si>
  <si>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</si>
  <si>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</si>
  <si>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</si>
  <si>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</si>
  <si>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</si>
  <si>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</si>
  <si>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</si>
  <si>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</si>
  <si>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</si>
  <si>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</si>
  <si>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</si>
  <si>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</si>
  <si>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</si>
  <si>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</si>
  <si>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</si>
  <si>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</si>
  <si>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</si>
  <si>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</si>
  <si>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</si>
  <si>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</si>
  <si>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</si>
  <si>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</si>
  <si>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</si>
  <si>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</si>
  <si>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</si>
  <si>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</si>
  <si>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</si>
  <si>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</si>
  <si>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</si>
  <si>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</si>
  <si>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</si>
  <si>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</si>
  <si>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</si>
  <si>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</si>
  <si>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</si>
  <si>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</si>
  <si>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</si>
  <si>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</si>
  <si>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</si>
  <si>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</si>
  <si>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</si>
  <si>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</si>
  <si>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</si>
  <si>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</si>
  <si>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</si>
  <si>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</si>
  <si>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</si>
  <si>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</si>
  <si>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</si>
  <si>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</si>
  <si>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</si>
  <si>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</si>
  <si>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</si>
  <si>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</si>
  <si>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</si>
  <si>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</si>
  <si>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</si>
  <si>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</si>
  <si>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</si>
  <si>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</si>
  <si>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</si>
  <si>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</si>
  <si>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</si>
  <si>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</si>
  <si>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</si>
  <si>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</si>
  <si>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</si>
  <si>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</si>
  <si>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</si>
  <si>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</si>
  <si>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</si>
  <si>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</si>
  <si>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</si>
  <si>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</si>
  <si>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</si>
  <si>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</si>
  <si>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</si>
  <si>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</si>
  <si>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</si>
  <si>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</si>
  <si>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</si>
  <si>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</si>
  <si>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</si>
  <si>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</si>
  <si>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</si>
  <si>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</si>
  <si>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</si>
  <si>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</si>
  <si>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</si>
  <si>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</si>
  <si>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</si>
  <si>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</si>
  <si>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</si>
  <si>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</si>
  <si>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</si>
  <si>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</si>
  <si>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</si>
  <si>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</si>
  <si>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</si>
  <si>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</si>
  <si>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</si>
  <si>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</si>
  <si>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</si>
  <si>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</si>
  <si>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</si>
  <si>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</si>
  <si>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</si>
  <si>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</si>
  <si>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</si>
  <si>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</si>
  <si>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</si>
  <si>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</si>
  <si>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</si>
  <si>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</si>
  <si>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</si>
  <si>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</si>
  <si>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6417003701</t>
  </si>
  <si>
    <t>Chi phí bến bãi, bốc xếp xe giao hàng</t>
  </si>
  <si>
    <t>CP_0037.01</t>
  </si>
  <si>
    <t>Chi Phí Bến Bãi, Bốc Xếp Xe Giao Hàng</t>
  </si>
  <si>
    <t>6418003701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</si>
  <si>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</si>
  <si>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</si>
  <si>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</si>
  <si>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</si>
  <si>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</si>
  <si>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</si>
  <si>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</si>
  <si>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</si>
  <si>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</si>
  <si>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</si>
  <si>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</si>
  <si>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</si>
  <si>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</si>
  <si>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</si>
  <si>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</si>
  <si>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</si>
  <si>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</si>
  <si>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</si>
  <si>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</si>
  <si>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</si>
  <si>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</si>
  <si>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</si>
  <si>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</si>
  <si>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</si>
  <si>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</si>
  <si>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</si>
  <si>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CP_0019.13</t>
  </si>
  <si>
    <t>Khấu Hao Nhãn Hiệu Hàng Hóa</t>
  </si>
  <si>
    <t>6414001915</t>
  </si>
  <si>
    <t>642</t>
  </si>
  <si>
    <t>Lương Khối Quản Lý</t>
  </si>
  <si>
    <t>Lương khối quản lý</t>
  </si>
  <si>
    <t>6421002604</t>
  </si>
  <si>
    <t>6421002605</t>
  </si>
  <si>
    <t>6421003401</t>
  </si>
  <si>
    <t>6421002703</t>
  </si>
  <si>
    <t>6421002802</t>
  </si>
  <si>
    <t>6421002806</t>
  </si>
  <si>
    <t>6421002603</t>
  </si>
  <si>
    <t>6421002801</t>
  </si>
  <si>
    <t>6421002901</t>
  </si>
  <si>
    <t>6421003202</t>
  </si>
  <si>
    <t>ADM_Khối Quản Lý</t>
  </si>
  <si>
    <t>6421005704</t>
  </si>
  <si>
    <t>6421003001</t>
  </si>
  <si>
    <t>6421007202</t>
  </si>
  <si>
    <t>Chi Phí Hoạt Động Quản Lý</t>
  </si>
  <si>
    <t>Chi phí hoạt động quản lý</t>
  </si>
  <si>
    <t>6428002805</t>
  </si>
  <si>
    <t>6422002101</t>
  </si>
  <si>
    <t>6427005001</t>
  </si>
  <si>
    <t>6423006501</t>
  </si>
  <si>
    <t>6427006501</t>
  </si>
  <si>
    <t>6427005501</t>
  </si>
  <si>
    <t>6427004804</t>
  </si>
  <si>
    <t>6427005801</t>
  </si>
  <si>
    <t>6427005802</t>
  </si>
  <si>
    <t>CP_0058.02</t>
  </si>
  <si>
    <t>Chi Phí Kiểm Toán</t>
  </si>
  <si>
    <t>6427005803</t>
  </si>
  <si>
    <t>6427004104</t>
  </si>
  <si>
    <t>6427004106</t>
  </si>
  <si>
    <t>6427004109</t>
  </si>
  <si>
    <t>6427004105</t>
  </si>
  <si>
    <t>CP QC P.tiện đ.chúng</t>
  </si>
  <si>
    <t>6423001908</t>
  </si>
  <si>
    <t>6423002401</t>
  </si>
  <si>
    <t>Chi phí công cụ dụng cụ phục vụ HĐ</t>
  </si>
  <si>
    <t>6423002402</t>
  </si>
  <si>
    <t>6428002402</t>
  </si>
  <si>
    <t>42-DINHPHI_21</t>
  </si>
  <si>
    <t>6427004603</t>
  </si>
  <si>
    <t>CP_0046.03</t>
  </si>
  <si>
    <t>Chi Phí Hội Nghị Khách Hàng</t>
  </si>
  <si>
    <t>6428004603</t>
  </si>
  <si>
    <t>6427005602</t>
  </si>
  <si>
    <t>6423002201</t>
  </si>
  <si>
    <t>6427002201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</si>
  <si>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</si>
  <si>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</si>
  <si>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</si>
  <si>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</si>
  <si>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</si>
  <si>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</si>
  <si>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</si>
  <si>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</si>
  <si>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</si>
  <si>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</si>
  <si>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6427005701</t>
  </si>
  <si>
    <t>6427005702</t>
  </si>
  <si>
    <t>6428005703</t>
  </si>
  <si>
    <t>6427005601</t>
  </si>
  <si>
    <t>6428005601</t>
  </si>
  <si>
    <t>6428005603</t>
  </si>
  <si>
    <t>Chi phí thẻ tín dụng Ban TGĐ</t>
  </si>
  <si>
    <t>CP_0056.03</t>
  </si>
  <si>
    <t>Chi Phí Thẻ Tín Dụng Ban TGĐ</t>
  </si>
  <si>
    <t>6427003101</t>
  </si>
  <si>
    <t>6427004301</t>
  </si>
  <si>
    <t>CP_0043.01</t>
  </si>
  <si>
    <t>Chi Phí Nghỉ Mát, Du Lịch</t>
  </si>
  <si>
    <t>6428004302</t>
  </si>
  <si>
    <t>6427004901</t>
  </si>
  <si>
    <t>6427004902</t>
  </si>
  <si>
    <t>6427004903</t>
  </si>
  <si>
    <t>6427004904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</si>
  <si>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</si>
  <si>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</si>
  <si>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</si>
  <si>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</si>
  <si>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</si>
  <si>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</si>
  <si>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</si>
  <si>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</si>
  <si>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6428004601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</si>
  <si>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</si>
  <si>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</si>
  <si>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</si>
  <si>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</si>
  <si>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</si>
  <si>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</si>
  <si>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6427002301</t>
  </si>
  <si>
    <t>CP_0023.01</t>
  </si>
  <si>
    <t>Chi Phí Bảo Hiểm Tài Sản</t>
  </si>
  <si>
    <t>6422000100</t>
  </si>
  <si>
    <t>Chi phí vật liệu quản lý</t>
  </si>
  <si>
    <t>6423005101</t>
  </si>
  <si>
    <t>6428005101</t>
  </si>
  <si>
    <t>6427005102</t>
  </si>
  <si>
    <t>6427003301</t>
  </si>
  <si>
    <t>6427003302</t>
  </si>
  <si>
    <t>6427002001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</si>
  <si>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</si>
  <si>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</si>
  <si>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</si>
  <si>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</si>
  <si>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</si>
  <si>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</si>
  <si>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</si>
  <si>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</si>
  <si>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</si>
  <si>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</si>
  <si>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6422004805</t>
  </si>
  <si>
    <t>6423004805</t>
  </si>
  <si>
    <t>6428004805</t>
  </si>
  <si>
    <t>6427003801</t>
  </si>
  <si>
    <t>6427003802</t>
  </si>
  <si>
    <t>6427003702</t>
  </si>
  <si>
    <t>6427003703</t>
  </si>
  <si>
    <t>6423003002</t>
  </si>
  <si>
    <t>6422003502</t>
  </si>
  <si>
    <t>6427003604</t>
  </si>
  <si>
    <t>6428002803</t>
  </si>
  <si>
    <t>CP_0028.03</t>
  </si>
  <si>
    <t>Tiền Cà Phê, Bánh Phòng Họp</t>
  </si>
  <si>
    <t>6427002804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</si>
  <si>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</si>
  <si>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</si>
  <si>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</si>
  <si>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</si>
  <si>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</si>
  <si>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</si>
  <si>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</si>
  <si>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</si>
  <si>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</si>
  <si>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</si>
  <si>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</si>
  <si>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</si>
  <si>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6427001802</t>
  </si>
  <si>
    <t>6425001803</t>
  </si>
  <si>
    <t>C.Phí nước sinh hoạt</t>
  </si>
  <si>
    <t>6425006101</t>
  </si>
  <si>
    <t>CP_0061.01</t>
  </si>
  <si>
    <t>Chi Phí Công Chứng, Sao Y, Thuế Khác</t>
  </si>
  <si>
    <t>6427006101</t>
  </si>
  <si>
    <t>6428007201</t>
  </si>
  <si>
    <t>Khấu Hao Quản Lý</t>
  </si>
  <si>
    <t>6424001901</t>
  </si>
  <si>
    <t>6424001903</t>
  </si>
  <si>
    <t>6424001904</t>
  </si>
  <si>
    <t>6424001905</t>
  </si>
  <si>
    <t>6424001906</t>
  </si>
  <si>
    <t>6424001907</t>
  </si>
  <si>
    <t>6424001909</t>
  </si>
  <si>
    <t>6424001910</t>
  </si>
  <si>
    <t>6424001911</t>
  </si>
  <si>
    <t>CP_0019.11</t>
  </si>
  <si>
    <t>Khấu Hao Quyền Phát Hành</t>
  </si>
  <si>
    <t>6424001912</t>
  </si>
  <si>
    <t>CP_0019.12</t>
  </si>
  <si>
    <t>Khấu Hao Bản Quyền, Sáng Chế</t>
  </si>
  <si>
    <t>6424001913</t>
  </si>
  <si>
    <t>6424001914</t>
  </si>
  <si>
    <t>CP_0019.14</t>
  </si>
  <si>
    <t>Khấu Hao Giấy Phép Và Giấy Phép Nhượng Quyền</t>
  </si>
  <si>
    <t>6424001915</t>
  </si>
  <si>
    <t>6424001916</t>
  </si>
  <si>
    <t>CP_0019.16</t>
  </si>
  <si>
    <t>Bất Động Sản Đầu Tư</t>
  </si>
  <si>
    <t>Tổng Chi Phí</t>
  </si>
  <si>
    <t>Nhân Sự Trung Bình</t>
  </si>
  <si>
    <t>I - CHI PHÍ SẢN XUẤT PET</t>
  </si>
  <si>
    <t>Xử lý nhãn chai PET</t>
  </si>
  <si>
    <t>2.1 Thành phẩm chai PET đưa vào băm vảy PET</t>
  </si>
  <si>
    <t>2.2 Thành phẩm vảy PET bán về DTR</t>
  </si>
  <si>
    <t>1.5 Thành phẩm chai PET bán về DTR</t>
  </si>
  <si>
    <t>1.4 Thành phẩm sau khi phân loại chai PET</t>
  </si>
  <si>
    <t>3.1 Thành phẩm vảy HD</t>
  </si>
  <si>
    <t>Đồng/Kg</t>
  </si>
  <si>
    <t>Kiểm tra chênh lệch Giá mua - Giá vốn</t>
  </si>
  <si>
    <t>Doanh thu chai PET</t>
  </si>
  <si>
    <t>Doanh thu vảy PET</t>
  </si>
  <si>
    <t>Lợi nhuận gộp</t>
  </si>
  <si>
    <t>Tổng doanh thu</t>
  </si>
  <si>
    <t>9=8-3</t>
  </si>
  <si>
    <t>8=6+7</t>
  </si>
  <si>
    <t>5=4+3</t>
  </si>
  <si>
    <t>3=1+2</t>
  </si>
  <si>
    <t>11=9:10</t>
  </si>
  <si>
    <t>KIỂM TRA</t>
  </si>
  <si>
    <t>III CHI PHÍ QUẢN LÝ</t>
  </si>
  <si>
    <t>Tổng CP_Sản xuất</t>
  </si>
  <si>
    <t>Tổng CP_Bán hàng</t>
  </si>
  <si>
    <t>Tổng CP_Quản lý</t>
  </si>
  <si>
    <t>I+II</t>
  </si>
  <si>
    <t>IV=I+II+III</t>
  </si>
  <si>
    <t>ĐVT: Đồng/Kg</t>
  </si>
  <si>
    <t>I - CHI PHÍ BÁN HÀNG PET</t>
  </si>
  <si>
    <t>III - DOANH THU VẢY HD</t>
  </si>
  <si>
    <t>II - DOANH THU VẢY PET</t>
  </si>
  <si>
    <t>I - DOANH THU CHAI PET</t>
  </si>
  <si>
    <t>I - TỶ LỆ HAO HỤT CHAI PET</t>
  </si>
  <si>
    <t>II - TỶ LỆ HAO HỤT VẢY PET</t>
  </si>
  <si>
    <t>III - TỶ LỆ THÀNH PHẨM SAU KHI PHÂN LOẠI CHAI PET</t>
  </si>
  <si>
    <r>
      <t xml:space="preserve">1. Sản xuất từ chai PET </t>
    </r>
    <r>
      <rPr>
        <b/>
        <sz val="10"/>
        <color rgb="FF0000FF"/>
        <rFont val="Arial"/>
        <family val="2"/>
      </rPr>
      <t>B0 - Xá tròn</t>
    </r>
  </si>
  <si>
    <r>
      <t xml:space="preserve">2. Sản xuất từ chai PET </t>
    </r>
    <r>
      <rPr>
        <b/>
        <sz val="10"/>
        <color rgb="FF0000FF"/>
        <rFont val="Arial"/>
        <family val="2"/>
      </rPr>
      <t>B0 - Ép kiện</t>
    </r>
  </si>
  <si>
    <r>
      <t xml:space="preserve">3. Sản xuất từ chai PET </t>
    </r>
    <r>
      <rPr>
        <b/>
        <sz val="10"/>
        <color rgb="FF0000FF"/>
        <rFont val="Arial"/>
        <family val="2"/>
      </rPr>
      <t>B1.4 (tuyển xô)</t>
    </r>
  </si>
  <si>
    <t>IV - TỶ LỆ CHAI PET CHUYỂN VÀO BĂM VẢY PET</t>
  </si>
  <si>
    <t>V - TỶ LỆ HAO HỤT KHI BĂM VẢY PET</t>
  </si>
  <si>
    <t>I - THÀNH PHẨM SAU PHÂN LOẠI CHAI PET</t>
  </si>
  <si>
    <t>1.1 Sản xuất từ chai PET B0 - Xá tròn</t>
  </si>
  <si>
    <t>1.2 Sản xuất từ chai PET B0 - Ép kiện</t>
  </si>
  <si>
    <t>1.3 Sản xuất từ chai PET B1.4 (tuyển xô)</t>
  </si>
  <si>
    <t>II - THÀNH PHẨM SAU KHI BĂM VẢY PET</t>
  </si>
  <si>
    <t>III - THÀNH PHẨM SAU KHI PHÂN LOẠI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</si>
  <si>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</si>
  <si>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</si>
  <si>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</si>
  <si>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</si>
  <si>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</si>
  <si>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</si>
  <si>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Thuê xe vận chuyển bán vảy HD</t>
  </si>
  <si>
    <t>Thuê xe vận chuyển bán Vảy HD</t>
  </si>
  <si>
    <t>Thuê xe vận chuyển bán Vảy PET</t>
  </si>
  <si>
    <t>Thuê xe vận chuyển bán Chai PET</t>
  </si>
  <si>
    <t>PHÂN TÍCH CHI PHÍ PHỤC VỤ SXKD / THÀNH PHẨM SẢN XUẤT</t>
  </si>
  <si>
    <t>Nhóm tài khoản</t>
  </si>
  <si>
    <t>Tên tài sản</t>
  </si>
  <si>
    <t>I - TÀI SẢN CỐ ĐỊNH TỪ NĂM TRƯỚC CHUYỂN SANG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</si>
  <si>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</si>
  <si>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</si>
  <si>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</si>
  <si>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</si>
  <si>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</si>
  <si>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</si>
  <si>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</si>
  <si>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</si>
  <si>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</si>
  <si>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</si>
  <si>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</si>
  <si>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</si>
  <si>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</si>
  <si>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</si>
  <si>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</si>
  <si>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</si>
  <si>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</si>
  <si>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II - TÀI SẢN CỐ ĐỊNH ĐẦU TƯ NĂM 2026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</si>
  <si>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</si>
  <si>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</si>
  <si>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</si>
  <si>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</si>
  <si>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</si>
  <si>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</si>
  <si>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</si>
  <si>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</si>
  <si>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</si>
  <si>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</si>
  <si>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</si>
  <si>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</si>
  <si>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</si>
  <si>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</si>
  <si>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</si>
  <si>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</si>
  <si>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</si>
  <si>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</si>
  <si>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</si>
  <si>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</si>
  <si>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</si>
  <si>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</si>
  <si>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</si>
  <si>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</si>
  <si>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</si>
  <si>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</si>
  <si>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</si>
  <si>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</si>
  <si>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Nội địa</t>
  </si>
  <si>
    <t>Nhà cửa, vật kiến trúc - BH 641</t>
  </si>
  <si>
    <t>Main machine and Anciliary Equipment</t>
  </si>
  <si>
    <t>Máy móc, thiết bị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</si>
  <si>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</si>
  <si>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</si>
  <si>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</si>
  <si>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</si>
  <si>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</si>
  <si>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</si>
  <si>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</si>
  <si>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</si>
  <si>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</si>
  <si>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- SX 627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</si>
  <si>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</si>
  <si>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</si>
  <si>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</si>
  <si>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</si>
  <si>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</si>
  <si>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</si>
  <si>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</si>
  <si>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</si>
  <si>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</si>
  <si>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</si>
  <si>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</si>
  <si>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>Thiết bị, dụng cụ quản lý - SX 627</t>
  </si>
  <si>
    <t xml:space="preserve">Thiết bị, dụng cụ quản lý </t>
  </si>
  <si>
    <t>Thiết bị, dụng cụ quản lý - BH 641</t>
  </si>
  <si>
    <t>Thiết bị, dụng cụ quản lý - QL 642</t>
  </si>
  <si>
    <t>Xưởng sản xuất PET</t>
  </si>
  <si>
    <t>Chuyền phân loại chai PET số 01</t>
  </si>
  <si>
    <t>TSCĐ khác - SX 627</t>
  </si>
  <si>
    <t xml:space="preserve">TSCĐ khác </t>
  </si>
  <si>
    <t>Chuyền phân loại chai PET số 02</t>
  </si>
  <si>
    <t>TSCĐ khác - BH 641</t>
  </si>
  <si>
    <t>Chuyền phân loại chai PET số 03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</si>
  <si>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</si>
  <si>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</si>
  <si>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</si>
  <si>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</si>
  <si>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</si>
  <si>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</si>
  <si>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</si>
  <si>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</si>
  <si>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</si>
  <si>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</si>
  <si>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</si>
  <si>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</si>
  <si>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</si>
  <si>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</si>
  <si>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</si>
  <si>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</si>
  <si>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</si>
  <si>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</si>
  <si>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</si>
  <si>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</si>
  <si>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</si>
  <si>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</si>
  <si>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</si>
  <si>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</si>
  <si>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</si>
  <si>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</si>
  <si>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</si>
  <si>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</si>
  <si>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</si>
  <si>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</si>
  <si>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</si>
  <si>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Xem MD</t>
  </si>
  <si>
    <t>Xem DATA Phan bo</t>
  </si>
  <si>
    <t>I - CHI PHÍ TỪ NĂM TRƯỚC CHUYỂN SANG</t>
  </si>
  <si>
    <t>II - CH PHÍ PHÁT SINH NĂM 2026</t>
  </si>
  <si>
    <t>NGÂN SÁCH CHI PHÍ PHÂN BỔ HÀNG THÁNG</t>
  </si>
  <si>
    <t>TỔNG CỘNG PHÂN BỔ CPTT_SX</t>
  </si>
  <si>
    <t>TỔNG CỘNG PHÂN BỔ CPTT_QL</t>
  </si>
  <si>
    <t>TỔNG CỘNG PHÂN BỔ CPTT</t>
  </si>
  <si>
    <t>TỔNG CỘNG KHẤU HAO TSCĐ</t>
  </si>
  <si>
    <t>Mã tài khoản_CDPS (3 Trạm)</t>
  </si>
  <si>
    <t>Tên tài khoản (3 Trạm)</t>
  </si>
  <si>
    <t>&lt;= Nhập số liệu</t>
  </si>
  <si>
    <t>Công suất thiết kế: 2000 tấn chai PET-B0</t>
  </si>
  <si>
    <t>Dao tách nhãn chai PET, băm vảy PET, băm vảy HD</t>
  </si>
  <si>
    <t>Bộ</t>
  </si>
  <si>
    <t>Dao tách nhãn chai PET, băm vảy PET</t>
  </si>
  <si>
    <t>5.2</t>
  </si>
  <si>
    <t>5.3</t>
  </si>
  <si>
    <t>8.2</t>
  </si>
  <si>
    <t>8.3</t>
  </si>
  <si>
    <t>9.2</t>
  </si>
  <si>
    <t>9.3</t>
  </si>
  <si>
    <t>II - CHI PHÍ BÁN HÀNG HD</t>
  </si>
  <si>
    <t>Màu sheet</t>
  </si>
  <si>
    <t>Thông tin</t>
  </si>
  <si>
    <t>Kết quả kinh doanh tổng hợp</t>
  </si>
  <si>
    <t>Kết quả kinh doanh PET và HD</t>
  </si>
  <si>
    <t>Cập nhật TSCĐ - CPTT năm trước chuyển sang và Capex 2026</t>
  </si>
  <si>
    <t>Thông tin khác</t>
  </si>
  <si>
    <t>Thành phẩm (Vảy PET sau khi băm)</t>
  </si>
  <si>
    <t>Thành phẩm (Vảy sau khi phân loại)</t>
  </si>
  <si>
    <t>KẾ HOẠCH KINH DOANH 2026</t>
  </si>
  <si>
    <t>Lợi nhuận kế hoạch đến cuối năm 2026</t>
  </si>
  <si>
    <t xml:space="preserve">Sau khi đánh giá, xác lập các mục tiêu bên trên, tính toán lợi nhuận kế hoạch đến cuối năm 2026
</t>
  </si>
  <si>
    <t xml:space="preserve">Soát xét định biên và kế hoạch tuyển dụng, lập mục tiêu giảm định biên đến cuối 2026
</t>
  </si>
  <si>
    <t>Thời gian hoàn thành tính toán và xác lập mục tiêu 2026</t>
  </si>
  <si>
    <t>Hiện trạng / vướng mắt / giải pháp (tại thời điểm tháng 10/2025)</t>
  </si>
  <si>
    <t>Mục tiêu 2026 (rolling hàng tháng)</t>
  </si>
  <si>
    <t>Dự báo KQ 2026</t>
  </si>
  <si>
    <t>Thực hiện 2025</t>
  </si>
  <si>
    <t>KHNS 2026</t>
  </si>
  <si>
    <t>Tăng/giảm vs KHNS 2026</t>
  </si>
  <si>
    <t>Mục tiêu T1</t>
  </si>
  <si>
    <t>Mục tiêu T2</t>
  </si>
  <si>
    <t>Mục tiêu T3</t>
  </si>
  <si>
    <t>Áp dụng cơ cấu giá mới từ Tháng 9/2025</t>
  </si>
  <si>
    <t>1. Hòa vốn (Bao gồm khấu hao)</t>
  </si>
  <si>
    <t>2. Hòa vốn (Không bao gồm khấu hao)</t>
  </si>
  <si>
    <t>Xử lý: nhãn, bùn, nước thải, hóa chất xử lý hồ XLNT</t>
  </si>
  <si>
    <t>Phân bổ công cụ dụng cụ, trừ dao</t>
  </si>
  <si>
    <t>Nhóm chai PET</t>
  </si>
  <si>
    <t>Thành phần chai PET sau phân loại</t>
  </si>
  <si>
    <t>GAP (đảm bảo chi phí và lợi nhuận)</t>
  </si>
  <si>
    <t>Tỷ lệ</t>
  </si>
  <si>
    <t>Quy ra tiền</t>
  </si>
  <si>
    <t>Chai PET nhóm 1</t>
  </si>
  <si>
    <t>Chai PET nhóm 2</t>
  </si>
  <si>
    <t>B4 + B5</t>
  </si>
  <si>
    <t>Chai PET nhóm 3</t>
  </si>
  <si>
    <t>Chai PET nhóm 4</t>
  </si>
  <si>
    <t>Nắp HD ép, cổ chai, PP (Quai)</t>
  </si>
  <si>
    <t>B1.1 + B1.2 + B1.3 + B2.1 + B3</t>
  </si>
  <si>
    <t>B2.2 + B6.1 + B6.2</t>
  </si>
  <si>
    <t>Đơn giá bán theo công thức</t>
  </si>
  <si>
    <t>Đơn giá PET-B0</t>
  </si>
  <si>
    <t>Công đoạn 1: Cấp liệu</t>
  </si>
  <si>
    <t>Công đoạn 2: Phân loại chai</t>
  </si>
  <si>
    <t>Công đoạn 3: Tách nhãn</t>
  </si>
  <si>
    <t>Công đoạn 4: Rework (B6.2+chai còn nhãn)</t>
  </si>
  <si>
    <t>Công đoạn 5: Ép kiện và lưu kho</t>
  </si>
  <si>
    <t>Sản xuất chung</t>
  </si>
  <si>
    <t>Nhân viên lái xe nâng</t>
  </si>
  <si>
    <t>Nhân viên kéo bao, bì tạp</t>
  </si>
  <si>
    <t>Nhân viên ghi số liệu</t>
  </si>
  <si>
    <t>Xử lý phó sản</t>
  </si>
  <si>
    <t>Nhân viên xử lý nắp, cổ chai,…</t>
  </si>
  <si>
    <t>SX chai PET - Chuyền phân loại</t>
  </si>
  <si>
    <t>Chi tiết phân bổ Công nhân trực tiếp SX</t>
  </si>
  <si>
    <t>Nhóm vảy PET</t>
  </si>
  <si>
    <t>Thành phẩm vảy PET sau khi băm</t>
  </si>
  <si>
    <t>Đơn giá chai PET sau khi phân loại</t>
  </si>
  <si>
    <t>Ban hành Sản lượng Trạm thu mua</t>
  </si>
  <si>
    <t>Ban hành đơn giá BÁN từng loại thành phẩm</t>
  </si>
  <si>
    <t>1. BGĐ DTR
2. Phòng cung ứng DTR</t>
  </si>
  <si>
    <t>1. BGĐ DTR
2. Phòng kỹ thuật DTR
3. Phòng mua hàng DTR</t>
  </si>
  <si>
    <t>Nội dung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</si>
  <si>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</si>
  <si>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Thời gian cần dữ liệu</t>
  </si>
  <si>
    <t>Kế hoạch đầu tư CAPEX tại Trạm 
=&gt; Ảnh hưởng đến Sản phẩm và TCKT Trạm cung cấp đến DTR</t>
  </si>
  <si>
    <t>GĐĐH Trạm - DTR</t>
  </si>
  <si>
    <t>Ban hành đơn giá MUA từng loại NVL</t>
  </si>
  <si>
    <t>Ban hành Nhóm-Loại NVL Trạm thu mua</t>
  </si>
  <si>
    <t>Nguồn cung cấp 
dữ liệu</t>
  </si>
  <si>
    <t>Nguồn thông tin liên quan</t>
  </si>
  <si>
    <t>Nguồn yêu cầu: GĐTC-DTR</t>
  </si>
  <si>
    <t>…</t>
  </si>
  <si>
    <t>Ban hành Định mức về Công suất MMTB - Định mức về CP phục vụ sản xuất - Định biên Nhân sự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</si>
  <si>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</si>
  <si>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</si>
  <si>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</si>
  <si>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</si>
  <si>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</si>
  <si>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</si>
  <si>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</si>
  <si>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</si>
  <si>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</si>
  <si>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</si>
  <si>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</si>
  <si>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</si>
  <si>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</si>
  <si>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</si>
  <si>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</si>
  <si>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</si>
  <si>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</si>
  <si>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GĐTC holding</t>
  </si>
  <si>
    <t>Kế toán quản trị</t>
  </si>
  <si>
    <t>KTT/GĐTC</t>
  </si>
  <si>
    <t>TGĐ</t>
  </si>
  <si>
    <t>Hợp nhất ngân sách cho toàn bộ DT Group</t>
  </si>
  <si>
    <t>KTQT holding</t>
  </si>
  <si>
    <t>Trình bày kết quả ngân sách hợp nhất cho toàn bộ DT Group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</si>
  <si>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</si>
  <si>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</si>
  <si>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</si>
  <si>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</si>
  <si>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</si>
  <si>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</si>
  <si>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</si>
  <si>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</si>
  <si>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</si>
  <si>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</si>
  <si>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Trình bày kết quả ngân sách của mỗi công ty đến TGĐ (Bottom up)</t>
  </si>
  <si>
    <t>Trình bày kết quả ngân sách của mỗi công ty đến TGĐ (Top down)</t>
  </si>
  <si>
    <t>Trình bày kết quả ngân sách của mỗi công ty đến TGĐ (Chính thức)</t>
  </si>
  <si>
    <t>Khởi động</t>
  </si>
  <si>
    <t>800-1000</t>
  </si>
  <si>
    <t>1 NV kéo bao
1 NV đổ bao</t>
  </si>
  <si>
    <t>Xếp phía sau trước máy ép kiện</t>
  </si>
  <si>
    <t>2 NV phân loại chai  tạp, bì tạp
2 NV phân loại chai B6, B2.2 
1 NV phân loại chai viền nhôm, các tạp còn lại</t>
  </si>
  <si>
    <t>1 NV kỹ thuật vận hành chung (vận hành chung cho 2 chuyền)</t>
  </si>
  <si>
    <t>1 NV ép kiện thành phẩm, phế liệu, phó sản, lái xe nâng</t>
  </si>
  <si>
    <t xml:space="preserve">2 NV cắt kiện </t>
  </si>
  <si>
    <t>Máy tách nhãn</t>
  </si>
  <si>
    <t>1 NV ép kiện thành phẩm, phế liệu, phó sản</t>
  </si>
  <si>
    <t>1 NV thay bao, đóng gói chai B6</t>
  </si>
  <si>
    <t>2 NV phân loại chai tạp chất,
2 NV phân loại chai B6</t>
  </si>
  <si>
    <t>2 NV phân loại chai B4, B5
2 NV phân loại chai B2.2 và chai còn lại</t>
  </si>
  <si>
    <t>Chuyến/7 tấn</t>
  </si>
  <si>
    <t>(1 chuyến1,5 triệu đồng, 7 tấn/chuyến)</t>
  </si>
  <si>
    <t>(1 kg = 500m)</t>
  </si>
  <si>
    <t>(1 giờ sản xuất 875 kg thành phẩm)</t>
  </si>
  <si>
    <t>75% định biên, trong tuần tăng ca 4.5h</t>
  </si>
  <si>
    <t>25% thời vụ, trong tuần tăng ca 4.5h</t>
  </si>
  <si>
    <t>1 NV xe nâng</t>
  </si>
  <si>
    <t>1 NV phân loại chai B4, B5
1 NV phân loại chai B6, B2.2 và chai sót nhãn
1 NV thu gom bao thành phẩm   
1 NV thay bao rác</t>
  </si>
  <si>
    <t>2 NV phân loại chai  tạp, bì tạp
1 NV phân loại chai B6, B2.2 
1 NV phân loại chai viền nhôm, các tạp còn lại</t>
  </si>
  <si>
    <t>1 NV cấp liệu</t>
  </si>
  <si>
    <t>(1 giờ vận chuyển 1.100kg x 3 chiếc)</t>
  </si>
  <si>
    <t>Trưởng phòng nhân sự</t>
  </si>
  <si>
    <t>Nhân viên hành chính</t>
  </si>
  <si>
    <t>Nhân viên nhân sự</t>
  </si>
  <si>
    <t>Nhân viên chăm sóc cây xanh</t>
  </si>
  <si>
    <t>7.2</t>
  </si>
  <si>
    <t>Tổ trưởng Kiểm soát chất lượng</t>
  </si>
  <si>
    <t>Quản lý kỹ thuật</t>
  </si>
  <si>
    <t>Tổ trưởng vận hành máy</t>
  </si>
  <si>
    <t>Tổ trưởng kỹ thuật nước và môi trường</t>
  </si>
  <si>
    <t>Nhân viên vận hành máy</t>
  </si>
  <si>
    <t xml:space="preserve">Nhân viên bảo trì </t>
  </si>
  <si>
    <t>Nhân viên xử lý nước thải (24/24)</t>
  </si>
  <si>
    <t>Nhân viên thống kê kỹ thuật</t>
  </si>
  <si>
    <t>Giám sát sản xuất</t>
  </si>
  <si>
    <t>Tổ trưởng sản xuất</t>
  </si>
  <si>
    <t>Nhân viên thống kê sản xuất</t>
  </si>
  <si>
    <t>Nhân viên phân loại</t>
  </si>
  <si>
    <t>Nhân viên sản xuất chung</t>
  </si>
  <si>
    <t>Nhân viên ép kiện</t>
  </si>
  <si>
    <t>Nhân viên băm vảy</t>
  </si>
  <si>
    <t>15.5</t>
  </si>
  <si>
    <t>TỔNG NHÂN SỰ</t>
  </si>
  <si>
    <t>Nhân sự thuộc ĐỊNH BIÊN</t>
  </si>
  <si>
    <t>KQKD 2024</t>
  </si>
  <si>
    <t>KQKD 2023</t>
  </si>
  <si>
    <t>Chai PET nhóm 5</t>
  </si>
  <si>
    <t>B7.2</t>
  </si>
  <si>
    <t>Chi Phí Y Tế, BH Sức Khỏe, BH 24/24</t>
  </si>
  <si>
    <t>% CP/DT 2026</t>
  </si>
  <si>
    <t>CP vật tư phục vụ sản xuất: Bao tay, dao, kéo, dây nilon,…</t>
  </si>
  <si>
    <t>Chi phí sửa chữa máy móc giá trị nhỏ</t>
  </si>
  <si>
    <t>Phí kiểm định kỹ thuật, kiểm định cân, kiểm định MMTB,…</t>
  </si>
  <si>
    <t>Chi phí công cụ dụng cụ phục vụ SX: Thiết bị quản lý SX, bảng biểu báo cáo SX, DC xử lý phế,…</t>
  </si>
  <si>
    <t>Phân bổ công cụ dụng cụ ở nhà xưởng: camera, bình PCCC, dụng cụ 5S, MMTB nhỏ, ... trừ dao</t>
  </si>
  <si>
    <t>Công Ty TNHH Thu Mua Phế Liệu Nhựa Khánh Nga</t>
  </si>
  <si>
    <t>Công ty TNHH Cơ Khí Thanh Phương</t>
  </si>
  <si>
    <t>Máy ép kiện ngang, có bao gồm băng tải</t>
  </si>
  <si>
    <t>Tiền làm bàn sắt của máy ép kiện</t>
  </si>
  <si>
    <t>Băng tải con lăn cho máy ép kiện ngang</t>
  </si>
  <si>
    <t>Lồng quay nắp chaipet</t>
  </si>
  <si>
    <t>Tiền mua máy tách nhãn chai - 25046 theo HD: 17</t>
  </si>
  <si>
    <t>6326274001</t>
  </si>
  <si>
    <t>Công ty TNHH Thu Mua Phế Liệu Đại Lộc</t>
  </si>
  <si>
    <t>Công ty TNHH Plenma</t>
  </si>
  <si>
    <t>Băng tải 8 m</t>
  </si>
  <si>
    <t>Thanh toán cho Khánh Thành, chi phí lắp đặt cho khung bao cho băng chuyển lựa sản</t>
  </si>
  <si>
    <t>Băng tải W1.000 x L10.000 x H880 (mm)</t>
  </si>
  <si>
    <t>Máy tách nhãn chai PET ép kiện (Gia Long)</t>
  </si>
  <si>
    <t>Lắp đặt bộ trục vít tải chai theo hợp đồng số 0029/2025/HĐBH-PLM ký ngày 20/06/202</t>
  </si>
  <si>
    <t>Công ty Khánh Thành</t>
  </si>
  <si>
    <t>Công ty TNHH Băng Tải Thành Công</t>
  </si>
  <si>
    <t>Công ty TNHH Kỹ Thuật Công Nghệ Gia Long</t>
  </si>
  <si>
    <t>3.5</t>
  </si>
  <si>
    <t>3.6</t>
  </si>
  <si>
    <t>Công ty TNHH SX Pulian Long An</t>
  </si>
  <si>
    <t>Mua máy tách nhãn Gia Long</t>
  </si>
  <si>
    <t>02 cái Băng tải W800 x L3.000 x H2.200 / H700 (mm)</t>
  </si>
  <si>
    <t>Băng tải PVC model CA-1400 (Pulian)</t>
  </si>
  <si>
    <t>Máy tách nhãn chai PET model: PVN-800 -DTR (Pulian)</t>
  </si>
  <si>
    <t>Công ty TNHH Công Nghệ Thiên Công</t>
  </si>
  <si>
    <t>Hệ thống trạm phát sóng</t>
  </si>
  <si>
    <t>Công ty CP Điện Tử Tiến Phát</t>
  </si>
  <si>
    <t>Trạm cân 80T</t>
  </si>
  <si>
    <t>Công ty TNHH TM Và KT Tin Học T.T.C</t>
  </si>
  <si>
    <t>Máy tính xách tay Dell Latitude</t>
  </si>
  <si>
    <t>Công ty TNHH Phần Mềm Hiệu Qủa Xanh</t>
  </si>
  <si>
    <t>Công ty Xây Dựng Kỹ Thuật Khang Thành</t>
  </si>
  <si>
    <t>Tiền thi công phòng cách âm</t>
  </si>
  <si>
    <t>Phòng tiêu âm</t>
  </si>
  <si>
    <t>Công ty TNHH ZKTeco Việt Nam</t>
  </si>
  <si>
    <t>Máy chấm công gương mặt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</si>
  <si>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</si>
  <si>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</si>
  <si>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</si>
  <si>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</si>
  <si>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</si>
  <si>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</si>
  <si>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</si>
  <si>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</si>
  <si>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</si>
  <si>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</si>
  <si>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</si>
  <si>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</si>
  <si>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</si>
  <si>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</si>
  <si>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</si>
  <si>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</si>
  <si>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</si>
  <si>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</si>
  <si>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</si>
  <si>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</si>
  <si>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</si>
  <si>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</si>
  <si>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</si>
  <si>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</si>
  <si>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</si>
  <si>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</si>
  <si>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</si>
  <si>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</si>
  <si>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6326273002</t>
  </si>
  <si>
    <t>6326277003</t>
  </si>
  <si>
    <t>6423100002</t>
  </si>
  <si>
    <t>6427100001</t>
  </si>
  <si>
    <t>6423100003</t>
  </si>
  <si>
    <t>6326221107</t>
  </si>
  <si>
    <t>6427100003</t>
  </si>
  <si>
    <t>642700200</t>
  </si>
  <si>
    <t>6326271006</t>
  </si>
  <si>
    <t>6421100008</t>
  </si>
  <si>
    <t>Tiền mua nhớt Shell Tellus S2 VX 46 - máy ép kiện</t>
  </si>
  <si>
    <t>Công ty Lê Hùng Sao Mai, dầu chạy máy ép kiện, 627 lít</t>
  </si>
  <si>
    <t>Tiền mua máy tính xách tay Dell, chột  theo HD: 4040</t>
  </si>
  <si>
    <t>Tiền mua máy tính xách tay Dell và chuột vi tính</t>
  </si>
  <si>
    <t>Tiền mua máy tính bàn và ổ cứng SS</t>
  </si>
  <si>
    <t>Tiền mua dịch vụ I-VAN iBHXH và T-VAN TaxOnline</t>
  </si>
  <si>
    <t>Tiền mua chữ ký số SAFE-CA (đăng ký mới, doanh nghiệp/ tổ chức, DN39, TK3)</t>
  </si>
  <si>
    <t>Tiền mua máy tính bàn Dell OptiPlex Tower (7010), màn hình vi tính Dell S2425H 23.8 inch theo HD 294</t>
  </si>
  <si>
    <t>Vỏ máy lột nhãn Chaipet tròn Gia Long theo HD:00000192</t>
  </si>
  <si>
    <t>Vỏ máy lột nhãn Chaipet ép kiện Gia Long theo HD:00000189</t>
  </si>
  <si>
    <t>Tiền giá trị quyết toán hạng mục tháo dỡ hệ thống dây điện và máy sản xuất theo hợp đồng số 0005/202</t>
  </si>
  <si>
    <t>Tiền giá trị quyết toán của việc thi công tháo dỡ, cải tạo và lắp đặt các chuyền máy tại xưởng theo</t>
  </si>
  <si>
    <t>Tiền cải tạo tái lập trạm biến thế 1x750kVA theo hợp đồng số 0009/2024/HĐDV ngày 21/10/2024 theo HD:</t>
  </si>
  <si>
    <t>Tiền mua bản quyền phần mềm office 365 E3 theo HD: 249</t>
  </si>
  <si>
    <t>Tiền bảo trì phần mềm kế toán effect từ ngày 28/02/2025-28/02/2026 theo HD: 0055</t>
  </si>
  <si>
    <t>Tiền mua gói dịch vụ hóa đơn điện tử theo HD: 2064</t>
  </si>
  <si>
    <t>Tiền mua áo thun, nón vải, tạp dề theo HD: 0051</t>
  </si>
  <si>
    <t>Tiền mua dầu Shell Omala S2 GX 680 (20L/thùng) theo HD: 2171</t>
  </si>
  <si>
    <t>Tiền mua giày BHLĐ Dragon 2B theo HD: 151</t>
  </si>
  <si>
    <t>Tiền mua dầu Shell Omala S2 GX 220 theo HD: 2260</t>
  </si>
  <si>
    <t>Máy tính xách tay Dell Latitude 3450/Intel Core i5, Chuột logitech M331</t>
  </si>
  <si>
    <t>Cước wifi từ 01.05.2025-31.05.2026 (13 tháng) theo HD: 37833</t>
  </si>
  <si>
    <t>Sửa chữa, bảo trì máy ép kiện số 1 theo HD: 8</t>
  </si>
  <si>
    <t>Cải tạo băng tải - 25072 theo HD: 28</t>
  </si>
  <si>
    <t>Chữ ký số Safe theo HD: 3546</t>
  </si>
  <si>
    <t>Bản quyền phần mềm Office 365 E3 theo HD: 1234</t>
  </si>
  <si>
    <t>Bàn làm việc gỗ + hộc di động gỗ</t>
  </si>
  <si>
    <t>Ghế GL119R chân mạ</t>
  </si>
  <si>
    <t>Tủ DC1800H6</t>
  </si>
  <si>
    <t>Gia hạn CA4 ký HDDT 1 năm theo HD: 1569125</t>
  </si>
  <si>
    <t>Bàn cân ghế 50x60 theo HD: 9</t>
  </si>
  <si>
    <t>Hệ thống bảng hiệu cho sản xuất</t>
  </si>
  <si>
    <t>Tủ gỗ cho ban giám đốc theo HD: 213</t>
  </si>
  <si>
    <t>Thi công trồng cây cảnh khu vực bồn nước theo báo giá số 33/XD-THLA theo HD: 10</t>
  </si>
  <si>
    <t>Thi công cải tạo sơn trang trí bồn nước theo báo giá số 33/XD-THLA theo HD: 11</t>
  </si>
  <si>
    <t>Hộc tủ, bàn làm việc cho Thủ kho</t>
  </si>
  <si>
    <t>Thi công lắp quạt hút gó, làm mái che mưa, gắn tole lấy ánh sáng theo HD 19</t>
  </si>
  <si>
    <t>Phí bảo hiểm tai nạn con người 24/24 theo HD 6696</t>
  </si>
  <si>
    <t>Chi phí cải tạo văn phòng , khu viên công ty và nhà ăn theo HD 21</t>
  </si>
  <si>
    <t>Dịch vụ sửa chữa, bảo trì máy ép kiện SN 22203834</t>
  </si>
  <si>
    <t>Tiền vận chuyển dây chuyền máy tách nhãn, bọc 2 thành inox, nhân công tháo và lắp đặt theo hợp đồng</t>
  </si>
  <si>
    <t>Sửa chữa xe nâng càng kẹp Unicare</t>
  </si>
  <si>
    <t>Sửa chửa tời cửa cuốn</t>
  </si>
  <si>
    <t>Thi công cải tạo giảm tiếng ồn ra ngoài và mùi nhà dân</t>
  </si>
  <si>
    <t>Cân bàn 1.000kg</t>
  </si>
  <si>
    <t>Băng tải lựa đầu ra chuyền 2 theo hợp đồng 0037/2025/HĐBH-PLM ngày 19/08/2025</t>
  </si>
  <si>
    <t>Băng tải lựa đầu ra chuyền 3 theo hợp đồng 0037/2025/HĐBH-PLM ngày 19/08/2025</t>
  </si>
  <si>
    <t>Bảo hiểm sức khỏe cho cấp quản lý từ 05/09/2025 - 04/09/2025</t>
  </si>
  <si>
    <t>Công ty Lê Hùng Sao Mai</t>
  </si>
  <si>
    <t>Công ty TS24</t>
  </si>
  <si>
    <t>Công ty TS25</t>
  </si>
  <si>
    <t>Công ty Gia Long</t>
  </si>
  <si>
    <t>Công ty TNHH Xây Lắp Điện Thịnh Phát</t>
  </si>
  <si>
    <t>Viettel</t>
  </si>
  <si>
    <t>Công ty TNHH SX TM May Mặc Duyên</t>
  </si>
  <si>
    <t>Công ty TNHH hệ thống bảo hộ an toàn Khải Mi</t>
  </si>
  <si>
    <t>Công ty TNHH Sản Xuất Pulian Long An</t>
  </si>
  <si>
    <t xml:space="preserve">CÔNG TY TNHH PLENMA </t>
  </si>
  <si>
    <t>Công ty TNHH thương mại trang trí nội thất Hữu Thị</t>
  </si>
  <si>
    <t>Công ty TS 24</t>
  </si>
  <si>
    <t>Đoàn Huy Thắng</t>
  </si>
  <si>
    <t xml:space="preserve">Công ty TNHH Quang Minh L.A </t>
  </si>
  <si>
    <t>Công ty TNHH xây dựng thương mại dịch vụ Trần Huỳnh</t>
  </si>
  <si>
    <t>Bảo Hiểm Bảo Việt</t>
  </si>
  <si>
    <t>Lê Hồng Phú</t>
  </si>
  <si>
    <t xml:space="preserve">Công ty TNHH cơ khí và thương mại Minh Hải </t>
  </si>
  <si>
    <t xml:space="preserve">CÔNG TY TNHH SảN XUấT - THƯƠNG MạI - DịCH Vụ CÂN ĐIệN Tử QUốC THịNH </t>
  </si>
  <si>
    <t>Công ty Bảo Hiểm PVI</t>
  </si>
  <si>
    <t>Nhiều NCC</t>
  </si>
  <si>
    <t>2.16</t>
  </si>
  <si>
    <t>2.17</t>
  </si>
  <si>
    <t>2.18</t>
  </si>
  <si>
    <t>2.19</t>
  </si>
  <si>
    <t>2.20</t>
  </si>
  <si>
    <t>2.21</t>
  </si>
  <si>
    <t>2.22</t>
  </si>
  <si>
    <t>Thay dây băng tải cấp liệu đầu vào chuyền 1</t>
  </si>
  <si>
    <t>Thay dây băng tải phân loại chuyền 1</t>
  </si>
  <si>
    <t>Thay dây băng tải nghiêng lên máy tách nhãn chuyền 1</t>
  </si>
  <si>
    <t>Thay dây băng tải phân loại sau tách nhãn chuyền 1</t>
  </si>
  <si>
    <t>Thay dây băng tải cấp liệu đầu vào chuyền 2</t>
  </si>
  <si>
    <t>Thay dây băng tải phân loại chuyền 2</t>
  </si>
  <si>
    <t>Thay dây băng tải phân loại sau tách nhãn chuyền 2</t>
  </si>
  <si>
    <t>Thay dây băng tải cấp liệu đầu vào chuyền 3</t>
  </si>
  <si>
    <t>Thay dây băng tải phân loại chuyền 3</t>
  </si>
  <si>
    <t>Thay dây băng tải nghiêng lên máy tách nhãn chuyền 3</t>
  </si>
  <si>
    <t>Thay dây băng tải phân loại sau tách nhãn chuyền 3</t>
  </si>
  <si>
    <t>Thay dao tĩnh, dao động máy tách nhãn 1</t>
  </si>
  <si>
    <t>Thay dao tĩnh, dao động máy tách nhãn 2</t>
  </si>
  <si>
    <t>Thay dao tĩnh, dao động máy tách nhãn 3</t>
  </si>
  <si>
    <t>Dịch vụ bảo trì, sửa chữa máy ép kiện 1</t>
  </si>
  <si>
    <t>Dịch vụ bảo trì, sửa chữa máy ép kiện 2</t>
  </si>
  <si>
    <t>Chi phí sữa chữa, bảo trì máy tách nhãn dự phòng</t>
  </si>
  <si>
    <t>Bảo trì hệ thống PCCC</t>
  </si>
  <si>
    <t>Dự trừ chi phí sữa chữa nhà xưởng, văn phòng</t>
  </si>
  <si>
    <t xml:space="preserve">Thay vỏ + trục máy tách nhãn 1 </t>
  </si>
  <si>
    <t>Thay vỏ + trục máy tách nhãn 2</t>
  </si>
  <si>
    <t>Thay vỏ + trục máy tách nhãn 3</t>
  </si>
  <si>
    <t>Công ty TNHH Thiết Bị PCCC Đại Phát</t>
  </si>
  <si>
    <t>Xe nâng - NXH</t>
  </si>
  <si>
    <t>Xe nâng - Sản xuất</t>
  </si>
  <si>
    <t>9.4</t>
  </si>
  <si>
    <t>9.5</t>
  </si>
  <si>
    <t>9.6</t>
  </si>
  <si>
    <t>9.7</t>
  </si>
  <si>
    <t>9.8</t>
  </si>
  <si>
    <t>Trạm điện 560 KW</t>
  </si>
  <si>
    <t>Điều chỉnh bút toán tháng 2 - Vật tư điện nhà xưởng- Cty Tân Phước Thịnh (giảm 242</t>
  </si>
  <si>
    <t>Công ty Huỳnh Tâm, tiền cầu dao, chống giật</t>
  </si>
  <si>
    <t>Công ty Huỳnh Tâm, tiền thiết bị điện, dây cáp điện cho Khánh Nga</t>
  </si>
  <si>
    <t>Công ty Advanced lighting Techmology, tiền đèn led 20 Tuýp 1,2 m, 20 máng đèn, 6 b</t>
  </si>
  <si>
    <t>Cty Bảo Minh (thi công điện cấp nguồn hạ thế xưởng Khánh Nga)</t>
  </si>
  <si>
    <t>Bình bến áp 560kVA-22/0,4kV</t>
  </si>
  <si>
    <t>Giá trị quyết toán công trình thi công hệ thống điện cho nhà xưởng theo HĐ 0006/20</t>
  </si>
  <si>
    <t>Hệ thống điện</t>
  </si>
  <si>
    <t>Công ty Huỳnh Tâm</t>
  </si>
  <si>
    <t>Công ty Advanced lighting Techmology</t>
  </si>
  <si>
    <t>Công ty Bảo Minh</t>
  </si>
  <si>
    <t>10.2</t>
  </si>
  <si>
    <t>10.3</t>
  </si>
  <si>
    <t>XDCB - Xưởng 1</t>
  </si>
  <si>
    <t>Công ty TNHH Toàn Lợi</t>
  </si>
  <si>
    <t>Hệ thống PCCC</t>
  </si>
  <si>
    <t>2.23</t>
  </si>
  <si>
    <t>Công ty TNHH TM May Mặc Thúy Vân</t>
  </si>
  <si>
    <t>Đồng phục ( áo thun + nón vải)</t>
  </si>
  <si>
    <t>2.24</t>
  </si>
  <si>
    <t>2.25</t>
  </si>
  <si>
    <t>6421100007</t>
  </si>
  <si>
    <t>Đồng phục khối văn phòng</t>
  </si>
  <si>
    <t>2.26</t>
  </si>
  <si>
    <t>Xử lý rác thải sinh hoạt</t>
  </si>
  <si>
    <t>Công ty TNHH Môi Trường Thành Tài</t>
  </si>
  <si>
    <t>2.27</t>
  </si>
  <si>
    <t>Công ty TNHH Môi Trường Á Châu</t>
  </si>
  <si>
    <t>Thu gom, vận chuyển, xử lý chất thải nguy hại</t>
  </si>
  <si>
    <t>2.28</t>
  </si>
  <si>
    <t>2.29</t>
  </si>
  <si>
    <t>2.30</t>
  </si>
  <si>
    <t>6427100006</t>
  </si>
  <si>
    <t>Báo cáo theo giấy phép môi trường</t>
  </si>
  <si>
    <t>Chi phí đo kiểm môi trường lao động hằng năm</t>
  </si>
  <si>
    <t>2.31</t>
  </si>
  <si>
    <t>Sơn xám trắng sữa RAL 7035, Sơn đỏ RAL 3000, Sơn xám đen RAL7016</t>
  </si>
  <si>
    <t>2.32</t>
  </si>
  <si>
    <t>Gia cố sửa chữa 5 sàn nạp liệu cho chuyền tách nhãn 1,2,3 và máy ép kiện 1,2</t>
  </si>
  <si>
    <t>2.33</t>
  </si>
  <si>
    <t>Vệ sinh, bơm gas, sửa chữa máy lạnh</t>
  </si>
  <si>
    <t>2.34</t>
  </si>
  <si>
    <t>Vật tư phụ kiện điện, nước bảo trì sửa chữa trong nhà xưởng</t>
  </si>
  <si>
    <t>2.35</t>
  </si>
  <si>
    <t>Kẽ lối đi, layout cho toàn nhà máy</t>
  </si>
  <si>
    <t>2.36</t>
  </si>
  <si>
    <t>Chi phí bảo dưỡng xe nâng định kỳ 3  tháng, hư đột xuất</t>
  </si>
  <si>
    <t>2.37</t>
  </si>
  <si>
    <t>6326277006</t>
  </si>
  <si>
    <t>2.38</t>
  </si>
  <si>
    <t>Gối đỡ Asahi UCP các loại</t>
  </si>
  <si>
    <t>2.39</t>
  </si>
  <si>
    <t>Dây băng  tải 3 lớp (PVC xanh) 3mmx200mm</t>
  </si>
  <si>
    <t>2.40</t>
  </si>
  <si>
    <t>Máy hàn que  Hồng Ký HK 200A, Máy mài góc Bosch GWS 900-125S</t>
  </si>
  <si>
    <t>2.41</t>
  </si>
  <si>
    <t>Bảo hiểm tai nạn 24 giờ, Khám sức khỏe định kỳ, Y tế (thuốc, dụng cụ y tế)</t>
  </si>
  <si>
    <t>2.42</t>
  </si>
  <si>
    <t>Bảo hiểm sức khỏe cấp quản lý</t>
  </si>
  <si>
    <t>Chi phí kiểm định kỹ thuật (gửi mẫu phân tích, hiệu chuẩn máy móc thiết bị đo lường, cân bàn, cân QC, xe nâng + đo chống sét)</t>
  </si>
  <si>
    <t>6326273001</t>
  </si>
  <si>
    <t>Công ty TNHH TM XD Phan Gia Phúc</t>
  </si>
  <si>
    <t>HKD Lê Hồng Phú</t>
  </si>
  <si>
    <t>CÔNG TY TNHH PLB VIệT NAM</t>
  </si>
  <si>
    <t>Công ty Bảo Hiểm PVI, Bảo Việt</t>
  </si>
  <si>
    <t>HKD Dương Thị Mỹ Dung</t>
  </si>
  <si>
    <t>Công ty Bảo Hiểm Bảo Việt</t>
  </si>
  <si>
    <t>Trung Tâm Kiểm Định Khu Vực II</t>
  </si>
  <si>
    <t>2.43</t>
  </si>
  <si>
    <t>2.44</t>
  </si>
  <si>
    <t>2.45</t>
  </si>
  <si>
    <t>Đồ bảo hộ lao động</t>
  </si>
  <si>
    <t>2.46</t>
  </si>
  <si>
    <t>VNPT</t>
  </si>
  <si>
    <t>HKD Vinh Phát</t>
  </si>
  <si>
    <t>Thực tế năm 2023</t>
  </si>
  <si>
    <t>2.47</t>
  </si>
  <si>
    <t>License Office 365</t>
  </si>
  <si>
    <t>6326221101</t>
  </si>
  <si>
    <t>6326221102</t>
  </si>
  <si>
    <t>6326221103</t>
  </si>
  <si>
    <t>6326221104</t>
  </si>
  <si>
    <t xml:space="preserve">Thưởng danh hiệu </t>
  </si>
  <si>
    <t>6326221105</t>
  </si>
  <si>
    <t>TT09.2025</t>
  </si>
  <si>
    <t>CHI PHÍ KHẤU HAO</t>
  </si>
  <si>
    <t>2.48</t>
  </si>
  <si>
    <t>2.49</t>
  </si>
  <si>
    <t>2.50</t>
  </si>
  <si>
    <t>Bảo trì ben thủy lực máy ép kiện 1, 2 + đường ray</t>
  </si>
  <si>
    <t>Dầu thủy lực máy ép kiện</t>
  </si>
  <si>
    <t>Sửa chữa bộ cánh quạt đánh tem nhãn (1 máy 6 tháng thay 1 lần)</t>
  </si>
  <si>
    <t>Nhân viên tạp vụ (Lao động thuê ngoài)</t>
  </si>
  <si>
    <t>6277002301</t>
  </si>
  <si>
    <t>Bảo hiểm tài sản</t>
  </si>
  <si>
    <t>Cost Category</t>
  </si>
  <si>
    <t>Cost ID</t>
  </si>
  <si>
    <t>Type</t>
  </si>
  <si>
    <t>FOH</t>
  </si>
  <si>
    <t>ADM</t>
  </si>
  <si>
    <t>UnControllable</t>
  </si>
  <si>
    <t>Controllable</t>
  </si>
  <si>
    <t>Kiểm soát thành phẩm ( Lao động thuê ngoài)</t>
  </si>
  <si>
    <t>VCOGs</t>
  </si>
  <si>
    <t>MKT</t>
  </si>
  <si>
    <t>Kế hoạch 2025</t>
  </si>
  <si>
    <t>6424100001</t>
  </si>
  <si>
    <t>Phần mềm SAP</t>
  </si>
  <si>
    <t>Tiền thi công mái nhà</t>
  </si>
  <si>
    <t>Tiền giá trị khối lượng đợt 1 hợp đồng xây dựng số 0002/2024/HĐXD-KN ngày 24.07.20</t>
  </si>
  <si>
    <t>Tiền giá trị quyết toán phụ lục hợp đồng số 0002/2024/HĐXD-KN/PL01 ngày 31/08/2024</t>
  </si>
  <si>
    <t>Kế hoạch 2026</t>
  </si>
  <si>
    <t>Giám đốc đại diện pháp luật</t>
  </si>
  <si>
    <t>Tổng công suất PET/tháng (8hx3cax30 ngày)</t>
  </si>
  <si>
    <t>ĐINH BIÊN NHÂN SỰ - PET</t>
  </si>
  <si>
    <t>6.1.1</t>
  </si>
  <si>
    <t>6.1.2</t>
  </si>
  <si>
    <t>6.2.1</t>
  </si>
  <si>
    <t>6.2.2</t>
  </si>
  <si>
    <t>6.2.3</t>
  </si>
  <si>
    <t>6.2.4</t>
  </si>
  <si>
    <t>6.2.5</t>
  </si>
  <si>
    <t>6.2.6</t>
  </si>
  <si>
    <t>III - CHI PHÍ QUẢN LÝ</t>
  </si>
  <si>
    <t xml:space="preserve">Trưởng phòng sản xuất </t>
  </si>
  <si>
    <t>KH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</si>
</sst>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[$-1010000]d/m/yy;@"/>
    <numFmt numFmtId="177" formatCode="#,###.0,,"/>
    <numFmt numFmtId="178" formatCode="#,###.0,"/>
    <numFmt numFmtId="179" formatCode="#,0##.00,"/>
    <numFmt numFmtId="180" formatCode="#,###.000,"/>
    <numFmt numFmtId="181" formatCode="#,###.00,,"/>
    <numFmt numFmtId="182" formatCode="_-* #,##0;[Red]\(#,##0\);_-* &quot;-&quot;??_-;_-@_-"/>
    <numFmt numFmtId="183" formatCode="_(* #,##0.000_);_(* \(#,##0.000\);_(* &quot;-&quot;??_);_(@_)"/>
    <numFmt numFmtId="184" formatCode="0.00%;\(0.00%\)"/>
    <numFmt numFmtId="185" formatCode="#,###.000,,"/>
    <numFmt numFmtId="186" formatCode="General_)"/>
    <numFmt numFmtId="187" formatCode="[$-107041E]d\ mmm\ yy;@"/>
    <numFmt numFmtId="188" formatCode="#,##0\ &quot;days&quot;"/>
    <numFmt numFmtId="189" formatCode="[$-101042A]&quot;T&quot;m\.yyyy;@"/>
  </numFmts>
  <fonts count="8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Calibri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3333FF"/>
      <name val="Times New Roman"/>
      <family val="1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sz val="10"/>
      <color rgb="FF00B050"/>
      <name val="Arial"/>
      <family val="2"/>
    </font>
    <font>
      <sz val="12"/>
      <name val="Calibri"/>
      <family val="2"/>
      <scheme val="minor"/>
    </font>
    <font>
      <sz val="12"/>
      <color rgb="FF0000FF"/>
      <name val="Calibri Light"/>
      <family val="1"/>
      <scheme val="major"/>
    </font>
    <font>
      <b/>
      <sz val="14"/>
      <color rgb="FF00B050"/>
      <name val="Arial"/>
      <family val="2"/>
    </font>
    <font>
      <sz val="11"/>
      <color rgb="FF0000FF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Calibri Light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0"/>
      <color theme="5" tint="-0.249977111117893"/>
      <name val="Arial"/>
      <family val="2"/>
    </font>
    <font>
      <b/>
      <sz val="12"/>
      <color rgb="FF3333FF"/>
      <name val="Times New Roman"/>
      <family val="1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b/>
      <sz val="10"/>
      <color rgb="FF0000CC"/>
      <name val="Arial"/>
      <family val="2"/>
    </font>
    <font>
      <sz val="15"/>
      <color theme="1"/>
      <name val="Arial"/>
      <family val="2"/>
    </font>
    <font>
      <i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tted">
        <color theme="0" tint="-0.24994659260841701"/>
      </top>
      <bottom style="thin">
        <color rgb="FF11950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auto="1"/>
      </left>
      <right style="thin">
        <color auto="1"/>
      </right>
      <top/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thin">
        <color rgb="FF11950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2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0" fontId="14" fillId="0" borderId="0" applyNumberFormat="0" applyFill="0" applyProtection="0">
      <alignment horizontal="left"/>
    </xf>
    <xf numFmtId="170" fontId="13" fillId="0" borderId="0" applyFont="0" applyFill="0" applyBorder="0" applyAlignment="0" applyProtection="0"/>
    <xf numFmtId="0" fontId="2" fillId="0" borderId="0"/>
    <xf numFmtId="0" fontId="32" fillId="0" borderId="0"/>
    <xf numFmtId="0" fontId="33" fillId="0" borderId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34" fillId="0" borderId="0"/>
    <xf numFmtId="170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6" fillId="0" borderId="0"/>
    <xf numFmtId="0" fontId="32" fillId="0" borderId="0"/>
    <xf numFmtId="43" fontId="36" fillId="0" borderId="0" applyFont="0" applyFill="0" applyBorder="0" applyAlignment="0" applyProtection="0"/>
    <xf numFmtId="0" fontId="32" fillId="0" borderId="0"/>
    <xf numFmtId="170" fontId="32" fillId="0" borderId="0" applyFont="0" applyFill="0" applyBorder="0" applyAlignment="0" applyProtection="0"/>
    <xf numFmtId="0" fontId="13" fillId="0" borderId="0"/>
    <xf numFmtId="170" fontId="4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186" fontId="68" fillId="0" borderId="0"/>
    <xf numFmtId="0" fontId="71" fillId="0" borderId="0"/>
  </cellStyleXfs>
  <cellXfs count="1471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11" fillId="0" borderId="0" xfId="0" applyFont="1"/>
    <xf numFmtId="0" fontId="12" fillId="0" borderId="0" xfId="0" applyFont="1"/>
    <xf numFmtId="0" fontId="11" fillId="12" borderId="1" xfId="0" applyFont="1" applyFill="1" applyBorder="1" applyAlignment="1">
      <alignment horizontal="center" vertical="center" wrapText="1"/>
    </xf>
    <xf numFmtId="0" fontId="12" fillId="8" borderId="1" xfId="6" applyFont="1" applyFill="1" applyBorder="1" applyAlignment="1">
      <alignment horizontal="center" vertical="center" wrapText="1"/>
    </xf>
    <xf numFmtId="0" fontId="12" fillId="8" borderId="1" xfId="6" applyFont="1" applyFill="1" applyBorder="1" applyAlignment="1">
      <alignment horizontal="left" vertical="center" wrapText="1"/>
    </xf>
    <xf numFmtId="165" fontId="12" fillId="8" borderId="1" xfId="6" applyNumberFormat="1" applyFont="1" applyFill="1" applyBorder="1" applyAlignment="1">
      <alignment horizontal="center" vertical="center" wrapText="1"/>
    </xf>
    <xf numFmtId="164" fontId="12" fillId="8" borderId="1" xfId="8" quotePrefix="1" applyNumberFormat="1" applyFont="1" applyFill="1" applyBorder="1" applyAlignment="1">
      <alignment horizontal="center" vertical="center" wrapText="1"/>
    </xf>
    <xf numFmtId="0" fontId="11" fillId="8" borderId="1" xfId="6" applyFont="1" applyFill="1" applyBorder="1" applyAlignment="1">
      <alignment horizontal="center" vertical="center" wrapText="1"/>
    </xf>
    <xf numFmtId="0" fontId="11" fillId="8" borderId="1" xfId="6" applyFont="1" applyFill="1" applyBorder="1" applyAlignment="1">
      <alignment horizontal="left" vertical="center" wrapText="1"/>
    </xf>
    <xf numFmtId="165" fontId="11" fillId="8" borderId="1" xfId="6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165" fontId="12" fillId="8" borderId="0" xfId="2" applyNumberFormat="1" applyFont="1" applyFill="1"/>
    <xf numFmtId="165" fontId="12" fillId="8" borderId="1" xfId="2" applyNumberFormat="1" applyFont="1" applyFill="1" applyBorder="1" applyAlignment="1">
      <alignment horizontal="center" vertical="center" wrapText="1"/>
    </xf>
    <xf numFmtId="9" fontId="12" fillId="8" borderId="1" xfId="2" applyFont="1" applyFill="1" applyBorder="1" applyAlignment="1">
      <alignment horizontal="center" vertical="center" wrapText="1"/>
    </xf>
    <xf numFmtId="167" fontId="12" fillId="8" borderId="1" xfId="8" quotePrefix="1" applyNumberFormat="1" applyFont="1" applyFill="1" applyBorder="1" applyAlignment="1">
      <alignment horizontal="center" vertical="center" wrapText="1"/>
    </xf>
    <xf numFmtId="168" fontId="12" fillId="8" borderId="1" xfId="8" quotePrefix="1" applyNumberFormat="1" applyFont="1" applyFill="1" applyBorder="1" applyAlignment="1">
      <alignment horizontal="center" vertical="center" wrapText="1"/>
    </xf>
    <xf numFmtId="168" fontId="11" fillId="8" borderId="1" xfId="8" quotePrefix="1" applyNumberFormat="1" applyFont="1" applyFill="1" applyBorder="1" applyAlignment="1">
      <alignment horizontal="center" vertical="center" wrapText="1"/>
    </xf>
    <xf numFmtId="0" fontId="12" fillId="8" borderId="3" xfId="6" applyFont="1" applyFill="1" applyBorder="1" applyAlignment="1">
      <alignment horizontal="left" vertical="center" wrapText="1"/>
    </xf>
    <xf numFmtId="0" fontId="11" fillId="3" borderId="1" xfId="6" applyFont="1" applyFill="1" applyBorder="1" applyAlignment="1">
      <alignment horizontal="center" vertical="center" wrapText="1"/>
    </xf>
    <xf numFmtId="0" fontId="11" fillId="3" borderId="1" xfId="6" applyFont="1" applyFill="1" applyBorder="1" applyAlignment="1">
      <alignment horizontal="left" vertical="center" wrapText="1"/>
    </xf>
    <xf numFmtId="165" fontId="11" fillId="3" borderId="1" xfId="6" applyNumberFormat="1" applyFont="1" applyFill="1" applyBorder="1" applyAlignment="1">
      <alignment horizontal="center" vertical="center" wrapText="1"/>
    </xf>
    <xf numFmtId="167" fontId="12" fillId="8" borderId="1" xfId="8" quotePrefix="1" applyNumberFormat="1" applyFont="1" applyFill="1" applyBorder="1" applyAlignment="1">
      <alignment horizontal="right" vertical="center" wrapText="1"/>
    </xf>
    <xf numFmtId="167" fontId="11" fillId="3" borderId="1" xfId="8" quotePrefix="1" applyNumberFormat="1" applyFont="1" applyFill="1" applyBorder="1" applyAlignment="1">
      <alignment horizontal="right" vertical="center" wrapText="1"/>
    </xf>
    <xf numFmtId="168" fontId="12" fillId="8" borderId="1" xfId="8" quotePrefix="1" applyNumberFormat="1" applyFont="1" applyFill="1" applyBorder="1" applyAlignment="1">
      <alignment horizontal="right" vertical="center" wrapText="1"/>
    </xf>
    <xf numFmtId="168" fontId="11" fillId="3" borderId="1" xfId="8" quotePrefix="1" applyNumberFormat="1" applyFont="1" applyFill="1" applyBorder="1" applyAlignment="1">
      <alignment horizontal="right" vertical="center" wrapText="1"/>
    </xf>
    <xf numFmtId="0" fontId="11" fillId="12" borderId="1" xfId="6" applyFont="1" applyFill="1" applyBorder="1" applyAlignment="1">
      <alignment horizontal="center" vertical="center" wrapText="1"/>
    </xf>
    <xf numFmtId="164" fontId="11" fillId="12" borderId="1" xfId="1" applyNumberFormat="1" applyFont="1" applyFill="1" applyBorder="1" applyAlignment="1">
      <alignment horizontal="center" vertical="center" wrapText="1"/>
    </xf>
    <xf numFmtId="168" fontId="11" fillId="12" borderId="1" xfId="0" applyNumberFormat="1" applyFont="1" applyFill="1" applyBorder="1" applyAlignment="1">
      <alignment horizontal="center" vertical="center" wrapText="1"/>
    </xf>
    <xf numFmtId="164" fontId="12" fillId="0" borderId="0" xfId="1" applyNumberFormat="1" applyFont="1" applyAlignment="1">
      <alignment horizontal="right"/>
    </xf>
    <xf numFmtId="165" fontId="12" fillId="8" borderId="3" xfId="6" applyNumberFormat="1" applyFont="1" applyFill="1" applyBorder="1" applyAlignment="1">
      <alignment horizontal="center" vertical="center" wrapText="1"/>
    </xf>
    <xf numFmtId="0" fontId="12" fillId="8" borderId="0" xfId="0" applyFont="1" applyFill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165" fontId="12" fillId="0" borderId="1" xfId="2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65" fontId="11" fillId="0" borderId="1" xfId="2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165" fontId="11" fillId="0" borderId="1" xfId="2" applyNumberFormat="1" applyFont="1" applyFill="1" applyBorder="1" applyAlignment="1">
      <alignment vertical="center"/>
    </xf>
    <xf numFmtId="165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1" applyNumberFormat="1" applyFont="1"/>
    <xf numFmtId="168" fontId="12" fillId="0" borderId="0" xfId="1" applyNumberFormat="1" applyFont="1" applyAlignment="1">
      <alignment horizontal="center"/>
    </xf>
    <xf numFmtId="168" fontId="12" fillId="0" borderId="0" xfId="0" applyNumberFormat="1" applyFont="1"/>
    <xf numFmtId="0" fontId="11" fillId="3" borderId="1" xfId="0" applyFont="1" applyFill="1" applyBorder="1" applyAlignment="1">
      <alignment horizontal="center"/>
    </xf>
    <xf numFmtId="0" fontId="11" fillId="3" borderId="1" xfId="1" applyNumberFormat="1" applyFont="1" applyFill="1" applyBorder="1" applyAlignment="1" applyProtection="1">
      <alignment horizontal="left" vertical="center"/>
    </xf>
    <xf numFmtId="0" fontId="11" fillId="3" borderId="1" xfId="1" applyNumberFormat="1" applyFont="1" applyFill="1" applyBorder="1" applyAlignment="1" applyProtection="1">
      <alignment horizontal="center" vertical="center"/>
    </xf>
    <xf numFmtId="167" fontId="11" fillId="3" borderId="1" xfId="1" applyNumberFormat="1" applyFont="1" applyFill="1" applyBorder="1" applyAlignment="1" applyProtection="1">
      <alignment horizontal="center" vertical="center"/>
    </xf>
    <xf numFmtId="0" fontId="11" fillId="8" borderId="0" xfId="0" applyFont="1" applyFill="1"/>
    <xf numFmtId="0" fontId="12" fillId="0" borderId="1" xfId="0" applyFont="1" applyBorder="1" applyAlignment="1">
      <alignment horizontal="center"/>
    </xf>
    <xf numFmtId="169" fontId="12" fillId="0" borderId="1" xfId="9" applyNumberFormat="1" applyFont="1" applyBorder="1" applyAlignment="1">
      <alignment vertical="center"/>
    </xf>
    <xf numFmtId="169" fontId="12" fillId="0" borderId="1" xfId="9" applyNumberFormat="1" applyFont="1" applyBorder="1" applyAlignment="1">
      <alignment horizontal="center" vertical="center"/>
    </xf>
    <xf numFmtId="167" fontId="12" fillId="0" borderId="1" xfId="1" applyNumberFormat="1" applyFont="1" applyFill="1" applyBorder="1" applyAlignment="1" applyProtection="1">
      <alignment horizontal="center" vertical="center"/>
    </xf>
    <xf numFmtId="169" fontId="11" fillId="0" borderId="1" xfId="9" applyNumberFormat="1" applyFont="1" applyBorder="1" applyAlignment="1">
      <alignment vertical="center"/>
    </xf>
    <xf numFmtId="169" fontId="11" fillId="0" borderId="1" xfId="9" applyNumberFormat="1" applyFont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/>
    </xf>
    <xf numFmtId="167" fontId="11" fillId="0" borderId="1" xfId="1" applyNumberFormat="1" applyFont="1" applyFill="1" applyBorder="1" applyAlignment="1" applyProtection="1">
      <alignment horizontal="center" vertical="center"/>
    </xf>
    <xf numFmtId="167" fontId="11" fillId="0" borderId="1" xfId="0" applyNumberFormat="1" applyFont="1" applyBorder="1"/>
    <xf numFmtId="0" fontId="12" fillId="0" borderId="1" xfId="0" applyFont="1" applyBorder="1" applyAlignment="1">
      <alignment horizontal="right"/>
    </xf>
    <xf numFmtId="169" fontId="12" fillId="0" borderId="1" xfId="9" applyNumberFormat="1" applyFont="1" applyBorder="1" applyAlignment="1">
      <alignment vertical="center" wrapText="1"/>
    </xf>
    <xf numFmtId="169" fontId="11" fillId="0" borderId="1" xfId="9" applyNumberFormat="1" applyFont="1" applyBorder="1" applyAlignment="1">
      <alignment vertical="center" wrapText="1"/>
    </xf>
    <xf numFmtId="169" fontId="12" fillId="0" borderId="1" xfId="9" applyNumberFormat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2" fillId="3" borderId="1" xfId="1" applyNumberFormat="1" applyFont="1" applyFill="1" applyBorder="1" applyAlignment="1" applyProtection="1">
      <alignment horizontal="right" vertical="center"/>
    </xf>
    <xf numFmtId="0" fontId="12" fillId="3" borderId="1" xfId="1" applyNumberFormat="1" applyFont="1" applyFill="1" applyBorder="1" applyAlignment="1" applyProtection="1">
      <alignment horizontal="center" vertical="center"/>
    </xf>
    <xf numFmtId="167" fontId="12" fillId="3" borderId="1" xfId="1" applyNumberFormat="1" applyFont="1" applyFill="1" applyBorder="1" applyAlignment="1" applyProtection="1">
      <alignment horizontal="center" vertical="center"/>
    </xf>
    <xf numFmtId="167" fontId="12" fillId="0" borderId="0" xfId="1" applyNumberFormat="1" applyFont="1" applyAlignment="1">
      <alignment horizontal="center"/>
    </xf>
    <xf numFmtId="167" fontId="12" fillId="0" borderId="0" xfId="0" applyNumberFormat="1" applyFont="1"/>
    <xf numFmtId="164" fontId="11" fillId="3" borderId="1" xfId="1" applyNumberFormat="1" applyFont="1" applyFill="1" applyBorder="1" applyAlignment="1" applyProtection="1">
      <alignment horizontal="center" vertical="center"/>
    </xf>
    <xf numFmtId="164" fontId="12" fillId="0" borderId="1" xfId="1" applyNumberFormat="1" applyFont="1" applyFill="1" applyBorder="1" applyAlignment="1" applyProtection="1">
      <alignment horizontal="center" vertical="center"/>
    </xf>
    <xf numFmtId="164" fontId="11" fillId="0" borderId="1" xfId="1" applyNumberFormat="1" applyFont="1" applyFill="1" applyBorder="1" applyAlignment="1" applyProtection="1">
      <alignment horizontal="center" vertical="center"/>
    </xf>
    <xf numFmtId="164" fontId="12" fillId="0" borderId="0" xfId="1" applyNumberFormat="1" applyFont="1" applyAlignment="1">
      <alignment vertical="center"/>
    </xf>
    <xf numFmtId="164" fontId="11" fillId="0" borderId="0" xfId="1" applyNumberFormat="1" applyFont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1" xfId="1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right" vertical="center"/>
    </xf>
    <xf numFmtId="164" fontId="11" fillId="0" borderId="1" xfId="1" applyNumberFormat="1" applyFont="1" applyBorder="1" applyAlignment="1">
      <alignment vertical="center"/>
    </xf>
    <xf numFmtId="164" fontId="12" fillId="0" borderId="0" xfId="1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164" fontId="12" fillId="0" borderId="0" xfId="1" applyNumberFormat="1" applyFont="1" applyFill="1" applyBorder="1" applyAlignment="1">
      <alignment vertical="center"/>
    </xf>
    <xf numFmtId="164" fontId="12" fillId="0" borderId="0" xfId="1" applyNumberFormat="1" applyFont="1" applyAlignment="1">
      <alignment horizontal="left" vertical="center"/>
    </xf>
    <xf numFmtId="164" fontId="12" fillId="0" borderId="0" xfId="1" applyNumberFormat="1" applyFont="1" applyAlignment="1">
      <alignment vertical="center" wrapText="1"/>
    </xf>
    <xf numFmtId="171" fontId="12" fillId="0" borderId="0" xfId="1" applyNumberFormat="1" applyFont="1" applyFill="1" applyAlignment="1">
      <alignment vertical="center"/>
    </xf>
    <xf numFmtId="171" fontId="12" fillId="0" borderId="0" xfId="1" applyNumberFormat="1" applyFont="1" applyAlignment="1">
      <alignment vertical="center"/>
    </xf>
    <xf numFmtId="171" fontId="12" fillId="0" borderId="0" xfId="0" applyNumberFormat="1" applyFont="1" applyAlignment="1">
      <alignment vertical="center"/>
    </xf>
    <xf numFmtId="172" fontId="12" fillId="0" borderId="0" xfId="1" applyNumberFormat="1" applyFont="1" applyAlignment="1">
      <alignment vertical="center"/>
    </xf>
    <xf numFmtId="49" fontId="11" fillId="0" borderId="0" xfId="1" applyNumberFormat="1" applyFont="1" applyFill="1" applyBorder="1" applyAlignment="1">
      <alignment vertical="center"/>
    </xf>
    <xf numFmtId="173" fontId="11" fillId="0" borderId="0" xfId="1" applyNumberFormat="1" applyFont="1" applyFill="1" applyBorder="1" applyAlignment="1">
      <alignment vertical="center"/>
    </xf>
    <xf numFmtId="173" fontId="11" fillId="0" borderId="12" xfId="1" applyNumberFormat="1" applyFont="1" applyBorder="1" applyAlignment="1" applyProtection="1">
      <alignment horizontal="left" vertical="center"/>
    </xf>
    <xf numFmtId="173" fontId="11" fillId="0" borderId="12" xfId="1" applyNumberFormat="1" applyFont="1" applyBorder="1" applyAlignment="1" applyProtection="1">
      <alignment horizontal="left" vertical="center" wrapText="1"/>
    </xf>
    <xf numFmtId="168" fontId="11" fillId="0" borderId="17" xfId="1" applyNumberFormat="1" applyFont="1" applyFill="1" applyBorder="1" applyAlignment="1">
      <alignment horizontal="right" vertical="center"/>
    </xf>
    <xf numFmtId="173" fontId="11" fillId="0" borderId="0" xfId="1" applyNumberFormat="1" applyFont="1" applyFill="1" applyBorder="1" applyAlignment="1">
      <alignment horizontal="right" vertical="center"/>
    </xf>
    <xf numFmtId="173" fontId="12" fillId="0" borderId="0" xfId="1" applyNumberFormat="1" applyFont="1" applyFill="1" applyBorder="1" applyAlignment="1">
      <alignment vertical="center"/>
    </xf>
    <xf numFmtId="173" fontId="12" fillId="0" borderId="12" xfId="1" applyNumberFormat="1" applyFont="1" applyBorder="1" applyAlignment="1" applyProtection="1">
      <alignment horizontal="left" vertical="center"/>
    </xf>
    <xf numFmtId="173" fontId="12" fillId="0" borderId="12" xfId="1" applyNumberFormat="1" applyFont="1" applyBorder="1" applyAlignment="1" applyProtection="1">
      <alignment horizontal="left" vertical="center" wrapText="1"/>
    </xf>
    <xf numFmtId="168" fontId="12" fillId="0" borderId="17" xfId="1" applyNumberFormat="1" applyFont="1" applyFill="1" applyBorder="1" applyAlignment="1">
      <alignment horizontal="right" vertical="center"/>
    </xf>
    <xf numFmtId="173" fontId="12" fillId="0" borderId="0" xfId="1" applyNumberFormat="1" applyFont="1" applyFill="1" applyBorder="1" applyAlignment="1">
      <alignment horizontal="right" vertical="center"/>
    </xf>
    <xf numFmtId="164" fontId="11" fillId="0" borderId="0" xfId="1" applyNumberFormat="1" applyFont="1" applyFill="1" applyBorder="1" applyAlignment="1">
      <alignment vertical="center"/>
    </xf>
    <xf numFmtId="0" fontId="11" fillId="0" borderId="11" xfId="1" applyNumberFormat="1" applyFont="1" applyFill="1" applyBorder="1" applyAlignment="1" applyProtection="1">
      <alignment horizontal="left" vertical="center"/>
    </xf>
    <xf numFmtId="0" fontId="11" fillId="0" borderId="11" xfId="1" applyNumberFormat="1" applyFont="1" applyFill="1" applyBorder="1" applyAlignment="1" applyProtection="1">
      <alignment horizontal="left" vertical="center" wrapText="1"/>
    </xf>
    <xf numFmtId="171" fontId="11" fillId="0" borderId="18" xfId="1" applyNumberFormat="1" applyFont="1" applyFill="1" applyBorder="1" applyAlignment="1" applyProtection="1">
      <alignment vertical="center"/>
    </xf>
    <xf numFmtId="169" fontId="12" fillId="0" borderId="11" xfId="9" applyNumberFormat="1" applyFont="1" applyBorder="1" applyAlignment="1">
      <alignment horizontal="left" vertical="center"/>
    </xf>
    <xf numFmtId="171" fontId="12" fillId="0" borderId="18" xfId="1" applyNumberFormat="1" applyFont="1" applyFill="1" applyBorder="1" applyAlignment="1" applyProtection="1">
      <alignment vertical="center"/>
    </xf>
    <xf numFmtId="0" fontId="12" fillId="0" borderId="11" xfId="1" applyNumberFormat="1" applyFont="1" applyFill="1" applyBorder="1" applyAlignment="1" applyProtection="1">
      <alignment horizontal="left" vertical="center" wrapText="1"/>
    </xf>
    <xf numFmtId="0" fontId="11" fillId="0" borderId="11" xfId="1" applyNumberFormat="1" applyFont="1" applyBorder="1" applyAlignment="1" applyProtection="1">
      <alignment horizontal="left" vertical="center"/>
    </xf>
    <xf numFmtId="0" fontId="11" fillId="0" borderId="11" xfId="1" applyNumberFormat="1" applyFont="1" applyBorder="1" applyAlignment="1" applyProtection="1">
      <alignment horizontal="left" vertical="center" wrapText="1"/>
    </xf>
    <xf numFmtId="0" fontId="12" fillId="0" borderId="11" xfId="1" applyNumberFormat="1" applyFont="1" applyBorder="1" applyAlignment="1" applyProtection="1">
      <alignment horizontal="left" vertical="center"/>
    </xf>
    <xf numFmtId="0" fontId="12" fillId="0" borderId="11" xfId="1" applyNumberFormat="1" applyFont="1" applyBorder="1" applyAlignment="1" applyProtection="1">
      <alignment horizontal="left" vertical="center" wrapText="1"/>
    </xf>
    <xf numFmtId="9" fontId="12" fillId="0" borderId="0" xfId="2" applyFont="1" applyFill="1" applyBorder="1" applyAlignment="1">
      <alignment vertical="center"/>
    </xf>
    <xf numFmtId="9" fontId="11" fillId="0" borderId="0" xfId="2" applyFont="1" applyFill="1" applyBorder="1" applyAlignment="1">
      <alignment vertical="center"/>
    </xf>
    <xf numFmtId="164" fontId="15" fillId="0" borderId="0" xfId="1" applyNumberFormat="1" applyFont="1" applyFill="1" applyBorder="1" applyAlignment="1">
      <alignment vertical="center"/>
    </xf>
    <xf numFmtId="0" fontId="15" fillId="0" borderId="11" xfId="1" applyNumberFormat="1" applyFont="1" applyBorder="1" applyAlignment="1" applyProtection="1">
      <alignment horizontal="left" vertical="center"/>
    </xf>
    <xf numFmtId="0" fontId="15" fillId="0" borderId="11" xfId="1" applyNumberFormat="1" applyFont="1" applyBorder="1" applyAlignment="1" applyProtection="1">
      <alignment horizontal="left" vertical="center" wrapText="1"/>
    </xf>
    <xf numFmtId="171" fontId="15" fillId="0" borderId="18" xfId="1" applyNumberFormat="1" applyFont="1" applyFill="1" applyBorder="1" applyAlignment="1" applyProtection="1">
      <alignment vertical="center"/>
    </xf>
    <xf numFmtId="9" fontId="15" fillId="0" borderId="0" xfId="2" applyFont="1" applyFill="1" applyBorder="1" applyAlignment="1">
      <alignment vertical="center"/>
    </xf>
    <xf numFmtId="9" fontId="15" fillId="0" borderId="13" xfId="2" applyFont="1" applyFill="1" applyBorder="1" applyAlignment="1" applyProtection="1">
      <alignment horizontal="left" vertical="center"/>
    </xf>
    <xf numFmtId="9" fontId="15" fillId="0" borderId="13" xfId="2" applyFont="1" applyFill="1" applyBorder="1" applyAlignment="1" applyProtection="1">
      <alignment horizontal="left" vertical="center" wrapText="1"/>
    </xf>
    <xf numFmtId="171" fontId="15" fillId="0" borderId="16" xfId="2" applyNumberFormat="1" applyFont="1" applyFill="1" applyBorder="1" applyAlignment="1" applyProtection="1">
      <alignment vertical="center"/>
    </xf>
    <xf numFmtId="171" fontId="15" fillId="0" borderId="14" xfId="2" applyNumberFormat="1" applyFont="1" applyFill="1" applyBorder="1" applyAlignment="1" applyProtection="1">
      <alignment vertical="center"/>
    </xf>
    <xf numFmtId="171" fontId="15" fillId="0" borderId="15" xfId="2" applyNumberFormat="1" applyFont="1" applyFill="1" applyBorder="1" applyAlignment="1" applyProtection="1">
      <alignment vertical="center"/>
    </xf>
    <xf numFmtId="164" fontId="11" fillId="0" borderId="0" xfId="1" applyNumberFormat="1" applyFont="1" applyAlignment="1">
      <alignment horizontal="centerContinuous" vertical="center" wrapText="1"/>
    </xf>
    <xf numFmtId="164" fontId="11" fillId="0" borderId="0" xfId="1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7" fillId="0" borderId="0" xfId="0" applyFont="1"/>
    <xf numFmtId="0" fontId="11" fillId="12" borderId="3" xfId="6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/>
    </xf>
    <xf numFmtId="0" fontId="11" fillId="11" borderId="11" xfId="1" applyNumberFormat="1" applyFont="1" applyFill="1" applyBorder="1" applyAlignment="1" applyProtection="1">
      <alignment horizontal="left" vertical="center"/>
    </xf>
    <xf numFmtId="0" fontId="11" fillId="11" borderId="11" xfId="1" applyNumberFormat="1" applyFont="1" applyFill="1" applyBorder="1" applyAlignment="1" applyProtection="1">
      <alignment horizontal="left" vertical="center" wrapText="1"/>
    </xf>
    <xf numFmtId="171" fontId="11" fillId="11" borderId="18" xfId="1" applyNumberFormat="1" applyFont="1" applyFill="1" applyBorder="1" applyAlignment="1" applyProtection="1">
      <alignment vertical="center"/>
    </xf>
    <xf numFmtId="165" fontId="11" fillId="9" borderId="1" xfId="2" applyNumberFormat="1" applyFont="1" applyFill="1" applyBorder="1" applyAlignment="1">
      <alignment horizontal="left" vertical="center"/>
    </xf>
    <xf numFmtId="165" fontId="11" fillId="9" borderId="1" xfId="2" applyNumberFormat="1" applyFont="1" applyFill="1" applyBorder="1" applyAlignment="1">
      <alignment horizontal="center" vertical="center" wrapText="1"/>
    </xf>
    <xf numFmtId="0" fontId="11" fillId="9" borderId="1" xfId="6" applyFont="1" applyFill="1" applyBorder="1" applyAlignment="1">
      <alignment horizontal="center" vertical="center" wrapText="1"/>
    </xf>
    <xf numFmtId="0" fontId="11" fillId="9" borderId="1" xfId="6" applyFont="1" applyFill="1" applyBorder="1" applyAlignment="1">
      <alignment horizontal="left" vertical="center" wrapText="1"/>
    </xf>
    <xf numFmtId="165" fontId="11" fillId="9" borderId="1" xfId="6" applyNumberFormat="1" applyFont="1" applyFill="1" applyBorder="1" applyAlignment="1">
      <alignment horizontal="center" vertical="center" wrapText="1"/>
    </xf>
    <xf numFmtId="164" fontId="11" fillId="9" borderId="1" xfId="8" quotePrefix="1" applyNumberFormat="1" applyFont="1" applyFill="1" applyBorder="1" applyAlignment="1">
      <alignment horizontal="center" vertical="center" wrapText="1"/>
    </xf>
    <xf numFmtId="167" fontId="11" fillId="9" borderId="1" xfId="8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quotePrefix="1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right" vertical="center" wrapText="1"/>
    </xf>
    <xf numFmtId="0" fontId="20" fillId="0" borderId="8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 wrapText="1"/>
    </xf>
    <xf numFmtId="0" fontId="12" fillId="0" borderId="1" xfId="0" quotePrefix="1" applyFont="1" applyBorder="1" applyAlignment="1">
      <alignment vertical="center" wrapText="1"/>
    </xf>
    <xf numFmtId="169" fontId="22" fillId="0" borderId="1" xfId="9" applyNumberFormat="1" applyFont="1" applyBorder="1" applyAlignment="1">
      <alignment horizontal="left" vertical="center"/>
    </xf>
    <xf numFmtId="174" fontId="23" fillId="0" borderId="11" xfId="2" applyNumberFormat="1" applyFont="1" applyFill="1" applyBorder="1" applyAlignment="1" applyProtection="1">
      <alignment horizontal="left" vertical="center"/>
    </xf>
    <xf numFmtId="175" fontId="23" fillId="0" borderId="11" xfId="2" applyNumberFormat="1" applyFont="1" applyFill="1" applyBorder="1" applyAlignment="1" applyProtection="1">
      <alignment horizontal="left" vertical="center" wrapText="1"/>
    </xf>
    <xf numFmtId="174" fontId="23" fillId="0" borderId="18" xfId="2" applyNumberFormat="1" applyFont="1" applyFill="1" applyBorder="1" applyAlignment="1" applyProtection="1">
      <alignment vertical="center"/>
    </xf>
    <xf numFmtId="174" fontId="23" fillId="0" borderId="0" xfId="2" applyNumberFormat="1" applyFont="1" applyFill="1" applyBorder="1" applyAlignment="1">
      <alignment vertical="center"/>
    </xf>
    <xf numFmtId="0" fontId="23" fillId="0" borderId="11" xfId="1" applyNumberFormat="1" applyFont="1" applyBorder="1" applyAlignment="1" applyProtection="1">
      <alignment horizontal="left" vertical="center"/>
    </xf>
    <xf numFmtId="175" fontId="23" fillId="0" borderId="0" xfId="2" applyNumberFormat="1" applyFont="1" applyFill="1" applyBorder="1" applyAlignment="1">
      <alignment vertical="center"/>
    </xf>
    <xf numFmtId="175" fontId="23" fillId="0" borderId="11" xfId="2" applyNumberFormat="1" applyFont="1" applyFill="1" applyBorder="1" applyAlignment="1" applyProtection="1">
      <alignment horizontal="left" vertical="center"/>
    </xf>
    <xf numFmtId="175" fontId="23" fillId="0" borderId="18" xfId="2" applyNumberFormat="1" applyFont="1" applyFill="1" applyBorder="1" applyAlignment="1" applyProtection="1">
      <alignment vertical="center"/>
    </xf>
    <xf numFmtId="9" fontId="12" fillId="8" borderId="1" xfId="2" quotePrefix="1" applyFont="1" applyFill="1" applyBorder="1" applyAlignment="1">
      <alignment horizontal="right" vertical="center" wrapText="1"/>
    </xf>
    <xf numFmtId="0" fontId="12" fillId="8" borderId="0" xfId="6" applyFont="1" applyFill="1" applyAlignment="1">
      <alignment horizontal="center" vertical="center" wrapText="1"/>
    </xf>
    <xf numFmtId="0" fontId="12" fillId="8" borderId="0" xfId="6" applyFont="1" applyFill="1" applyAlignment="1">
      <alignment horizontal="left" vertical="center" wrapText="1"/>
    </xf>
    <xf numFmtId="165" fontId="12" fillId="8" borderId="0" xfId="6" applyNumberFormat="1" applyFont="1" applyFill="1" applyAlignment="1">
      <alignment horizontal="center" vertical="center" wrapText="1"/>
    </xf>
    <xf numFmtId="164" fontId="12" fillId="8" borderId="0" xfId="1" quotePrefix="1" applyNumberFormat="1" applyFont="1" applyFill="1" applyBorder="1" applyAlignment="1">
      <alignment horizontal="center" vertical="center" wrapText="1"/>
    </xf>
    <xf numFmtId="164" fontId="12" fillId="8" borderId="1" xfId="1" quotePrefix="1" applyNumberFormat="1" applyFont="1" applyFill="1" applyBorder="1" applyAlignment="1">
      <alignment horizontal="right" vertical="center" wrapText="1"/>
    </xf>
    <xf numFmtId="0" fontId="12" fillId="0" borderId="1" xfId="1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12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5" fontId="11" fillId="0" borderId="0" xfId="2" applyNumberFormat="1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4" fontId="15" fillId="0" borderId="1" xfId="0" applyNumberFormat="1" applyFont="1" applyBorder="1" applyAlignment="1">
      <alignment vertical="center"/>
    </xf>
    <xf numFmtId="164" fontId="15" fillId="0" borderId="1" xfId="1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168" fontId="11" fillId="8" borderId="1" xfId="8" quotePrefix="1" applyNumberFormat="1" applyFont="1" applyFill="1" applyBorder="1" applyAlignment="1">
      <alignment horizontal="right" vertical="center" wrapText="1"/>
    </xf>
    <xf numFmtId="164" fontId="11" fillId="0" borderId="0" xfId="1" applyNumberFormat="1" applyFont="1" applyAlignment="1">
      <alignment horizontal="right"/>
    </xf>
    <xf numFmtId="167" fontId="11" fillId="8" borderId="1" xfId="8" quotePrefix="1" applyNumberFormat="1" applyFont="1" applyFill="1" applyBorder="1" applyAlignment="1">
      <alignment horizontal="right" vertical="center" wrapText="1"/>
    </xf>
    <xf numFmtId="164" fontId="11" fillId="12" borderId="1" xfId="1" applyNumberFormat="1" applyFont="1" applyFill="1" applyBorder="1" applyAlignment="1">
      <alignment vertical="center" wrapText="1"/>
    </xf>
    <xf numFmtId="169" fontId="11" fillId="2" borderId="1" xfId="9" applyNumberFormat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 applyProtection="1">
      <alignment horizontal="center" vertical="center"/>
    </xf>
    <xf numFmtId="0" fontId="11" fillId="5" borderId="1" xfId="6" applyFont="1" applyFill="1" applyBorder="1" applyAlignment="1">
      <alignment horizontal="center" vertical="center" wrapText="1"/>
    </xf>
    <xf numFmtId="165" fontId="11" fillId="8" borderId="1" xfId="2" applyNumberFormat="1" applyFont="1" applyFill="1" applyBorder="1" applyAlignment="1">
      <alignment horizontal="center" vertical="center" wrapText="1"/>
    </xf>
    <xf numFmtId="9" fontId="11" fillId="8" borderId="1" xfId="2" applyFont="1" applyFill="1" applyBorder="1" applyAlignment="1">
      <alignment horizontal="center" vertical="center" wrapText="1"/>
    </xf>
    <xf numFmtId="165" fontId="11" fillId="8" borderId="0" xfId="2" applyNumberFormat="1" applyFont="1" applyFill="1"/>
    <xf numFmtId="0" fontId="11" fillId="2" borderId="1" xfId="6" applyFont="1" applyFill="1" applyBorder="1" applyAlignment="1">
      <alignment horizontal="center" vertical="center" wrapText="1"/>
    </xf>
    <xf numFmtId="0" fontId="11" fillId="2" borderId="1" xfId="6" applyFont="1" applyFill="1" applyBorder="1" applyAlignment="1">
      <alignment horizontal="left" vertical="center" wrapText="1"/>
    </xf>
    <xf numFmtId="165" fontId="11" fillId="2" borderId="1" xfId="6" applyNumberFormat="1" applyFont="1" applyFill="1" applyBorder="1" applyAlignment="1">
      <alignment horizontal="center" vertical="center" wrapText="1"/>
    </xf>
    <xf numFmtId="164" fontId="11" fillId="2" borderId="1" xfId="8" quotePrefix="1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11" fillId="3" borderId="1" xfId="1" applyNumberFormat="1" applyFont="1" applyFill="1" applyBorder="1" applyAlignment="1" applyProtection="1">
      <alignment horizontal="left" vertical="center" wrapText="1"/>
    </xf>
    <xf numFmtId="0" fontId="11" fillId="3" borderId="1" xfId="1" applyNumberFormat="1" applyFont="1" applyFill="1" applyBorder="1" applyAlignment="1" applyProtection="1">
      <alignment horizontal="center" vertical="center" wrapText="1"/>
    </xf>
    <xf numFmtId="168" fontId="12" fillId="8" borderId="0" xfId="8" quotePrefix="1" applyNumberFormat="1" applyFont="1" applyFill="1" applyBorder="1" applyAlignment="1">
      <alignment horizontal="center" vertical="center" wrapText="1"/>
    </xf>
    <xf numFmtId="168" fontId="11" fillId="8" borderId="0" xfId="8" quotePrefix="1" applyNumberFormat="1" applyFont="1" applyFill="1" applyBorder="1" applyAlignment="1">
      <alignment horizontal="center" vertical="center" wrapText="1"/>
    </xf>
    <xf numFmtId="164" fontId="25" fillId="0" borderId="0" xfId="1" applyNumberFormat="1" applyFont="1" applyAlignment="1">
      <alignment horizontal="left" vertical="center"/>
    </xf>
    <xf numFmtId="164" fontId="12" fillId="0" borderId="20" xfId="1" applyNumberFormat="1" applyFont="1" applyBorder="1" applyAlignment="1">
      <alignment vertical="center"/>
    </xf>
    <xf numFmtId="164" fontId="12" fillId="0" borderId="20" xfId="1" applyNumberFormat="1" applyFont="1" applyBorder="1" applyAlignment="1">
      <alignment horizontal="right" vertical="center"/>
    </xf>
    <xf numFmtId="164" fontId="12" fillId="0" borderId="20" xfId="1" applyNumberFormat="1" applyFont="1" applyBorder="1" applyAlignment="1">
      <alignment horizontal="left" vertical="center"/>
    </xf>
    <xf numFmtId="164" fontId="12" fillId="0" borderId="20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vertical="center" wrapText="1"/>
    </xf>
    <xf numFmtId="164" fontId="12" fillId="0" borderId="20" xfId="1" applyNumberFormat="1" applyFont="1" applyBorder="1" applyAlignment="1">
      <alignment vertical="center" wrapText="1"/>
    </xf>
    <xf numFmtId="164" fontId="11" fillId="0" borderId="20" xfId="1" applyNumberFormat="1" applyFont="1" applyBorder="1" applyAlignment="1">
      <alignment horizontal="left" vertical="center"/>
    </xf>
    <xf numFmtId="164" fontId="11" fillId="0" borderId="20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10" fontId="12" fillId="0" borderId="1" xfId="2" applyNumberFormat="1" applyFont="1" applyBorder="1" applyAlignment="1">
      <alignment vertical="center"/>
    </xf>
    <xf numFmtId="10" fontId="11" fillId="0" borderId="1" xfId="2" applyNumberFormat="1" applyFont="1" applyBorder="1" applyAlignment="1">
      <alignment vertical="center"/>
    </xf>
    <xf numFmtId="165" fontId="12" fillId="0" borderId="0" xfId="2" applyNumberFormat="1" applyFont="1"/>
    <xf numFmtId="10" fontId="12" fillId="0" borderId="0" xfId="2" applyNumberFormat="1" applyFont="1"/>
    <xf numFmtId="164" fontId="12" fillId="0" borderId="20" xfId="1" quotePrefix="1" applyNumberFormat="1" applyFont="1" applyBorder="1" applyAlignment="1">
      <alignment vertical="center" wrapText="1"/>
    </xf>
    <xf numFmtId="177" fontId="12" fillId="0" borderId="0" xfId="1" applyNumberFormat="1" applyFont="1" applyAlignment="1">
      <alignment horizontal="center"/>
    </xf>
    <xf numFmtId="177" fontId="11" fillId="12" borderId="1" xfId="1" applyNumberFormat="1" applyFont="1" applyFill="1" applyBorder="1" applyAlignment="1">
      <alignment horizontal="center" vertical="center" wrapText="1"/>
    </xf>
    <xf numFmtId="177" fontId="11" fillId="3" borderId="1" xfId="1" applyNumberFormat="1" applyFont="1" applyFill="1" applyBorder="1" applyAlignment="1" applyProtection="1">
      <alignment horizontal="center" vertical="center"/>
    </xf>
    <xf numFmtId="177" fontId="12" fillId="0" borderId="1" xfId="1" applyNumberFormat="1" applyFont="1" applyBorder="1" applyAlignment="1">
      <alignment horizontal="center" vertical="center"/>
    </xf>
    <xf numFmtId="177" fontId="12" fillId="0" borderId="1" xfId="1" applyNumberFormat="1" applyFont="1" applyBorder="1" applyAlignment="1">
      <alignment horizontal="center" vertical="center" wrapText="1"/>
    </xf>
    <xf numFmtId="177" fontId="11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Fill="1" applyBorder="1" applyAlignment="1" applyProtection="1">
      <alignment horizontal="center" vertical="center"/>
    </xf>
    <xf numFmtId="177" fontId="12" fillId="3" borderId="1" xfId="1" applyNumberFormat="1" applyFont="1" applyFill="1" applyBorder="1" applyAlignment="1" applyProtection="1">
      <alignment horizontal="center" vertical="center"/>
    </xf>
    <xf numFmtId="177" fontId="11" fillId="3" borderId="1" xfId="1" applyNumberFormat="1" applyFont="1" applyFill="1" applyBorder="1" applyAlignment="1" applyProtection="1">
      <alignment horizontal="center" vertical="center" wrapText="1"/>
    </xf>
    <xf numFmtId="177" fontId="12" fillId="0" borderId="1" xfId="1" applyNumberFormat="1" applyFont="1" applyFill="1" applyBorder="1" applyAlignment="1" applyProtection="1">
      <alignment horizontal="center" vertical="center"/>
    </xf>
    <xf numFmtId="1" fontId="12" fillId="0" borderId="1" xfId="1" applyNumberFormat="1" applyFont="1" applyBorder="1" applyAlignment="1">
      <alignment horizontal="center" vertical="center" wrapText="1"/>
    </xf>
    <xf numFmtId="167" fontId="12" fillId="8" borderId="0" xfId="0" applyNumberFormat="1" applyFont="1" applyFill="1"/>
    <xf numFmtId="164" fontId="11" fillId="0" borderId="0" xfId="0" applyNumberFormat="1" applyFont="1" applyAlignment="1">
      <alignment vertical="center"/>
    </xf>
    <xf numFmtId="167" fontId="12" fillId="0" borderId="1" xfId="1" applyNumberFormat="1" applyFont="1" applyBorder="1" applyAlignment="1">
      <alignment horizontal="center" vertical="center"/>
    </xf>
    <xf numFmtId="164" fontId="12" fillId="0" borderId="0" xfId="1" applyNumberFormat="1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2" fillId="0" borderId="0" xfId="0" applyFont="1" applyAlignment="1">
      <alignment horizontal="right" vertical="center"/>
    </xf>
    <xf numFmtId="0" fontId="12" fillId="11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8" fontId="12" fillId="0" borderId="0" xfId="1" applyNumberFormat="1" applyFont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0" fontId="11" fillId="8" borderId="0" xfId="0" applyFont="1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167" fontId="11" fillId="0" borderId="1" xfId="0" applyNumberFormat="1" applyFont="1" applyBorder="1" applyAlignment="1">
      <alignment vertical="center"/>
    </xf>
    <xf numFmtId="0" fontId="12" fillId="0" borderId="20" xfId="0" quotePrefix="1" applyFont="1" applyBorder="1" applyAlignment="1">
      <alignment vertical="center" wrapText="1"/>
    </xf>
    <xf numFmtId="165" fontId="15" fillId="0" borderId="0" xfId="2" applyNumberFormat="1" applyFont="1" applyFill="1" applyBorder="1" applyAlignment="1">
      <alignment vertical="center"/>
    </xf>
    <xf numFmtId="165" fontId="12" fillId="0" borderId="0" xfId="2" applyNumberFormat="1" applyFont="1" applyAlignment="1">
      <alignment vertical="center"/>
    </xf>
    <xf numFmtId="0" fontId="11" fillId="12" borderId="20" xfId="0" applyFont="1" applyFill="1" applyBorder="1" applyAlignment="1">
      <alignment horizontal="center" vertical="center" wrapText="1"/>
    </xf>
    <xf numFmtId="43" fontId="11" fillId="0" borderId="0" xfId="0" applyNumberFormat="1" applyFont="1" applyAlignment="1">
      <alignment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164" fontId="12" fillId="0" borderId="20" xfId="0" applyNumberFormat="1" applyFont="1" applyBorder="1" applyAlignment="1">
      <alignment vertical="center"/>
    </xf>
    <xf numFmtId="164" fontId="11" fillId="12" borderId="20" xfId="1" applyNumberFormat="1" applyFont="1" applyFill="1" applyBorder="1" applyAlignment="1">
      <alignment vertical="center"/>
    </xf>
    <xf numFmtId="0" fontId="12" fillId="8" borderId="20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11" fillId="8" borderId="20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left" vertical="center" wrapText="1"/>
    </xf>
    <xf numFmtId="0" fontId="12" fillId="8" borderId="20" xfId="6" applyFont="1" applyFill="1" applyBorder="1" applyAlignment="1">
      <alignment horizontal="center" vertical="center" wrapText="1"/>
    </xf>
    <xf numFmtId="0" fontId="12" fillId="8" borderId="20" xfId="6" applyFont="1" applyFill="1" applyBorder="1" applyAlignment="1">
      <alignment horizontal="left" vertical="center" wrapText="1"/>
    </xf>
    <xf numFmtId="165" fontId="12" fillId="8" borderId="20" xfId="6" applyNumberFormat="1" applyFont="1" applyFill="1" applyBorder="1" applyAlignment="1">
      <alignment horizontal="center" vertical="center" wrapText="1"/>
    </xf>
    <xf numFmtId="168" fontId="12" fillId="8" borderId="20" xfId="8" quotePrefix="1" applyNumberFormat="1" applyFont="1" applyFill="1" applyBorder="1" applyAlignment="1">
      <alignment horizontal="center" vertical="center" wrapText="1"/>
    </xf>
    <xf numFmtId="168" fontId="11" fillId="8" borderId="20" xfId="8" quotePrefix="1" applyNumberFormat="1" applyFont="1" applyFill="1" applyBorder="1" applyAlignment="1">
      <alignment horizontal="center" vertical="center" wrapText="1"/>
    </xf>
    <xf numFmtId="165" fontId="11" fillId="3" borderId="20" xfId="2" quotePrefix="1" applyNumberFormat="1" applyFont="1" applyFill="1" applyBorder="1" applyAlignment="1">
      <alignment horizontal="right" vertical="center" wrapText="1"/>
    </xf>
    <xf numFmtId="164" fontId="12" fillId="8" borderId="20" xfId="1" quotePrefix="1" applyNumberFormat="1" applyFont="1" applyFill="1" applyBorder="1" applyAlignment="1">
      <alignment horizontal="center" vertical="center" wrapText="1"/>
    </xf>
    <xf numFmtId="0" fontId="11" fillId="10" borderId="1" xfId="6" applyFont="1" applyFill="1" applyBorder="1" applyAlignment="1">
      <alignment horizontal="center" vertical="center" wrapText="1"/>
    </xf>
    <xf numFmtId="0" fontId="11" fillId="10" borderId="1" xfId="6" applyFont="1" applyFill="1" applyBorder="1" applyAlignment="1">
      <alignment horizontal="left" vertical="center" wrapText="1"/>
    </xf>
    <xf numFmtId="165" fontId="11" fillId="10" borderId="1" xfId="6" applyNumberFormat="1" applyFont="1" applyFill="1" applyBorder="1" applyAlignment="1">
      <alignment horizontal="center" vertical="center" wrapText="1"/>
    </xf>
    <xf numFmtId="167" fontId="11" fillId="10" borderId="1" xfId="8" quotePrefix="1" applyNumberFormat="1" applyFont="1" applyFill="1" applyBorder="1" applyAlignment="1">
      <alignment horizontal="right" vertical="center" wrapText="1"/>
    </xf>
    <xf numFmtId="166" fontId="12" fillId="0" borderId="1" xfId="1" applyNumberFormat="1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0" fontId="11" fillId="12" borderId="21" xfId="6" applyFont="1" applyFill="1" applyBorder="1" applyAlignment="1">
      <alignment horizontal="center" vertical="center" wrapText="1"/>
    </xf>
    <xf numFmtId="9" fontId="15" fillId="0" borderId="22" xfId="2" applyFont="1" applyFill="1" applyBorder="1" applyAlignment="1" applyProtection="1">
      <alignment horizontal="left" vertical="center" wrapText="1"/>
    </xf>
    <xf numFmtId="0" fontId="11" fillId="12" borderId="7" xfId="6" applyFont="1" applyFill="1" applyBorder="1" applyAlignment="1">
      <alignment horizontal="center" vertical="center" wrapText="1"/>
    </xf>
    <xf numFmtId="173" fontId="11" fillId="0" borderId="5" xfId="1" applyNumberFormat="1" applyFont="1" applyBorder="1" applyAlignment="1" applyProtection="1">
      <alignment horizontal="left" vertical="center"/>
    </xf>
    <xf numFmtId="173" fontId="11" fillId="0" borderId="5" xfId="1" applyNumberFormat="1" applyFont="1" applyBorder="1" applyAlignment="1" applyProtection="1">
      <alignment horizontal="left" vertical="center" wrapText="1"/>
    </xf>
    <xf numFmtId="168" fontId="11" fillId="0" borderId="5" xfId="1" applyNumberFormat="1" applyFont="1" applyFill="1" applyBorder="1" applyAlignment="1">
      <alignment horizontal="right" vertical="center"/>
    </xf>
    <xf numFmtId="173" fontId="12" fillId="0" borderId="5" xfId="1" applyNumberFormat="1" applyFont="1" applyBorder="1" applyAlignment="1" applyProtection="1">
      <alignment horizontal="left" vertical="center"/>
    </xf>
    <xf numFmtId="173" fontId="12" fillId="0" borderId="5" xfId="1" applyNumberFormat="1" applyFont="1" applyBorder="1" applyAlignment="1" applyProtection="1">
      <alignment horizontal="left" vertical="center" wrapText="1"/>
    </xf>
    <xf numFmtId="168" fontId="12" fillId="0" borderId="5" xfId="1" applyNumberFormat="1" applyFont="1" applyFill="1" applyBorder="1" applyAlignment="1">
      <alignment horizontal="right" vertical="center"/>
    </xf>
    <xf numFmtId="0" fontId="11" fillId="11" borderId="5" xfId="1" applyNumberFormat="1" applyFont="1" applyFill="1" applyBorder="1" applyAlignment="1" applyProtection="1">
      <alignment horizontal="left" vertical="center"/>
    </xf>
    <xf numFmtId="0" fontId="11" fillId="11" borderId="5" xfId="1" applyNumberFormat="1" applyFont="1" applyFill="1" applyBorder="1" applyAlignment="1" applyProtection="1">
      <alignment horizontal="left" vertical="center" wrapText="1"/>
    </xf>
    <xf numFmtId="171" fontId="11" fillId="11" borderId="5" xfId="1" applyNumberFormat="1" applyFont="1" applyFill="1" applyBorder="1" applyAlignment="1" applyProtection="1">
      <alignment vertical="center"/>
    </xf>
    <xf numFmtId="169" fontId="12" fillId="0" borderId="5" xfId="9" applyNumberFormat="1" applyFont="1" applyBorder="1" applyAlignment="1">
      <alignment horizontal="left" vertical="center"/>
    </xf>
    <xf numFmtId="171" fontId="15" fillId="0" borderId="5" xfId="1" applyNumberFormat="1" applyFont="1" applyFill="1" applyBorder="1" applyAlignment="1" applyProtection="1">
      <alignment vertical="center"/>
    </xf>
    <xf numFmtId="0" fontId="12" fillId="0" borderId="5" xfId="1" applyNumberFormat="1" applyFont="1" applyFill="1" applyBorder="1" applyAlignment="1" applyProtection="1">
      <alignment horizontal="left" vertical="center" wrapText="1"/>
    </xf>
    <xf numFmtId="0" fontId="11" fillId="0" borderId="5" xfId="1" applyNumberFormat="1" applyFont="1" applyFill="1" applyBorder="1" applyAlignment="1" applyProtection="1">
      <alignment horizontal="left" vertical="center"/>
    </xf>
    <xf numFmtId="0" fontId="11" fillId="0" borderId="5" xfId="1" applyNumberFormat="1" applyFont="1" applyFill="1" applyBorder="1" applyAlignment="1" applyProtection="1">
      <alignment horizontal="left" vertical="center" wrapText="1"/>
    </xf>
    <xf numFmtId="171" fontId="11" fillId="0" borderId="5" xfId="1" applyNumberFormat="1" applyFont="1" applyFill="1" applyBorder="1" applyAlignment="1" applyProtection="1">
      <alignment vertical="center"/>
    </xf>
    <xf numFmtId="0" fontId="11" fillId="0" borderId="5" xfId="1" applyNumberFormat="1" applyFont="1" applyBorder="1" applyAlignment="1" applyProtection="1">
      <alignment horizontal="left" vertical="center"/>
    </xf>
    <xf numFmtId="0" fontId="11" fillId="0" borderId="5" xfId="1" applyNumberFormat="1" applyFont="1" applyBorder="1" applyAlignment="1" applyProtection="1">
      <alignment horizontal="left" vertical="center" wrapText="1"/>
    </xf>
    <xf numFmtId="0" fontId="12" fillId="0" borderId="5" xfId="1" applyNumberFormat="1" applyFont="1" applyBorder="1" applyAlignment="1" applyProtection="1">
      <alignment horizontal="left" vertical="center"/>
    </xf>
    <xf numFmtId="0" fontId="12" fillId="0" borderId="5" xfId="1" applyNumberFormat="1" applyFont="1" applyBorder="1" applyAlignment="1" applyProtection="1">
      <alignment horizontal="left" vertical="center" wrapText="1"/>
    </xf>
    <xf numFmtId="171" fontId="12" fillId="0" borderId="5" xfId="1" applyNumberFormat="1" applyFont="1" applyFill="1" applyBorder="1" applyAlignment="1" applyProtection="1">
      <alignment vertical="center"/>
    </xf>
    <xf numFmtId="0" fontId="15" fillId="0" borderId="5" xfId="1" applyNumberFormat="1" applyFont="1" applyBorder="1" applyAlignment="1" applyProtection="1">
      <alignment horizontal="left" vertical="center"/>
    </xf>
    <xf numFmtId="0" fontId="15" fillId="0" borderId="5" xfId="1" applyNumberFormat="1" applyFont="1" applyBorder="1" applyAlignment="1" applyProtection="1">
      <alignment horizontal="left" vertical="center" wrapText="1"/>
    </xf>
    <xf numFmtId="0" fontId="23" fillId="0" borderId="5" xfId="1" applyNumberFormat="1" applyFont="1" applyBorder="1" applyAlignment="1" applyProtection="1">
      <alignment horizontal="left" vertical="center"/>
    </xf>
    <xf numFmtId="175" fontId="23" fillId="0" borderId="5" xfId="2" applyNumberFormat="1" applyFont="1" applyFill="1" applyBorder="1" applyAlignment="1" applyProtection="1">
      <alignment horizontal="left" vertical="center" wrapText="1"/>
    </xf>
    <xf numFmtId="174" fontId="23" fillId="0" borderId="5" xfId="2" applyNumberFormat="1" applyFont="1" applyFill="1" applyBorder="1" applyAlignment="1" applyProtection="1">
      <alignment vertical="center"/>
    </xf>
    <xf numFmtId="174" fontId="23" fillId="0" borderId="5" xfId="2" applyNumberFormat="1" applyFont="1" applyFill="1" applyBorder="1" applyAlignment="1" applyProtection="1">
      <alignment horizontal="left" vertical="center"/>
    </xf>
    <xf numFmtId="175" fontId="23" fillId="0" borderId="5" xfId="2" applyNumberFormat="1" applyFont="1" applyFill="1" applyBorder="1" applyAlignment="1" applyProtection="1">
      <alignment horizontal="left" vertical="center"/>
    </xf>
    <xf numFmtId="9" fontId="24" fillId="0" borderId="5" xfId="2" applyFont="1" applyFill="1" applyBorder="1" applyAlignment="1" applyProtection="1">
      <alignment vertical="center"/>
    </xf>
    <xf numFmtId="175" fontId="23" fillId="0" borderId="5" xfId="2" applyNumberFormat="1" applyFont="1" applyFill="1" applyBorder="1" applyAlignment="1" applyProtection="1">
      <alignment vertical="center"/>
    </xf>
    <xf numFmtId="9" fontId="15" fillId="0" borderId="6" xfId="2" applyFont="1" applyFill="1" applyBorder="1" applyAlignment="1" applyProtection="1">
      <alignment horizontal="left" vertical="center"/>
    </xf>
    <xf numFmtId="9" fontId="15" fillId="0" borderId="6" xfId="2" applyFont="1" applyFill="1" applyBorder="1" applyAlignment="1" applyProtection="1">
      <alignment horizontal="left" vertical="center" wrapText="1"/>
    </xf>
    <xf numFmtId="171" fontId="15" fillId="0" borderId="6" xfId="2" applyNumberFormat="1" applyFont="1" applyFill="1" applyBorder="1" applyAlignment="1" applyProtection="1">
      <alignment vertical="center"/>
    </xf>
    <xf numFmtId="165" fontId="11" fillId="3" borderId="1" xfId="2" quotePrefix="1" applyNumberFormat="1" applyFont="1" applyFill="1" applyBorder="1" applyAlignment="1">
      <alignment horizontal="center" vertical="center" wrapText="1"/>
    </xf>
    <xf numFmtId="165" fontId="12" fillId="0" borderId="0" xfId="2" applyNumberFormat="1" applyFont="1" applyAlignment="1">
      <alignment vertical="center" wrapText="1"/>
    </xf>
    <xf numFmtId="0" fontId="12" fillId="8" borderId="1" xfId="0" applyFont="1" applyFill="1" applyBorder="1" applyAlignment="1">
      <alignment vertical="center"/>
    </xf>
    <xf numFmtId="164" fontId="11" fillId="0" borderId="0" xfId="1" applyNumberFormat="1" applyFont="1" applyAlignment="1">
      <alignment horizontal="left" vertical="center"/>
    </xf>
    <xf numFmtId="164" fontId="11" fillId="0" borderId="0" xfId="2" applyNumberFormat="1" applyFont="1" applyAlignment="1">
      <alignment horizontal="center" vertical="center"/>
    </xf>
    <xf numFmtId="168" fontId="12" fillId="0" borderId="0" xfId="1" applyNumberFormat="1" applyFont="1" applyAlignment="1">
      <alignment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1" fillId="8" borderId="20" xfId="1" quotePrefix="1" applyNumberFormat="1" applyFont="1" applyFill="1" applyBorder="1" applyAlignment="1">
      <alignment horizontal="center" vertical="center" wrapText="1"/>
    </xf>
    <xf numFmtId="43" fontId="26" fillId="0" borderId="0" xfId="1" applyFont="1" applyAlignment="1">
      <alignment vertical="center"/>
    </xf>
    <xf numFmtId="165" fontId="11" fillId="8" borderId="20" xfId="2" applyNumberFormat="1" applyFont="1" applyFill="1" applyBorder="1" applyAlignment="1">
      <alignment horizontal="right" vertical="center" wrapText="1"/>
    </xf>
    <xf numFmtId="168" fontId="12" fillId="0" borderId="20" xfId="1" applyNumberFormat="1" applyFont="1" applyBorder="1" applyAlignment="1">
      <alignment vertical="center"/>
    </xf>
    <xf numFmtId="178" fontId="12" fillId="0" borderId="20" xfId="1" applyNumberFormat="1" applyFont="1" applyBorder="1" applyAlignment="1">
      <alignment vertical="center"/>
    </xf>
    <xf numFmtId="178" fontId="12" fillId="0" borderId="20" xfId="0" applyNumberFormat="1" applyFont="1" applyBorder="1" applyAlignment="1">
      <alignment vertical="center"/>
    </xf>
    <xf numFmtId="179" fontId="12" fillId="0" borderId="20" xfId="1" applyNumberFormat="1" applyFont="1" applyBorder="1" applyAlignment="1">
      <alignment vertical="center"/>
    </xf>
    <xf numFmtId="164" fontId="12" fillId="0" borderId="0" xfId="0" applyNumberFormat="1" applyFont="1"/>
    <xf numFmtId="165" fontId="12" fillId="0" borderId="0" xfId="0" applyNumberFormat="1" applyFont="1" applyAlignment="1">
      <alignment vertical="center"/>
    </xf>
    <xf numFmtId="165" fontId="22" fillId="0" borderId="1" xfId="2" applyNumberFormat="1" applyFont="1" applyBorder="1" applyAlignment="1">
      <alignment horizontal="left" vertical="center"/>
    </xf>
    <xf numFmtId="165" fontId="22" fillId="0" borderId="2" xfId="2" applyNumberFormat="1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 wrapText="1"/>
    </xf>
    <xf numFmtId="10" fontId="12" fillId="0" borderId="0" xfId="0" applyNumberFormat="1" applyFont="1"/>
    <xf numFmtId="168" fontId="11" fillId="8" borderId="20" xfId="8" quotePrefix="1" applyNumberFormat="1" applyFont="1" applyFill="1" applyBorder="1" applyAlignment="1">
      <alignment horizontal="right" vertical="center" wrapText="1"/>
    </xf>
    <xf numFmtId="167" fontId="12" fillId="8" borderId="20" xfId="8" quotePrefix="1" applyNumberFormat="1" applyFont="1" applyFill="1" applyBorder="1" applyAlignment="1">
      <alignment horizontal="right" vertical="center" wrapText="1"/>
    </xf>
    <xf numFmtId="165" fontId="12" fillId="0" borderId="0" xfId="0" applyNumberFormat="1" applyFont="1" applyAlignment="1">
      <alignment horizontal="right"/>
    </xf>
    <xf numFmtId="178" fontId="12" fillId="8" borderId="1" xfId="8" quotePrefix="1" applyNumberFormat="1" applyFont="1" applyFill="1" applyBorder="1" applyAlignment="1">
      <alignment horizontal="right" vertical="center" wrapText="1"/>
    </xf>
    <xf numFmtId="0" fontId="12" fillId="0" borderId="1" xfId="6" applyFont="1" applyBorder="1" applyAlignment="1">
      <alignment horizontal="center" vertical="center" wrapText="1"/>
    </xf>
    <xf numFmtId="0" fontId="12" fillId="0" borderId="1" xfId="6" applyFont="1" applyBorder="1" applyAlignment="1">
      <alignment horizontal="left" vertical="center" wrapText="1"/>
    </xf>
    <xf numFmtId="165" fontId="12" fillId="0" borderId="1" xfId="6" applyNumberFormat="1" applyFont="1" applyBorder="1" applyAlignment="1">
      <alignment horizontal="center" vertical="center" wrapText="1"/>
    </xf>
    <xf numFmtId="164" fontId="12" fillId="0" borderId="1" xfId="1" quotePrefix="1" applyNumberFormat="1" applyFont="1" applyFill="1" applyBorder="1" applyAlignment="1">
      <alignment horizontal="center" vertical="center" wrapText="1"/>
    </xf>
    <xf numFmtId="0" fontId="12" fillId="0" borderId="3" xfId="6" applyFont="1" applyBorder="1" applyAlignment="1">
      <alignment horizontal="left" vertical="center" wrapText="1"/>
    </xf>
    <xf numFmtId="180" fontId="11" fillId="3" borderId="1" xfId="8" quotePrefix="1" applyNumberFormat="1" applyFont="1" applyFill="1" applyBorder="1" applyAlignment="1">
      <alignment horizontal="right" vertical="center" wrapText="1"/>
    </xf>
    <xf numFmtId="10" fontId="11" fillId="0" borderId="0" xfId="2" applyNumberFormat="1" applyFont="1" applyBorder="1" applyAlignment="1">
      <alignment vertical="center"/>
    </xf>
    <xf numFmtId="0" fontId="11" fillId="12" borderId="21" xfId="0" applyFont="1" applyFill="1" applyBorder="1" applyAlignment="1">
      <alignment horizontal="center" vertical="center" wrapText="1"/>
    </xf>
    <xf numFmtId="0" fontId="12" fillId="0" borderId="20" xfId="0" applyFont="1" applyBorder="1"/>
    <xf numFmtId="0" fontId="11" fillId="0" borderId="20" xfId="0" applyFont="1" applyBorder="1"/>
    <xf numFmtId="0" fontId="11" fillId="3" borderId="20" xfId="6" applyFont="1" applyFill="1" applyBorder="1" applyAlignment="1">
      <alignment horizontal="center" vertical="center" wrapText="1"/>
    </xf>
    <xf numFmtId="0" fontId="11" fillId="3" borderId="20" xfId="6" applyFont="1" applyFill="1" applyBorder="1" applyAlignment="1">
      <alignment horizontal="left" vertical="center" wrapText="1"/>
    </xf>
    <xf numFmtId="168" fontId="11" fillId="3" borderId="20" xfId="8" quotePrefix="1" applyNumberFormat="1" applyFont="1" applyFill="1" applyBorder="1" applyAlignment="1">
      <alignment horizontal="right" vertical="center" wrapText="1"/>
    </xf>
    <xf numFmtId="164" fontId="7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9" fontId="11" fillId="0" borderId="20" xfId="9" applyNumberFormat="1" applyFont="1" applyBorder="1" applyAlignment="1">
      <alignment horizontal="center" vertical="center"/>
    </xf>
    <xf numFmtId="0" fontId="11" fillId="12" borderId="24" xfId="0" applyFont="1" applyFill="1" applyBorder="1" applyAlignment="1">
      <alignment horizontal="center" vertical="center" wrapText="1"/>
    </xf>
    <xf numFmtId="169" fontId="11" fillId="2" borderId="1" xfId="9" applyNumberFormat="1" applyFont="1" applyFill="1" applyBorder="1" applyAlignment="1">
      <alignment vertical="center"/>
    </xf>
    <xf numFmtId="169" fontId="11" fillId="2" borderId="1" xfId="9" applyNumberFormat="1" applyFont="1" applyFill="1" applyBorder="1" applyAlignment="1">
      <alignment horizontal="left" vertical="center"/>
    </xf>
    <xf numFmtId="164" fontId="11" fillId="12" borderId="20" xfId="1" applyNumberFormat="1" applyFont="1" applyFill="1" applyBorder="1" applyAlignment="1">
      <alignment horizontal="center" vertical="center" wrapText="1"/>
    </xf>
    <xf numFmtId="0" fontId="35" fillId="2" borderId="20" xfId="14" applyFont="1" applyFill="1" applyBorder="1" applyAlignment="1">
      <alignment horizontal="center" vertical="center" wrapText="1"/>
    </xf>
    <xf numFmtId="0" fontId="5" fillId="2" borderId="20" xfId="14" applyFont="1" applyFill="1" applyBorder="1" applyAlignment="1">
      <alignment horizontal="center" vertical="center"/>
    </xf>
    <xf numFmtId="0" fontId="35" fillId="13" borderId="20" xfId="14" applyFont="1" applyFill="1" applyBorder="1" applyAlignment="1">
      <alignment horizontal="center" vertical="center"/>
    </xf>
    <xf numFmtId="164" fontId="11" fillId="4" borderId="20" xfId="1" applyNumberFormat="1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2" fillId="14" borderId="0" xfId="0" applyFont="1" applyFill="1" applyAlignment="1">
      <alignment vertical="center"/>
    </xf>
    <xf numFmtId="0" fontId="11" fillId="14" borderId="4" xfId="0" applyFont="1" applyFill="1" applyBorder="1" applyAlignment="1">
      <alignment horizontal="left" vertical="center"/>
    </xf>
    <xf numFmtId="167" fontId="11" fillId="14" borderId="4" xfId="1" applyNumberFormat="1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20" xfId="0" applyFont="1" applyFill="1" applyBorder="1" applyAlignment="1">
      <alignment horizontal="left" vertical="center"/>
    </xf>
    <xf numFmtId="0" fontId="11" fillId="14" borderId="20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167" fontId="11" fillId="14" borderId="1" xfId="1" applyNumberFormat="1" applyFont="1" applyFill="1" applyBorder="1" applyAlignment="1">
      <alignment vertical="center"/>
    </xf>
    <xf numFmtId="164" fontId="12" fillId="0" borderId="0" xfId="1" applyNumberFormat="1" applyFont="1" applyAlignment="1">
      <alignment horizontal="center"/>
    </xf>
    <xf numFmtId="0" fontId="11" fillId="15" borderId="4" xfId="0" applyFont="1" applyFill="1" applyBorder="1" applyAlignment="1">
      <alignment horizontal="center" vertical="center"/>
    </xf>
    <xf numFmtId="167" fontId="11" fillId="15" borderId="4" xfId="1" applyNumberFormat="1" applyFont="1" applyFill="1" applyBorder="1" applyAlignment="1">
      <alignment vertical="center"/>
    </xf>
    <xf numFmtId="43" fontId="12" fillId="0" borderId="20" xfId="0" applyNumberFormat="1" applyFont="1" applyBorder="1" applyAlignment="1">
      <alignment vertical="center"/>
    </xf>
    <xf numFmtId="0" fontId="11" fillId="12" borderId="24" xfId="6" applyFont="1" applyFill="1" applyBorder="1" applyAlignment="1">
      <alignment horizontal="center" vertical="center" wrapText="1"/>
    </xf>
    <xf numFmtId="0" fontId="5" fillId="2" borderId="25" xfId="14" applyFont="1" applyFill="1" applyBorder="1" applyAlignment="1">
      <alignment horizontal="center" vertical="center" wrapText="1"/>
    </xf>
    <xf numFmtId="0" fontId="38" fillId="13" borderId="25" xfId="14" applyFont="1" applyFill="1" applyBorder="1" applyAlignment="1">
      <alignment horizontal="center" vertical="center"/>
    </xf>
    <xf numFmtId="0" fontId="6" fillId="0" borderId="7" xfId="1" applyNumberFormat="1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vertical="center"/>
    </xf>
    <xf numFmtId="0" fontId="5" fillId="0" borderId="9" xfId="17" applyFont="1" applyBorder="1"/>
    <xf numFmtId="172" fontId="5" fillId="0" borderId="7" xfId="18" applyNumberFormat="1" applyFont="1" applyFill="1" applyBorder="1"/>
    <xf numFmtId="0" fontId="6" fillId="0" borderId="9" xfId="1" applyNumberFormat="1" applyFont="1" applyFill="1" applyBorder="1" applyAlignment="1" applyProtection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167" fontId="6" fillId="0" borderId="9" xfId="1" applyNumberFormat="1" applyFont="1" applyFill="1" applyBorder="1" applyAlignment="1">
      <alignment vertical="center"/>
    </xf>
    <xf numFmtId="167" fontId="5" fillId="0" borderId="9" xfId="1" applyNumberFormat="1" applyFont="1" applyFill="1" applyBorder="1" applyAlignment="1">
      <alignment vertical="center"/>
    </xf>
    <xf numFmtId="0" fontId="12" fillId="0" borderId="9" xfId="1" applyNumberFormat="1" applyFont="1" applyFill="1" applyBorder="1" applyAlignment="1" applyProtection="1">
      <alignment horizontal="left" vertical="center"/>
    </xf>
    <xf numFmtId="0" fontId="12" fillId="8" borderId="9" xfId="0" applyFont="1" applyFill="1" applyBorder="1" applyAlignment="1">
      <alignment horizontal="left" vertical="center"/>
    </xf>
    <xf numFmtId="0" fontId="12" fillId="8" borderId="9" xfId="0" applyFont="1" applyFill="1" applyBorder="1" applyAlignment="1">
      <alignment vertical="center"/>
    </xf>
    <xf numFmtId="167" fontId="12" fillId="0" borderId="9" xfId="1" applyNumberFormat="1" applyFont="1" applyBorder="1" applyAlignment="1">
      <alignment vertical="center"/>
    </xf>
    <xf numFmtId="0" fontId="12" fillId="0" borderId="10" xfId="1" applyNumberFormat="1" applyFont="1" applyFill="1" applyBorder="1" applyAlignment="1" applyProtection="1">
      <alignment horizontal="left" vertical="center"/>
    </xf>
    <xf numFmtId="0" fontId="12" fillId="8" borderId="10" xfId="0" applyFont="1" applyFill="1" applyBorder="1" applyAlignment="1">
      <alignment horizontal="left" vertical="center"/>
    </xf>
    <xf numFmtId="0" fontId="12" fillId="8" borderId="10" xfId="0" applyFont="1" applyFill="1" applyBorder="1" applyAlignment="1">
      <alignment vertical="center"/>
    </xf>
    <xf numFmtId="167" fontId="12" fillId="0" borderId="10" xfId="1" applyNumberFormat="1" applyFont="1" applyBorder="1" applyAlignment="1">
      <alignment vertical="center"/>
    </xf>
    <xf numFmtId="167" fontId="11" fillId="0" borderId="9" xfId="1" applyNumberFormat="1" applyFont="1" applyBorder="1" applyAlignment="1">
      <alignment vertical="center"/>
    </xf>
    <xf numFmtId="167" fontId="11" fillId="0" borderId="10" xfId="1" applyNumberFormat="1" applyFont="1" applyBorder="1" applyAlignment="1">
      <alignment vertical="center"/>
    </xf>
    <xf numFmtId="172" fontId="6" fillId="0" borderId="0" xfId="0" applyNumberFormat="1" applyFont="1"/>
    <xf numFmtId="0" fontId="6" fillId="0" borderId="20" xfId="0" applyFont="1" applyBorder="1"/>
    <xf numFmtId="167" fontId="6" fillId="0" borderId="20" xfId="0" applyNumberFormat="1" applyFont="1" applyBorder="1"/>
    <xf numFmtId="167" fontId="6" fillId="0" borderId="20" xfId="1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164" fontId="12" fillId="0" borderId="0" xfId="1" applyNumberFormat="1" applyFont="1" applyBorder="1" applyAlignment="1">
      <alignment vertical="center"/>
    </xf>
    <xf numFmtId="0" fontId="11" fillId="0" borderId="0" xfId="0" quotePrefix="1" applyFont="1"/>
    <xf numFmtId="2" fontId="11" fillId="8" borderId="0" xfId="2" applyNumberFormat="1" applyFont="1" applyFill="1"/>
    <xf numFmtId="2" fontId="12" fillId="8" borderId="0" xfId="2" applyNumberFormat="1" applyFont="1" applyFill="1"/>
    <xf numFmtId="2" fontId="12" fillId="0" borderId="0" xfId="0" applyNumberFormat="1" applyFont="1"/>
    <xf numFmtId="2" fontId="11" fillId="0" borderId="0" xfId="0" applyNumberFormat="1" applyFont="1"/>
    <xf numFmtId="165" fontId="11" fillId="8" borderId="20" xfId="2" applyNumberFormat="1" applyFont="1" applyFill="1" applyBorder="1"/>
    <xf numFmtId="2" fontId="11" fillId="8" borderId="20" xfId="2" applyNumberFormat="1" applyFont="1" applyFill="1" applyBorder="1"/>
    <xf numFmtId="165" fontId="12" fillId="8" borderId="20" xfId="2" applyNumberFormat="1" applyFont="1" applyFill="1" applyBorder="1"/>
    <xf numFmtId="0" fontId="6" fillId="0" borderId="0" xfId="20" applyFont="1"/>
    <xf numFmtId="0" fontId="41" fillId="0" borderId="0" xfId="20" applyFont="1" applyAlignment="1">
      <alignment vertical="top"/>
    </xf>
    <xf numFmtId="0" fontId="6" fillId="0" borderId="0" xfId="21" applyFont="1" applyAlignment="1">
      <alignment vertical="center"/>
    </xf>
    <xf numFmtId="2" fontId="6" fillId="0" borderId="0" xfId="20" applyNumberFormat="1" applyFont="1"/>
    <xf numFmtId="164" fontId="6" fillId="0" borderId="0" xfId="1" applyNumberFormat="1" applyFont="1"/>
    <xf numFmtId="0" fontId="11" fillId="0" borderId="0" xfId="20" applyFont="1" applyAlignment="1">
      <alignment vertical="top"/>
    </xf>
    <xf numFmtId="0" fontId="42" fillId="0" borderId="0" xfId="20" applyFont="1" applyAlignment="1">
      <alignment horizontal="left" vertical="top"/>
    </xf>
    <xf numFmtId="0" fontId="43" fillId="0" borderId="0" xfId="20" applyFont="1"/>
    <xf numFmtId="0" fontId="44" fillId="0" borderId="26" xfId="20" applyFont="1" applyBorder="1"/>
    <xf numFmtId="164" fontId="44" fillId="0" borderId="27" xfId="22" applyNumberFormat="1" applyFont="1" applyFill="1" applyBorder="1"/>
    <xf numFmtId="0" fontId="31" fillId="0" borderId="0" xfId="20" applyFont="1"/>
    <xf numFmtId="0" fontId="31" fillId="0" borderId="0" xfId="20" applyFont="1" applyAlignment="1">
      <alignment horizontal="center"/>
    </xf>
    <xf numFmtId="2" fontId="31" fillId="0" borderId="0" xfId="20" applyNumberFormat="1" applyFont="1" applyAlignment="1">
      <alignment horizontal="center"/>
    </xf>
    <xf numFmtId="164" fontId="31" fillId="0" borderId="0" xfId="1" applyNumberFormat="1" applyFont="1" applyAlignment="1">
      <alignment horizontal="center"/>
    </xf>
    <xf numFmtId="164" fontId="31" fillId="0" borderId="0" xfId="1" applyNumberFormat="1" applyFont="1"/>
    <xf numFmtId="0" fontId="6" fillId="0" borderId="9" xfId="20" applyFont="1" applyBorder="1"/>
    <xf numFmtId="0" fontId="7" fillId="0" borderId="23" xfId="14" applyFont="1" applyBorder="1" applyAlignment="1">
      <alignment vertical="center"/>
    </xf>
    <xf numFmtId="0" fontId="6" fillId="0" borderId="9" xfId="20" applyFont="1" applyBorder="1" applyAlignment="1">
      <alignment horizontal="center"/>
    </xf>
    <xf numFmtId="0" fontId="7" fillId="0" borderId="23" xfId="14" applyFont="1" applyBorder="1" applyAlignment="1">
      <alignment horizontal="left" vertical="center"/>
    </xf>
    <xf numFmtId="0" fontId="6" fillId="0" borderId="0" xfId="20" applyFont="1" applyAlignment="1">
      <alignment horizontal="left"/>
    </xf>
    <xf numFmtId="0" fontId="6" fillId="0" borderId="28" xfId="20" applyFont="1" applyBorder="1" applyAlignment="1">
      <alignment horizontal="center"/>
    </xf>
    <xf numFmtId="0" fontId="6" fillId="0" borderId="28" xfId="20" applyFont="1" applyBorder="1"/>
    <xf numFmtId="0" fontId="7" fillId="0" borderId="25" xfId="14" applyFont="1" applyBorder="1" applyAlignment="1">
      <alignment horizontal="center" vertical="center"/>
    </xf>
    <xf numFmtId="0" fontId="7" fillId="0" borderId="25" xfId="14" applyFont="1" applyBorder="1" applyAlignment="1">
      <alignment vertical="center"/>
    </xf>
    <xf numFmtId="0" fontId="6" fillId="0" borderId="20" xfId="20" applyFont="1" applyBorder="1"/>
    <xf numFmtId="0" fontId="5" fillId="0" borderId="20" xfId="20" applyFont="1" applyBorder="1"/>
    <xf numFmtId="0" fontId="6" fillId="0" borderId="20" xfId="20" applyFont="1" applyBorder="1" applyAlignment="1">
      <alignment horizontal="left"/>
    </xf>
    <xf numFmtId="171" fontId="11" fillId="0" borderId="0" xfId="1" applyNumberFormat="1" applyFont="1" applyFill="1" applyBorder="1" applyAlignment="1" applyProtection="1">
      <alignment vertical="center"/>
    </xf>
    <xf numFmtId="43" fontId="11" fillId="0" borderId="0" xfId="1" applyFont="1" applyFill="1" applyBorder="1" applyAlignment="1" applyProtection="1">
      <alignment vertical="center"/>
    </xf>
    <xf numFmtId="0" fontId="5" fillId="0" borderId="20" xfId="14" applyFont="1" applyBorder="1" applyAlignment="1">
      <alignment horizontal="center" vertical="center" wrapText="1"/>
    </xf>
    <xf numFmtId="0" fontId="5" fillId="0" borderId="20" xfId="14" applyFont="1" applyBorder="1" applyAlignment="1">
      <alignment horizontal="center" vertical="center"/>
    </xf>
    <xf numFmtId="0" fontId="12" fillId="0" borderId="20" xfId="14" applyFont="1" applyBorder="1" applyAlignment="1">
      <alignment vertical="center"/>
    </xf>
    <xf numFmtId="0" fontId="7" fillId="0" borderId="20" xfId="14" applyFont="1" applyBorder="1" applyAlignment="1">
      <alignment horizontal="left" vertical="center"/>
    </xf>
    <xf numFmtId="0" fontId="7" fillId="0" borderId="20" xfId="14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8" borderId="24" xfId="6" applyFont="1" applyFill="1" applyBorder="1" applyAlignment="1">
      <alignment horizontal="center" vertical="center" wrapText="1"/>
    </xf>
    <xf numFmtId="164" fontId="45" fillId="0" borderId="0" xfId="1" applyNumberFormat="1" applyFont="1" applyAlignment="1">
      <alignment horizontal="left" vertical="center"/>
    </xf>
    <xf numFmtId="164" fontId="12" fillId="0" borderId="1" xfId="1" applyNumberFormat="1" applyFont="1" applyFill="1" applyBorder="1" applyAlignment="1">
      <alignment vertical="center"/>
    </xf>
    <xf numFmtId="0" fontId="11" fillId="14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38" fillId="13" borderId="29" xfId="14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/>
    </xf>
    <xf numFmtId="0" fontId="12" fillId="15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12" fillId="15" borderId="0" xfId="0" applyFont="1" applyFill="1" applyAlignment="1">
      <alignment vertical="center"/>
    </xf>
    <xf numFmtId="167" fontId="11" fillId="14" borderId="30" xfId="1" applyNumberFormat="1" applyFont="1" applyFill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167" fontId="12" fillId="0" borderId="4" xfId="1" applyNumberFormat="1" applyFont="1" applyBorder="1" applyAlignment="1">
      <alignment vertical="center"/>
    </xf>
    <xf numFmtId="0" fontId="11" fillId="14" borderId="0" xfId="0" applyFont="1" applyFill="1" applyAlignment="1">
      <alignment horizontal="left" vertical="center"/>
    </xf>
    <xf numFmtId="0" fontId="11" fillId="14" borderId="32" xfId="0" applyFont="1" applyFill="1" applyBorder="1" applyAlignment="1">
      <alignment horizontal="center" vertical="center"/>
    </xf>
    <xf numFmtId="0" fontId="46" fillId="0" borderId="0" xfId="23" applyFont="1" applyAlignment="1" applyProtection="1">
      <alignment vertical="center"/>
      <protection locked="0"/>
    </xf>
    <xf numFmtId="0" fontId="46" fillId="0" borderId="0" xfId="23" applyFont="1" applyAlignment="1" applyProtection="1">
      <alignment horizontal="center"/>
      <protection locked="0"/>
    </xf>
    <xf numFmtId="0" fontId="46" fillId="0" borderId="0" xfId="23" applyFont="1" applyProtection="1">
      <protection locked="0"/>
    </xf>
    <xf numFmtId="0" fontId="47" fillId="0" borderId="0" xfId="0" applyFont="1" applyAlignment="1">
      <alignment vertical="top"/>
    </xf>
    <xf numFmtId="172" fontId="46" fillId="0" borderId="0" xfId="24" applyNumberFormat="1" applyFont="1" applyAlignment="1" applyProtection="1">
      <alignment vertical="center"/>
      <protection locked="0"/>
    </xf>
    <xf numFmtId="0" fontId="46" fillId="0" borderId="0" xfId="25" applyFont="1"/>
    <xf numFmtId="0" fontId="48" fillId="0" borderId="0" xfId="0" applyFont="1" applyAlignment="1">
      <alignment vertical="top"/>
    </xf>
    <xf numFmtId="0" fontId="49" fillId="0" borderId="0" xfId="0" applyFont="1" applyAlignment="1">
      <alignment horizontal="left" vertical="top"/>
    </xf>
    <xf numFmtId="0" fontId="50" fillId="0" borderId="0" xfId="0" applyFont="1"/>
    <xf numFmtId="0" fontId="51" fillId="0" borderId="0" xfId="23" applyFont="1" applyAlignment="1" applyProtection="1">
      <alignment vertical="center"/>
      <protection locked="0"/>
    </xf>
    <xf numFmtId="0" fontId="51" fillId="0" borderId="0" xfId="23" applyFont="1" applyAlignment="1" applyProtection="1">
      <alignment horizontal="center"/>
      <protection locked="0"/>
    </xf>
    <xf numFmtId="0" fontId="51" fillId="0" borderId="0" xfId="23" applyFont="1" applyProtection="1">
      <protection locked="0"/>
    </xf>
    <xf numFmtId="0" fontId="51" fillId="0" borderId="0" xfId="0" applyFont="1"/>
    <xf numFmtId="0" fontId="48" fillId="0" borderId="0" xfId="23" applyFont="1" applyProtection="1">
      <protection locked="0"/>
    </xf>
    <xf numFmtId="0" fontId="51" fillId="0" borderId="0" xfId="25" applyFont="1"/>
    <xf numFmtId="172" fontId="51" fillId="0" borderId="0" xfId="24" applyNumberFormat="1" applyFont="1" applyAlignment="1" applyProtection="1">
      <alignment vertical="center"/>
      <protection locked="0"/>
    </xf>
    <xf numFmtId="0" fontId="52" fillId="0" borderId="0" xfId="23" applyFont="1" applyAlignment="1" applyProtection="1">
      <alignment vertical="center"/>
      <protection locked="0"/>
    </xf>
    <xf numFmtId="0" fontId="52" fillId="0" borderId="0" xfId="23" applyFont="1" applyAlignment="1" applyProtection="1">
      <alignment horizontal="center"/>
      <protection locked="0"/>
    </xf>
    <xf numFmtId="0" fontId="52" fillId="0" borderId="0" xfId="23" applyFont="1" applyProtection="1">
      <protection locked="0"/>
    </xf>
    <xf numFmtId="0" fontId="53" fillId="0" borderId="0" xfId="23" applyFont="1" applyProtection="1">
      <protection locked="0"/>
    </xf>
    <xf numFmtId="0" fontId="52" fillId="0" borderId="0" xfId="0" applyFont="1"/>
    <xf numFmtId="0" fontId="54" fillId="0" borderId="0" xfId="23" applyFont="1" applyProtection="1">
      <protection locked="0"/>
    </xf>
    <xf numFmtId="0" fontId="52" fillId="0" borderId="0" xfId="25" applyFont="1"/>
    <xf numFmtId="172" fontId="52" fillId="0" borderId="0" xfId="24" applyNumberFormat="1" applyFont="1" applyAlignment="1" applyProtection="1">
      <alignment vertical="center"/>
      <protection locked="0"/>
    </xf>
    <xf numFmtId="0" fontId="55" fillId="21" borderId="0" xfId="25" applyFont="1" applyFill="1"/>
    <xf numFmtId="0" fontId="52" fillId="21" borderId="0" xfId="25" applyFont="1" applyFill="1"/>
    <xf numFmtId="0" fontId="55" fillId="22" borderId="0" xfId="25" applyFont="1" applyFill="1"/>
    <xf numFmtId="0" fontId="52" fillId="22" borderId="0" xfId="25" applyFont="1" applyFill="1"/>
    <xf numFmtId="0" fontId="56" fillId="23" borderId="23" xfId="14" applyFont="1" applyFill="1" applyBorder="1" applyAlignment="1">
      <alignment horizontal="center" vertical="center"/>
    </xf>
    <xf numFmtId="49" fontId="56" fillId="23" borderId="23" xfId="14" applyNumberFormat="1" applyFont="1" applyFill="1" applyBorder="1" applyAlignment="1">
      <alignment horizontal="center" vertical="center"/>
    </xf>
    <xf numFmtId="0" fontId="56" fillId="24" borderId="23" xfId="14" applyFont="1" applyFill="1" applyBorder="1" applyAlignment="1">
      <alignment horizontal="center" vertical="center" wrapText="1"/>
    </xf>
    <xf numFmtId="0" fontId="51" fillId="0" borderId="0" xfId="25" applyFont="1" applyAlignment="1">
      <alignment wrapText="1"/>
    </xf>
    <xf numFmtId="0" fontId="57" fillId="25" borderId="20" xfId="25" applyFont="1" applyFill="1" applyBorder="1" applyAlignment="1">
      <alignment wrapText="1"/>
    </xf>
    <xf numFmtId="0" fontId="57" fillId="7" borderId="20" xfId="25" applyFont="1" applyFill="1" applyBorder="1" applyAlignment="1">
      <alignment wrapText="1"/>
    </xf>
    <xf numFmtId="0" fontId="57" fillId="26" borderId="23" xfId="14" applyFont="1" applyFill="1" applyBorder="1" applyAlignment="1">
      <alignment horizontal="center" vertical="center"/>
    </xf>
    <xf numFmtId="0" fontId="57" fillId="10" borderId="23" xfId="14" applyFont="1" applyFill="1" applyBorder="1" applyAlignment="1">
      <alignment horizontal="center" vertical="center"/>
    </xf>
    <xf numFmtId="0" fontId="57" fillId="2" borderId="23" xfId="14" applyFont="1" applyFill="1" applyBorder="1" applyAlignment="1">
      <alignment horizontal="center" vertical="center"/>
    </xf>
    <xf numFmtId="0" fontId="57" fillId="13" borderId="23" xfId="14" applyFont="1" applyFill="1" applyBorder="1" applyAlignment="1">
      <alignment horizontal="center" vertical="center"/>
    </xf>
    <xf numFmtId="0" fontId="56" fillId="27" borderId="23" xfId="14" applyFont="1" applyFill="1" applyBorder="1" applyAlignment="1">
      <alignment horizontal="center" vertical="center"/>
    </xf>
    <xf numFmtId="49" fontId="57" fillId="6" borderId="23" xfId="14" applyNumberFormat="1" applyFont="1" applyFill="1" applyBorder="1" applyAlignment="1">
      <alignment horizontal="center" vertical="center"/>
    </xf>
    <xf numFmtId="0" fontId="57" fillId="6" borderId="23" xfId="14" applyFont="1" applyFill="1" applyBorder="1" applyAlignment="1">
      <alignment horizontal="center" vertical="center"/>
    </xf>
    <xf numFmtId="0" fontId="51" fillId="0" borderId="0" xfId="25" applyFont="1" applyAlignment="1">
      <alignment vertical="center" wrapText="1"/>
    </xf>
    <xf numFmtId="0" fontId="57" fillId="25" borderId="20" xfId="25" applyFont="1" applyFill="1" applyBorder="1" applyAlignment="1">
      <alignment vertical="center" wrapText="1"/>
    </xf>
    <xf numFmtId="0" fontId="57" fillId="7" borderId="20" xfId="25" applyFont="1" applyFill="1" applyBorder="1" applyAlignment="1">
      <alignment vertical="center" wrapText="1"/>
    </xf>
    <xf numFmtId="0" fontId="58" fillId="20" borderId="23" xfId="14" applyFont="1" applyFill="1" applyBorder="1" applyAlignment="1">
      <alignment horizontal="left" vertical="center"/>
    </xf>
    <xf numFmtId="0" fontId="58" fillId="20" borderId="23" xfId="14" applyFont="1" applyFill="1" applyBorder="1" applyAlignment="1">
      <alignment horizontal="center" vertical="center"/>
    </xf>
    <xf numFmtId="0" fontId="58" fillId="20" borderId="23" xfId="14" applyFont="1" applyFill="1" applyBorder="1" applyAlignment="1">
      <alignment vertical="center"/>
    </xf>
    <xf numFmtId="0" fontId="57" fillId="20" borderId="23" xfId="14" applyFont="1" applyFill="1" applyBorder="1" applyAlignment="1">
      <alignment horizontal="center" vertical="center"/>
    </xf>
    <xf numFmtId="182" fontId="58" fillId="4" borderId="23" xfId="24" applyNumberFormat="1" applyFont="1" applyFill="1" applyBorder="1" applyAlignment="1" applyProtection="1">
      <alignment vertical="center"/>
    </xf>
    <xf numFmtId="0" fontId="51" fillId="0" borderId="0" xfId="25" applyFont="1" applyAlignment="1">
      <alignment vertical="center"/>
    </xf>
    <xf numFmtId="0" fontId="59" fillId="0" borderId="23" xfId="14" applyFont="1" applyBorder="1" applyAlignment="1">
      <alignment horizontal="left" vertical="center"/>
    </xf>
    <xf numFmtId="0" fontId="59" fillId="0" borderId="23" xfId="14" applyFont="1" applyBorder="1" applyAlignment="1">
      <alignment horizontal="center" vertical="center"/>
    </xf>
    <xf numFmtId="0" fontId="59" fillId="0" borderId="23" xfId="14" applyFont="1" applyBorder="1" applyAlignment="1">
      <alignment vertical="center"/>
    </xf>
    <xf numFmtId="182" fontId="51" fillId="0" borderId="23" xfId="24" applyNumberFormat="1" applyFont="1" applyBorder="1" applyAlignment="1" applyProtection="1">
      <alignment vertical="center"/>
    </xf>
    <xf numFmtId="0" fontId="59" fillId="0" borderId="20" xfId="25" applyFont="1" applyBorder="1" applyAlignment="1">
      <alignment vertical="center"/>
    </xf>
    <xf numFmtId="0" fontId="59" fillId="0" borderId="0" xfId="25" applyFont="1" applyAlignment="1">
      <alignment vertical="center"/>
    </xf>
    <xf numFmtId="182" fontId="51" fillId="0" borderId="23" xfId="24" applyNumberFormat="1" applyFont="1" applyFill="1" applyBorder="1" applyAlignment="1" applyProtection="1">
      <alignment vertical="center"/>
    </xf>
    <xf numFmtId="0" fontId="51" fillId="0" borderId="20" xfId="25" applyFont="1" applyBorder="1" applyAlignment="1">
      <alignment vertical="center"/>
    </xf>
    <xf numFmtId="0" fontId="58" fillId="4" borderId="23" xfId="14" applyFont="1" applyFill="1" applyBorder="1" applyAlignment="1">
      <alignment vertical="center"/>
    </xf>
    <xf numFmtId="164" fontId="59" fillId="0" borderId="33" xfId="26" applyNumberFormat="1" applyFont="1" applyBorder="1" applyAlignment="1">
      <alignment horizontal="left" vertical="center"/>
    </xf>
    <xf numFmtId="0" fontId="59" fillId="0" borderId="0" xfId="14" applyFont="1" applyAlignment="1">
      <alignment vertical="center"/>
    </xf>
    <xf numFmtId="0" fontId="59" fillId="10" borderId="23" xfId="14" applyFont="1" applyFill="1" applyBorder="1" applyAlignment="1">
      <alignment vertical="center"/>
    </xf>
    <xf numFmtId="0" fontId="58" fillId="20" borderId="23" xfId="23" applyFont="1" applyFill="1" applyBorder="1" applyAlignment="1">
      <alignment horizontal="left" vertical="center"/>
    </xf>
    <xf numFmtId="0" fontId="60" fillId="20" borderId="23" xfId="23" applyFont="1" applyFill="1" applyBorder="1" applyAlignment="1">
      <alignment horizontal="center" vertical="center"/>
    </xf>
    <xf numFmtId="0" fontId="58" fillId="20" borderId="23" xfId="23" applyFont="1" applyFill="1" applyBorder="1" applyAlignment="1">
      <alignment horizontal="center" vertical="center"/>
    </xf>
    <xf numFmtId="0" fontId="58" fillId="4" borderId="23" xfId="23" applyFont="1" applyFill="1" applyBorder="1" applyAlignment="1">
      <alignment vertical="center"/>
    </xf>
    <xf numFmtId="49" fontId="59" fillId="0" borderId="23" xfId="14" applyNumberFormat="1" applyFont="1" applyBorder="1" applyAlignment="1">
      <alignment horizontal="center" vertical="center"/>
    </xf>
    <xf numFmtId="0" fontId="59" fillId="6" borderId="23" xfId="14" applyFont="1" applyFill="1" applyBorder="1" applyAlignment="1">
      <alignment vertical="center"/>
    </xf>
    <xf numFmtId="0" fontId="59" fillId="6" borderId="23" xfId="14" applyFont="1" applyFill="1" applyBorder="1" applyAlignment="1">
      <alignment horizontal="center" vertical="center"/>
    </xf>
    <xf numFmtId="0" fontId="51" fillId="0" borderId="0" xfId="23" applyFont="1"/>
    <xf numFmtId="172" fontId="51" fillId="0" borderId="0" xfId="27" applyNumberFormat="1" applyFont="1"/>
    <xf numFmtId="0" fontId="61" fillId="28" borderId="23" xfId="14" applyFont="1" applyFill="1" applyBorder="1" applyAlignment="1">
      <alignment vertical="center"/>
    </xf>
    <xf numFmtId="182" fontId="61" fillId="28" borderId="23" xfId="24" applyNumberFormat="1" applyFont="1" applyFill="1" applyBorder="1" applyAlignment="1" applyProtection="1">
      <alignment vertical="center"/>
    </xf>
    <xf numFmtId="0" fontId="59" fillId="6" borderId="34" xfId="14" applyFont="1" applyFill="1" applyBorder="1" applyAlignment="1">
      <alignment horizontal="left" vertical="center"/>
    </xf>
    <xf numFmtId="0" fontId="51" fillId="6" borderId="0" xfId="23" applyFont="1" applyFill="1" applyAlignment="1">
      <alignment horizontal="center" vertical="center"/>
    </xf>
    <xf numFmtId="0" fontId="51" fillId="6" borderId="0" xfId="23" applyFont="1" applyFill="1"/>
    <xf numFmtId="0" fontId="51" fillId="6" borderId="0" xfId="23" applyFont="1" applyFill="1" applyAlignment="1">
      <alignment horizontal="center"/>
    </xf>
    <xf numFmtId="49" fontId="51" fillId="6" borderId="0" xfId="23" applyNumberFormat="1" applyFont="1" applyFill="1" applyAlignment="1">
      <alignment horizontal="center"/>
    </xf>
    <xf numFmtId="172" fontId="51" fillId="6" borderId="0" xfId="24" applyNumberFormat="1" applyFont="1" applyFill="1" applyAlignment="1" applyProtection="1">
      <alignment vertical="center"/>
    </xf>
    <xf numFmtId="182" fontId="51" fillId="0" borderId="0" xfId="23" applyNumberFormat="1" applyFont="1" applyAlignment="1" applyProtection="1">
      <alignment vertical="center"/>
      <protection locked="0"/>
    </xf>
    <xf numFmtId="0" fontId="62" fillId="0" borderId="20" xfId="14" applyFont="1" applyBorder="1" applyAlignment="1">
      <alignment horizontal="center" vertical="center"/>
    </xf>
    <xf numFmtId="0" fontId="7" fillId="0" borderId="35" xfId="14" applyFont="1" applyBorder="1" applyAlignment="1">
      <alignment vertical="center"/>
    </xf>
    <xf numFmtId="0" fontId="5" fillId="13" borderId="20" xfId="14" applyFont="1" applyFill="1" applyBorder="1" applyAlignment="1">
      <alignment horizontal="center" vertical="center"/>
    </xf>
    <xf numFmtId="0" fontId="37" fillId="16" borderId="20" xfId="0" applyFont="1" applyFill="1" applyBorder="1" applyAlignment="1">
      <alignment horizontal="center" vertical="center" wrapText="1"/>
    </xf>
    <xf numFmtId="167" fontId="11" fillId="14" borderId="20" xfId="1" applyNumberFormat="1" applyFont="1" applyFill="1" applyBorder="1" applyAlignment="1">
      <alignment vertical="center"/>
    </xf>
    <xf numFmtId="167" fontId="11" fillId="15" borderId="20" xfId="1" applyNumberFormat="1" applyFont="1" applyFill="1" applyBorder="1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2" fillId="8" borderId="37" xfId="0" applyFont="1" applyFill="1" applyBorder="1" applyAlignment="1">
      <alignment horizontal="left" vertical="center"/>
    </xf>
    <xf numFmtId="0" fontId="12" fillId="8" borderId="37" xfId="0" applyFont="1" applyFill="1" applyBorder="1" applyAlignment="1">
      <alignment vertical="center"/>
    </xf>
    <xf numFmtId="0" fontId="12" fillId="0" borderId="37" xfId="0" applyFont="1" applyBorder="1" applyAlignment="1">
      <alignment horizontal="left"/>
    </xf>
    <xf numFmtId="167" fontId="12" fillId="0" borderId="37" xfId="1" applyNumberFormat="1" applyFont="1" applyBorder="1" applyAlignment="1">
      <alignment vertical="center"/>
    </xf>
    <xf numFmtId="0" fontId="12" fillId="0" borderId="38" xfId="0" applyFont="1" applyBorder="1" applyAlignment="1">
      <alignment horizontal="center" vertical="center"/>
    </xf>
    <xf numFmtId="0" fontId="12" fillId="8" borderId="38" xfId="0" applyFont="1" applyFill="1" applyBorder="1" applyAlignment="1">
      <alignment horizontal="left" vertical="center"/>
    </xf>
    <xf numFmtId="0" fontId="12" fillId="8" borderId="38" xfId="0" applyFont="1" applyFill="1" applyBorder="1" applyAlignment="1">
      <alignment vertical="center"/>
    </xf>
    <xf numFmtId="0" fontId="12" fillId="0" borderId="38" xfId="0" applyFont="1" applyBorder="1" applyAlignment="1">
      <alignment horizontal="left"/>
    </xf>
    <xf numFmtId="167" fontId="12" fillId="0" borderId="38" xfId="1" applyNumberFormat="1" applyFont="1" applyBorder="1" applyAlignment="1">
      <alignment vertical="center"/>
    </xf>
    <xf numFmtId="0" fontId="12" fillId="0" borderId="39" xfId="0" applyFont="1" applyBorder="1" applyAlignment="1">
      <alignment horizontal="center" vertical="center"/>
    </xf>
    <xf numFmtId="0" fontId="12" fillId="8" borderId="39" xfId="0" applyFont="1" applyFill="1" applyBorder="1" applyAlignment="1">
      <alignment horizontal="left" vertical="center"/>
    </xf>
    <xf numFmtId="0" fontId="12" fillId="8" borderId="39" xfId="0" applyFont="1" applyFill="1" applyBorder="1" applyAlignment="1">
      <alignment vertical="center"/>
    </xf>
    <xf numFmtId="167" fontId="12" fillId="0" borderId="39" xfId="1" applyNumberFormat="1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164" fontId="12" fillId="0" borderId="37" xfId="1" applyNumberFormat="1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164" fontId="12" fillId="0" borderId="39" xfId="1" applyNumberFormat="1" applyFont="1" applyBorder="1" applyAlignment="1">
      <alignment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167" fontId="12" fillId="0" borderId="39" xfId="1" applyNumberFormat="1" applyFont="1" applyBorder="1"/>
    <xf numFmtId="164" fontId="11" fillId="0" borderId="0" xfId="1" applyNumberFormat="1" applyFont="1" applyAlignment="1">
      <alignment horizontal="right" vertical="center"/>
    </xf>
    <xf numFmtId="167" fontId="11" fillId="0" borderId="37" xfId="1" applyNumberFormat="1" applyFont="1" applyBorder="1" applyAlignment="1">
      <alignment vertical="center"/>
    </xf>
    <xf numFmtId="167" fontId="11" fillId="0" borderId="38" xfId="1" applyNumberFormat="1" applyFont="1" applyBorder="1" applyAlignment="1">
      <alignment vertical="center"/>
    </xf>
    <xf numFmtId="167" fontId="11" fillId="0" borderId="39" xfId="1" applyNumberFormat="1" applyFont="1" applyBorder="1" applyAlignment="1">
      <alignment vertical="center"/>
    </xf>
    <xf numFmtId="167" fontId="11" fillId="0" borderId="37" xfId="0" applyNumberFormat="1" applyFont="1" applyBorder="1" applyAlignment="1">
      <alignment vertical="center"/>
    </xf>
    <xf numFmtId="167" fontId="11" fillId="0" borderId="39" xfId="0" applyNumberFormat="1" applyFont="1" applyBorder="1" applyAlignment="1">
      <alignment vertical="center"/>
    </xf>
    <xf numFmtId="0" fontId="63" fillId="0" borderId="0" xfId="0" applyFont="1"/>
    <xf numFmtId="167" fontId="11" fillId="0" borderId="39" xfId="1" applyNumberFormat="1" applyFont="1" applyBorder="1"/>
    <xf numFmtId="0" fontId="12" fillId="0" borderId="0" xfId="0" applyFont="1" applyAlignment="1">
      <alignment horizontal="left"/>
    </xf>
    <xf numFmtId="164" fontId="11" fillId="4" borderId="20" xfId="1" applyNumberFormat="1" applyFont="1" applyFill="1" applyBorder="1" applyAlignment="1">
      <alignment horizontal="left" vertical="center" wrapText="1"/>
    </xf>
    <xf numFmtId="164" fontId="12" fillId="0" borderId="0" xfId="1" applyNumberFormat="1" applyFont="1" applyAlignment="1">
      <alignment horizontal="left"/>
    </xf>
    <xf numFmtId="164" fontId="11" fillId="4" borderId="20" xfId="1" applyNumberFormat="1" applyFont="1" applyFill="1" applyBorder="1" applyAlignment="1">
      <alignment vertical="center" wrapText="1"/>
    </xf>
    <xf numFmtId="0" fontId="11" fillId="14" borderId="4" xfId="0" applyFont="1" applyFill="1" applyBorder="1" applyAlignment="1">
      <alignment vertical="center"/>
    </xf>
    <xf numFmtId="0" fontId="12" fillId="0" borderId="37" xfId="0" applyFont="1" applyBorder="1"/>
    <xf numFmtId="0" fontId="12" fillId="0" borderId="38" xfId="0" applyFont="1" applyBorder="1"/>
    <xf numFmtId="0" fontId="12" fillId="0" borderId="39" xfId="0" applyFont="1" applyBorder="1"/>
    <xf numFmtId="0" fontId="11" fillId="15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12" fillId="8" borderId="37" xfId="6" applyFont="1" applyFill="1" applyBorder="1" applyAlignment="1">
      <alignment horizontal="center" vertical="center" wrapText="1"/>
    </xf>
    <xf numFmtId="0" fontId="12" fillId="8" borderId="37" xfId="6" applyFont="1" applyFill="1" applyBorder="1" applyAlignment="1">
      <alignment horizontal="left" vertical="center" wrapText="1"/>
    </xf>
    <xf numFmtId="168" fontId="11" fillId="8" borderId="37" xfId="8" quotePrefix="1" applyNumberFormat="1" applyFont="1" applyFill="1" applyBorder="1" applyAlignment="1">
      <alignment horizontal="right" vertical="center" wrapText="1"/>
    </xf>
    <xf numFmtId="168" fontId="12" fillId="8" borderId="37" xfId="8" quotePrefix="1" applyNumberFormat="1" applyFont="1" applyFill="1" applyBorder="1" applyAlignment="1">
      <alignment horizontal="right" vertical="center" wrapText="1"/>
    </xf>
    <xf numFmtId="0" fontId="12" fillId="8" borderId="38" xfId="6" applyFont="1" applyFill="1" applyBorder="1" applyAlignment="1">
      <alignment horizontal="center" vertical="center" wrapText="1"/>
    </xf>
    <xf numFmtId="0" fontId="12" fillId="8" borderId="38" xfId="6" applyFont="1" applyFill="1" applyBorder="1" applyAlignment="1">
      <alignment horizontal="left" vertical="center" wrapText="1"/>
    </xf>
    <xf numFmtId="168" fontId="11" fillId="8" borderId="38" xfId="8" quotePrefix="1" applyNumberFormat="1" applyFont="1" applyFill="1" applyBorder="1" applyAlignment="1">
      <alignment horizontal="right" vertical="center" wrapText="1"/>
    </xf>
    <xf numFmtId="168" fontId="12" fillId="8" borderId="38" xfId="8" quotePrefix="1" applyNumberFormat="1" applyFont="1" applyFill="1" applyBorder="1" applyAlignment="1">
      <alignment horizontal="right" vertical="center" wrapText="1"/>
    </xf>
    <xf numFmtId="0" fontId="12" fillId="8" borderId="39" xfId="6" applyFont="1" applyFill="1" applyBorder="1" applyAlignment="1">
      <alignment horizontal="center" vertical="center" wrapText="1"/>
    </xf>
    <xf numFmtId="0" fontId="12" fillId="8" borderId="39" xfId="6" applyFont="1" applyFill="1" applyBorder="1" applyAlignment="1">
      <alignment horizontal="left" vertical="center" wrapText="1"/>
    </xf>
    <xf numFmtId="168" fontId="11" fillId="8" borderId="39" xfId="8" quotePrefix="1" applyNumberFormat="1" applyFont="1" applyFill="1" applyBorder="1" applyAlignment="1">
      <alignment horizontal="right" vertical="center" wrapText="1"/>
    </xf>
    <xf numFmtId="168" fontId="12" fillId="8" borderId="39" xfId="8" quotePrefix="1" applyNumberFormat="1" applyFont="1" applyFill="1" applyBorder="1" applyAlignment="1">
      <alignment horizontal="right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165" fontId="12" fillId="0" borderId="37" xfId="2" applyNumberFormat="1" applyFont="1" applyBorder="1" applyAlignment="1">
      <alignment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9" xfId="0" applyFont="1" applyBorder="1" applyAlignment="1">
      <alignment vertical="center" wrapText="1"/>
    </xf>
    <xf numFmtId="165" fontId="12" fillId="0" borderId="39" xfId="2" applyNumberFormat="1" applyFont="1" applyBorder="1" applyAlignment="1">
      <alignment vertical="center"/>
    </xf>
    <xf numFmtId="178" fontId="12" fillId="8" borderId="37" xfId="8" quotePrefix="1" applyNumberFormat="1" applyFont="1" applyFill="1" applyBorder="1" applyAlignment="1">
      <alignment horizontal="right" vertical="center" wrapText="1"/>
    </xf>
    <xf numFmtId="178" fontId="11" fillId="8" borderId="37" xfId="8" quotePrefix="1" applyNumberFormat="1" applyFont="1" applyFill="1" applyBorder="1" applyAlignment="1">
      <alignment horizontal="right" vertical="center" wrapText="1"/>
    </xf>
    <xf numFmtId="178" fontId="12" fillId="8" borderId="38" xfId="8" quotePrefix="1" applyNumberFormat="1" applyFont="1" applyFill="1" applyBorder="1" applyAlignment="1">
      <alignment horizontal="right" vertical="center" wrapText="1"/>
    </xf>
    <xf numFmtId="180" fontId="11" fillId="8" borderId="38" xfId="8" quotePrefix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right" vertical="center"/>
    </xf>
    <xf numFmtId="168" fontId="12" fillId="0" borderId="37" xfId="0" applyNumberFormat="1" applyFont="1" applyBorder="1" applyAlignment="1">
      <alignment vertical="center"/>
    </xf>
    <xf numFmtId="168" fontId="11" fillId="0" borderId="37" xfId="0" applyNumberFormat="1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168" fontId="12" fillId="0" borderId="38" xfId="0" applyNumberFormat="1" applyFont="1" applyBorder="1" applyAlignment="1">
      <alignment vertical="center"/>
    </xf>
    <xf numFmtId="168" fontId="11" fillId="0" borderId="38" xfId="0" applyNumberFormat="1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168" fontId="12" fillId="0" borderId="39" xfId="0" applyNumberFormat="1" applyFont="1" applyBorder="1" applyAlignment="1">
      <alignment vertical="center"/>
    </xf>
    <xf numFmtId="168" fontId="11" fillId="0" borderId="39" xfId="0" applyNumberFormat="1" applyFont="1" applyBorder="1" applyAlignment="1">
      <alignment vertical="center"/>
    </xf>
    <xf numFmtId="0" fontId="40" fillId="0" borderId="0" xfId="0" applyFont="1" applyAlignment="1">
      <alignment vertical="center"/>
    </xf>
    <xf numFmtId="167" fontId="11" fillId="0" borderId="38" xfId="0" applyNumberFormat="1" applyFont="1" applyBorder="1" applyAlignment="1">
      <alignment vertical="center"/>
    </xf>
    <xf numFmtId="181" fontId="11" fillId="0" borderId="38" xfId="0" applyNumberFormat="1" applyFont="1" applyBorder="1" applyAlignment="1">
      <alignment vertical="center"/>
    </xf>
    <xf numFmtId="167" fontId="12" fillId="0" borderId="38" xfId="0" applyNumberFormat="1" applyFont="1" applyBorder="1" applyAlignment="1">
      <alignment vertical="center"/>
    </xf>
    <xf numFmtId="164" fontId="11" fillId="0" borderId="39" xfId="1" applyNumberFormat="1" applyFont="1" applyBorder="1" applyAlignment="1">
      <alignment vertical="center"/>
    </xf>
    <xf numFmtId="0" fontId="11" fillId="14" borderId="2" xfId="0" applyFont="1" applyFill="1" applyBorder="1" applyAlignment="1">
      <alignment horizontal="left" vertical="center"/>
    </xf>
    <xf numFmtId="0" fontId="11" fillId="14" borderId="43" xfId="0" applyFont="1" applyFill="1" applyBorder="1" applyAlignment="1">
      <alignment horizontal="center" vertical="center"/>
    </xf>
    <xf numFmtId="0" fontId="11" fillId="14" borderId="43" xfId="0" applyFont="1" applyFill="1" applyBorder="1" applyAlignment="1">
      <alignment horizontal="left" vertical="center"/>
    </xf>
    <xf numFmtId="0" fontId="16" fillId="14" borderId="41" xfId="0" applyFont="1" applyFill="1" applyBorder="1" applyAlignment="1">
      <alignment horizontal="left" vertical="center"/>
    </xf>
    <xf numFmtId="0" fontId="11" fillId="4" borderId="43" xfId="0" applyFont="1" applyFill="1" applyBorder="1" applyAlignment="1">
      <alignment horizontal="left" vertical="center"/>
    </xf>
    <xf numFmtId="0" fontId="16" fillId="4" borderId="41" xfId="0" applyFont="1" applyFill="1" applyBorder="1" applyAlignment="1">
      <alignment horizontal="left" vertical="center"/>
    </xf>
    <xf numFmtId="0" fontId="12" fillId="14" borderId="43" xfId="0" applyFont="1" applyFill="1" applyBorder="1" applyAlignment="1">
      <alignment horizontal="left" vertical="center"/>
    </xf>
    <xf numFmtId="0" fontId="12" fillId="14" borderId="43" xfId="0" applyFont="1" applyFill="1" applyBorder="1" applyAlignment="1">
      <alignment vertical="center"/>
    </xf>
    <xf numFmtId="164" fontId="12" fillId="0" borderId="38" xfId="1" applyNumberFormat="1" applyFont="1" applyBorder="1" applyAlignment="1">
      <alignment vertical="center"/>
    </xf>
    <xf numFmtId="164" fontId="11" fillId="14" borderId="20" xfId="1" applyNumberFormat="1" applyFont="1" applyFill="1" applyBorder="1" applyAlignment="1">
      <alignment vertical="center"/>
    </xf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164" fontId="12" fillId="0" borderId="37" xfId="1" applyNumberFormat="1" applyFont="1" applyBorder="1"/>
    <xf numFmtId="164" fontId="12" fillId="0" borderId="38" xfId="1" applyNumberFormat="1" applyFont="1" applyBorder="1"/>
    <xf numFmtId="0" fontId="5" fillId="4" borderId="2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43" xfId="0" applyFont="1" applyFill="1" applyBorder="1" applyAlignment="1">
      <alignment horizontal="center" vertical="center"/>
    </xf>
    <xf numFmtId="0" fontId="57" fillId="2" borderId="20" xfId="14" applyFont="1" applyFill="1" applyBorder="1" applyAlignment="1">
      <alignment horizontal="center" vertical="center" wrapText="1"/>
    </xf>
    <xf numFmtId="0" fontId="5" fillId="13" borderId="29" xfId="14" applyFont="1" applyFill="1" applyBorder="1" applyAlignment="1">
      <alignment horizontal="center" vertical="center"/>
    </xf>
    <xf numFmtId="167" fontId="12" fillId="9" borderId="37" xfId="8" quotePrefix="1" applyNumberFormat="1" applyFont="1" applyFill="1" applyBorder="1" applyAlignment="1">
      <alignment horizontal="center" vertical="center" wrapText="1"/>
    </xf>
    <xf numFmtId="167" fontId="12" fillId="9" borderId="38" xfId="8" quotePrefix="1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164" fontId="12" fillId="0" borderId="4" xfId="1" applyNumberFormat="1" applyFont="1" applyBorder="1" applyAlignment="1">
      <alignment vertical="center"/>
    </xf>
    <xf numFmtId="167" fontId="11" fillId="0" borderId="4" xfId="0" applyNumberFormat="1" applyFont="1" applyBorder="1" applyAlignment="1">
      <alignment vertical="center"/>
    </xf>
    <xf numFmtId="0" fontId="12" fillId="8" borderId="31" xfId="0" applyFont="1" applyFill="1" applyBorder="1" applyAlignment="1">
      <alignment horizontal="left" vertical="center"/>
    </xf>
    <xf numFmtId="0" fontId="12" fillId="8" borderId="48" xfId="0" applyFont="1" applyFill="1" applyBorder="1" applyAlignment="1">
      <alignment vertical="center"/>
    </xf>
    <xf numFmtId="0" fontId="12" fillId="0" borderId="48" xfId="0" applyFont="1" applyBorder="1" applyAlignment="1">
      <alignment vertical="center"/>
    </xf>
    <xf numFmtId="164" fontId="12" fillId="0" borderId="30" xfId="1" applyNumberFormat="1" applyFont="1" applyBorder="1" applyAlignment="1">
      <alignment vertical="center"/>
    </xf>
    <xf numFmtId="164" fontId="11" fillId="0" borderId="4" xfId="1" applyNumberFormat="1" applyFont="1" applyBorder="1" applyAlignment="1">
      <alignment vertical="center"/>
    </xf>
    <xf numFmtId="164" fontId="57" fillId="4" borderId="20" xfId="0" applyNumberFormat="1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2" fillId="0" borderId="9" xfId="14" applyFont="1" applyBorder="1" applyAlignment="1">
      <alignment vertical="center"/>
    </xf>
    <xf numFmtId="0" fontId="12" fillId="0" borderId="28" xfId="14" applyFont="1" applyBorder="1" applyAlignment="1">
      <alignment vertical="center"/>
    </xf>
    <xf numFmtId="0" fontId="6" fillId="0" borderId="36" xfId="20" applyFont="1" applyBorder="1" applyAlignment="1">
      <alignment horizontal="center"/>
    </xf>
    <xf numFmtId="0" fontId="12" fillId="0" borderId="36" xfId="14" applyFont="1" applyBorder="1" applyAlignment="1">
      <alignment vertical="center"/>
    </xf>
    <xf numFmtId="0" fontId="6" fillId="0" borderId="36" xfId="20" applyFont="1" applyBorder="1"/>
    <xf numFmtId="0" fontId="7" fillId="0" borderId="35" xfId="14" applyFont="1" applyBorder="1" applyAlignment="1">
      <alignment horizontal="center" vertical="center"/>
    </xf>
    <xf numFmtId="0" fontId="7" fillId="0" borderId="35" xfId="14" applyFont="1" applyBorder="1" applyAlignment="1">
      <alignment horizontal="left" vertical="center"/>
    </xf>
    <xf numFmtId="0" fontId="37" fillId="16" borderId="20" xfId="20" applyFont="1" applyFill="1" applyBorder="1" applyAlignment="1">
      <alignment horizontal="center" vertical="center" wrapText="1"/>
    </xf>
    <xf numFmtId="0" fontId="5" fillId="19" borderId="20" xfId="20" applyFont="1" applyFill="1" applyBorder="1" applyAlignment="1">
      <alignment horizontal="center" vertical="center" wrapText="1"/>
    </xf>
    <xf numFmtId="2" fontId="37" fillId="16" borderId="20" xfId="20" applyNumberFormat="1" applyFont="1" applyFill="1" applyBorder="1" applyAlignment="1">
      <alignment horizontal="center" vertical="center" wrapText="1"/>
    </xf>
    <xf numFmtId="0" fontId="5" fillId="2" borderId="20" xfId="14" applyFont="1" applyFill="1" applyBorder="1" applyAlignment="1">
      <alignment horizontal="center" vertical="center" wrapText="1"/>
    </xf>
    <xf numFmtId="164" fontId="37" fillId="16" borderId="20" xfId="1" applyNumberFormat="1" applyFont="1" applyFill="1" applyBorder="1" applyAlignment="1">
      <alignment horizontal="center" vertical="center" wrapText="1"/>
    </xf>
    <xf numFmtId="164" fontId="5" fillId="13" borderId="20" xfId="1" applyNumberFormat="1" applyFont="1" applyFill="1" applyBorder="1" applyAlignment="1">
      <alignment horizontal="center" vertical="center" wrapText="1"/>
    </xf>
    <xf numFmtId="0" fontId="5" fillId="17" borderId="20" xfId="20" applyFont="1" applyFill="1" applyBorder="1" applyAlignment="1">
      <alignment horizontal="center" vertical="center" wrapText="1"/>
    </xf>
    <xf numFmtId="0" fontId="5" fillId="18" borderId="20" xfId="20" applyFont="1" applyFill="1" applyBorder="1" applyAlignment="1">
      <alignment horizontal="center" vertical="center" wrapText="1"/>
    </xf>
    <xf numFmtId="167" fontId="6" fillId="14" borderId="1" xfId="1" applyNumberFormat="1" applyFont="1" applyFill="1" applyBorder="1" applyAlignment="1">
      <alignment vertical="center"/>
    </xf>
    <xf numFmtId="0" fontId="5" fillId="0" borderId="0" xfId="20" applyFont="1"/>
    <xf numFmtId="0" fontId="64" fillId="29" borderId="0" xfId="20" applyFont="1" applyFill="1"/>
    <xf numFmtId="0" fontId="36" fillId="9" borderId="0" xfId="20" applyFill="1"/>
    <xf numFmtId="0" fontId="36" fillId="0" borderId="0" xfId="20"/>
    <xf numFmtId="0" fontId="36" fillId="7" borderId="0" xfId="20" applyFill="1"/>
    <xf numFmtId="9" fontId="36" fillId="0" borderId="0" xfId="20" applyNumberFormat="1"/>
    <xf numFmtId="0" fontId="65" fillId="0" borderId="0" xfId="20" applyFont="1"/>
    <xf numFmtId="0" fontId="31" fillId="0" borderId="0" xfId="20" applyFont="1" applyAlignment="1">
      <alignment horizontal="center" wrapText="1"/>
    </xf>
    <xf numFmtId="171" fontId="12" fillId="0" borderId="0" xfId="1" applyNumberFormat="1" applyFont="1" applyFill="1" applyBorder="1" applyAlignment="1" applyProtection="1">
      <alignment vertical="center"/>
    </xf>
    <xf numFmtId="10" fontId="12" fillId="0" borderId="0" xfId="2" applyNumberFormat="1" applyFont="1" applyAlignment="1">
      <alignment vertical="center"/>
    </xf>
    <xf numFmtId="183" fontId="12" fillId="0" borderId="20" xfId="1" applyNumberFormat="1" applyFont="1" applyBorder="1" applyAlignment="1">
      <alignment vertical="center"/>
    </xf>
    <xf numFmtId="167" fontId="11" fillId="0" borderId="0" xfId="0" applyNumberFormat="1" applyFont="1" applyAlignment="1">
      <alignment vertical="center"/>
    </xf>
    <xf numFmtId="184" fontId="23" fillId="0" borderId="18" xfId="2" applyNumberFormat="1" applyFont="1" applyFill="1" applyBorder="1" applyAlignment="1" applyProtection="1">
      <alignment vertical="center"/>
    </xf>
    <xf numFmtId="164" fontId="11" fillId="0" borderId="0" xfId="2" applyNumberFormat="1" applyFont="1" applyAlignment="1">
      <alignment horizontal="center" vertical="center" wrapText="1"/>
    </xf>
    <xf numFmtId="164" fontId="11" fillId="0" borderId="0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39" fillId="0" borderId="0" xfId="0" applyFont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1" fillId="0" borderId="20" xfId="0" applyFont="1" applyBorder="1" applyAlignment="1">
      <alignment vertical="center"/>
    </xf>
    <xf numFmtId="164" fontId="22" fillId="0" borderId="20" xfId="1" applyNumberFormat="1" applyFont="1" applyBorder="1" applyAlignment="1">
      <alignment vertical="center"/>
    </xf>
    <xf numFmtId="9" fontId="51" fillId="0" borderId="20" xfId="2" applyFont="1" applyBorder="1" applyAlignment="1">
      <alignment vertical="center"/>
    </xf>
    <xf numFmtId="164" fontId="51" fillId="0" borderId="20" xfId="1" applyNumberFormat="1" applyFont="1" applyBorder="1" applyAlignment="1">
      <alignment vertical="center"/>
    </xf>
    <xf numFmtId="164" fontId="6" fillId="0" borderId="20" xfId="1" applyNumberFormat="1" applyFont="1" applyBorder="1" applyAlignment="1">
      <alignment vertical="center"/>
    </xf>
    <xf numFmtId="164" fontId="66" fillId="0" borderId="20" xfId="29" applyNumberFormat="1" applyFont="1" applyFill="1" applyBorder="1" applyAlignment="1">
      <alignment vertical="center"/>
    </xf>
    <xf numFmtId="164" fontId="6" fillId="0" borderId="36" xfId="29" applyNumberFormat="1" applyFont="1" applyFill="1" applyBorder="1" applyAlignment="1">
      <alignment horizontal="left" vertical="center"/>
    </xf>
    <xf numFmtId="164" fontId="6" fillId="0" borderId="9" xfId="29" applyNumberFormat="1" applyFont="1" applyFill="1" applyBorder="1" applyAlignment="1">
      <alignment horizontal="left" vertical="center"/>
    </xf>
    <xf numFmtId="164" fontId="6" fillId="0" borderId="10" xfId="29" applyNumberFormat="1" applyFont="1" applyFill="1" applyBorder="1" applyAlignment="1">
      <alignment horizontal="left" vertical="center"/>
    </xf>
    <xf numFmtId="164" fontId="6" fillId="0" borderId="7" xfId="29" applyNumberFormat="1" applyFont="1" applyFill="1" applyBorder="1" applyAlignment="1">
      <alignment vertical="center"/>
    </xf>
    <xf numFmtId="164" fontId="6" fillId="0" borderId="9" xfId="29" applyNumberFormat="1" applyFont="1" applyFill="1" applyBorder="1" applyAlignment="1">
      <alignment vertical="center"/>
    </xf>
    <xf numFmtId="164" fontId="6" fillId="0" borderId="10" xfId="29" applyNumberFormat="1" applyFont="1" applyFill="1" applyBorder="1" applyAlignment="1">
      <alignment vertical="center"/>
    </xf>
    <xf numFmtId="164" fontId="6" fillId="0" borderId="20" xfId="29" applyNumberFormat="1" applyFont="1" applyFill="1" applyBorder="1" applyAlignment="1">
      <alignment horizontal="left" vertical="center"/>
    </xf>
    <xf numFmtId="185" fontId="11" fillId="8" borderId="1" xfId="8" quotePrefix="1" applyNumberFormat="1" applyFont="1" applyFill="1" applyBorder="1" applyAlignment="1">
      <alignment horizontal="right" vertical="center" wrapText="1"/>
    </xf>
    <xf numFmtId="0" fontId="11" fillId="12" borderId="20" xfId="6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168" fontId="12" fillId="0" borderId="0" xfId="1" applyNumberFormat="1" applyFont="1" applyAlignment="1">
      <alignment vertical="center" wrapText="1"/>
    </xf>
    <xf numFmtId="171" fontId="12" fillId="0" borderId="0" xfId="1" applyNumberFormat="1" applyFont="1" applyAlignment="1">
      <alignment vertical="center" wrapText="1"/>
    </xf>
    <xf numFmtId="171" fontId="12" fillId="0" borderId="0" xfId="1" applyNumberFormat="1" applyFont="1" applyFill="1" applyAlignment="1">
      <alignment vertical="center" wrapText="1"/>
    </xf>
    <xf numFmtId="0" fontId="6" fillId="0" borderId="0" xfId="28" applyFont="1" applyAlignment="1">
      <alignment horizontal="center" vertical="center"/>
    </xf>
    <xf numFmtId="0" fontId="5" fillId="0" borderId="20" xfId="28" applyFont="1" applyBorder="1" applyAlignment="1">
      <alignment horizontal="center" vertical="center"/>
    </xf>
    <xf numFmtId="0" fontId="6" fillId="0" borderId="20" xfId="28" applyFont="1" applyBorder="1" applyAlignment="1">
      <alignment horizontal="center" vertical="center" wrapText="1"/>
    </xf>
    <xf numFmtId="0" fontId="6" fillId="6" borderId="20" xfId="28" applyFont="1" applyFill="1" applyBorder="1" applyAlignment="1">
      <alignment horizontal="left" vertical="center" wrapText="1"/>
    </xf>
    <xf numFmtId="0" fontId="6" fillId="0" borderId="20" xfId="28" applyFont="1" applyBorder="1" applyAlignment="1">
      <alignment horizontal="left" vertical="center" wrapText="1"/>
    </xf>
    <xf numFmtId="0" fontId="6" fillId="0" borderId="0" xfId="28" applyFont="1" applyAlignment="1">
      <alignment horizontal="left" vertical="center"/>
    </xf>
    <xf numFmtId="0" fontId="6" fillId="27" borderId="20" xfId="28" applyFont="1" applyFill="1" applyBorder="1" applyAlignment="1">
      <alignment horizontal="left" vertical="center" wrapText="1"/>
    </xf>
    <xf numFmtId="0" fontId="6" fillId="7" borderId="20" xfId="28" applyFont="1" applyFill="1" applyBorder="1" applyAlignment="1">
      <alignment horizontal="left" vertical="center" wrapText="1"/>
    </xf>
    <xf numFmtId="0" fontId="6" fillId="30" borderId="20" xfId="28" applyFont="1" applyFill="1" applyBorder="1" applyAlignment="1">
      <alignment horizontal="left" vertical="center" wrapText="1"/>
    </xf>
    <xf numFmtId="0" fontId="6" fillId="0" borderId="0" xfId="28" applyFont="1" applyAlignment="1">
      <alignment vertical="center"/>
    </xf>
    <xf numFmtId="0" fontId="6" fillId="31" borderId="20" xfId="28" applyFont="1" applyFill="1" applyBorder="1" applyAlignment="1">
      <alignment horizontal="left" vertical="center" wrapText="1"/>
    </xf>
    <xf numFmtId="0" fontId="6" fillId="0" borderId="0" xfId="28" applyFont="1" applyAlignment="1">
      <alignment horizontal="left" vertical="center" wrapText="1"/>
    </xf>
    <xf numFmtId="0" fontId="6" fillId="0" borderId="0" xfId="28" applyFont="1" applyAlignment="1">
      <alignment vertical="center" wrapText="1"/>
    </xf>
    <xf numFmtId="0" fontId="67" fillId="0" borderId="0" xfId="0" applyFont="1" applyAlignment="1">
      <alignment horizontal="left" vertical="center"/>
    </xf>
    <xf numFmtId="0" fontId="5" fillId="0" borderId="20" xfId="28" applyFont="1" applyBorder="1" applyAlignment="1">
      <alignment horizontal="center" vertical="center" wrapText="1"/>
    </xf>
    <xf numFmtId="0" fontId="6" fillId="0" borderId="20" xfId="28" applyFont="1" applyBorder="1" applyAlignment="1">
      <alignment horizontal="center" vertical="center"/>
    </xf>
    <xf numFmtId="0" fontId="6" fillId="0" borderId="20" xfId="28" applyFont="1" applyBorder="1" applyAlignment="1">
      <alignment horizontal="left" vertical="center"/>
    </xf>
    <xf numFmtId="0" fontId="6" fillId="0" borderId="20" xfId="28" applyFont="1" applyBorder="1" applyAlignment="1">
      <alignment vertical="center" wrapText="1"/>
    </xf>
    <xf numFmtId="14" fontId="6" fillId="0" borderId="20" xfId="28" applyNumberFormat="1" applyFont="1" applyBorder="1" applyAlignment="1">
      <alignment horizontal="center" vertical="center"/>
    </xf>
    <xf numFmtId="0" fontId="6" fillId="32" borderId="20" xfId="28" applyFont="1" applyFill="1" applyBorder="1" applyAlignment="1">
      <alignment horizontal="left" vertical="center" wrapText="1"/>
    </xf>
    <xf numFmtId="186" fontId="69" fillId="0" borderId="0" xfId="30" applyFont="1" applyAlignment="1">
      <alignment vertical="center"/>
    </xf>
    <xf numFmtId="186" fontId="45" fillId="0" borderId="0" xfId="30" applyFont="1" applyAlignment="1">
      <alignment vertical="center"/>
    </xf>
    <xf numFmtId="186" fontId="45" fillId="0" borderId="0" xfId="30" applyFont="1" applyAlignment="1">
      <alignment horizontal="center" vertical="center"/>
    </xf>
    <xf numFmtId="186" fontId="70" fillId="0" borderId="0" xfId="30" applyFont="1" applyAlignment="1">
      <alignment vertical="center"/>
    </xf>
    <xf numFmtId="186" fontId="69" fillId="0" borderId="0" xfId="30" applyFont="1" applyAlignment="1">
      <alignment horizontal="left" vertical="center"/>
    </xf>
    <xf numFmtId="14" fontId="45" fillId="0" borderId="0" xfId="30" applyNumberFormat="1" applyFont="1" applyAlignment="1">
      <alignment horizontal="left" vertical="center"/>
    </xf>
    <xf numFmtId="14" fontId="45" fillId="0" borderId="0" xfId="30" applyNumberFormat="1" applyFont="1" applyAlignment="1">
      <alignment horizontal="center" vertical="center"/>
    </xf>
    <xf numFmtId="187" fontId="45" fillId="0" borderId="48" xfId="30" applyNumberFormat="1" applyFont="1" applyBorder="1" applyAlignment="1">
      <alignment vertical="center"/>
    </xf>
    <xf numFmtId="14" fontId="69" fillId="0" borderId="0" xfId="30" applyNumberFormat="1" applyFont="1" applyAlignment="1">
      <alignment horizontal="left" vertical="center"/>
    </xf>
    <xf numFmtId="14" fontId="69" fillId="0" borderId="0" xfId="30" applyNumberFormat="1" applyFont="1" applyAlignment="1">
      <alignment horizontal="center" vertical="center"/>
    </xf>
    <xf numFmtId="188" fontId="45" fillId="0" borderId="0" xfId="30" applyNumberFormat="1" applyFont="1" applyAlignment="1">
      <alignment horizontal="center" vertical="center"/>
    </xf>
    <xf numFmtId="186" fontId="69" fillId="0" borderId="24" xfId="30" applyFont="1" applyBorder="1" applyAlignment="1">
      <alignment horizontal="center" vertical="center"/>
    </xf>
    <xf numFmtId="186" fontId="69" fillId="0" borderId="49" xfId="30" applyFont="1" applyBorder="1" applyAlignment="1">
      <alignment horizontal="center" vertical="center"/>
    </xf>
    <xf numFmtId="186" fontId="69" fillId="0" borderId="24" xfId="30" applyFont="1" applyBorder="1" applyAlignment="1">
      <alignment horizontal="center" vertical="center" wrapText="1"/>
    </xf>
    <xf numFmtId="186" fontId="69" fillId="0" borderId="19" xfId="30" applyFont="1" applyBorder="1" applyAlignment="1">
      <alignment horizontal="center" vertical="center"/>
    </xf>
    <xf numFmtId="186" fontId="69" fillId="0" borderId="0" xfId="30" applyFont="1" applyAlignment="1">
      <alignment horizontal="center" vertical="center"/>
    </xf>
    <xf numFmtId="186" fontId="69" fillId="0" borderId="19" xfId="30" applyFont="1" applyBorder="1" applyAlignment="1">
      <alignment horizontal="center" vertical="center" wrapText="1"/>
    </xf>
    <xf numFmtId="186" fontId="45" fillId="0" borderId="50" xfId="30" applyFont="1" applyBorder="1" applyAlignment="1">
      <alignment horizontal="center" vertical="center" wrapText="1"/>
    </xf>
    <xf numFmtId="186" fontId="45" fillId="0" borderId="51" xfId="30" applyFont="1" applyBorder="1" applyAlignment="1">
      <alignment horizontal="center" vertical="center" wrapText="1"/>
    </xf>
    <xf numFmtId="186" fontId="45" fillId="0" borderId="52" xfId="30" applyFont="1" applyBorder="1" applyAlignment="1">
      <alignment horizontal="center" vertical="center" wrapText="1"/>
    </xf>
    <xf numFmtId="186" fontId="45" fillId="0" borderId="50" xfId="30" applyFont="1" applyBorder="1" applyAlignment="1">
      <alignment horizontal="center" vertical="center"/>
    </xf>
    <xf numFmtId="186" fontId="45" fillId="0" borderId="51" xfId="30" applyFont="1" applyBorder="1" applyAlignment="1">
      <alignment horizontal="center" vertical="center"/>
    </xf>
    <xf numFmtId="186" fontId="69" fillId="0" borderId="51" xfId="30" applyFont="1" applyBorder="1" applyAlignment="1">
      <alignment horizontal="center" vertical="center"/>
    </xf>
    <xf numFmtId="186" fontId="45" fillId="0" borderId="53" xfId="30" applyFont="1" applyBorder="1" applyAlignment="1">
      <alignment horizontal="center" vertical="center"/>
    </xf>
    <xf numFmtId="186" fontId="45" fillId="0" borderId="2" xfId="30" applyFont="1" applyBorder="1" applyAlignment="1">
      <alignment horizontal="center" vertical="center"/>
    </xf>
    <xf numFmtId="186" fontId="45" fillId="0" borderId="52" xfId="30" applyFont="1" applyBorder="1" applyAlignment="1">
      <alignment horizontal="center" vertical="center"/>
    </xf>
    <xf numFmtId="186" fontId="69" fillId="0" borderId="4" xfId="30" applyFont="1" applyBorder="1" applyAlignment="1">
      <alignment horizontal="center" vertical="center"/>
    </xf>
    <xf numFmtId="186" fontId="69" fillId="0" borderId="48" xfId="30" applyFont="1" applyBorder="1" applyAlignment="1">
      <alignment horizontal="center" vertical="center"/>
    </xf>
    <xf numFmtId="186" fontId="45" fillId="0" borderId="4" xfId="30" applyFont="1" applyBorder="1" applyAlignment="1">
      <alignment horizontal="center" vertical="center" wrapText="1"/>
    </xf>
    <xf numFmtId="186" fontId="45" fillId="0" borderId="54" xfId="30" applyFont="1" applyBorder="1" applyAlignment="1">
      <alignment horizontal="center" vertical="center" wrapText="1"/>
    </xf>
    <xf numFmtId="186" fontId="45" fillId="0" borderId="55" xfId="30" applyFont="1" applyBorder="1" applyAlignment="1">
      <alignment horizontal="center" vertical="center" wrapText="1"/>
    </xf>
    <xf numFmtId="186" fontId="72" fillId="0" borderId="55" xfId="30" applyFont="1" applyBorder="1" applyAlignment="1">
      <alignment horizontal="center" vertical="center" wrapText="1"/>
    </xf>
    <xf numFmtId="186" fontId="45" fillId="0" borderId="55" xfId="30" applyFont="1" applyBorder="1" applyAlignment="1">
      <alignment horizontal="center" vertical="center"/>
    </xf>
    <xf numFmtId="186" fontId="45" fillId="0" borderId="56" xfId="30" applyFont="1" applyBorder="1" applyAlignment="1">
      <alignment horizontal="center" vertical="center"/>
    </xf>
    <xf numFmtId="186" fontId="45" fillId="0" borderId="54" xfId="30" applyFont="1" applyBorder="1" applyAlignment="1">
      <alignment horizontal="center" vertical="center"/>
    </xf>
    <xf numFmtId="186" fontId="72" fillId="0" borderId="55" xfId="30" applyFont="1" applyBorder="1" applyAlignment="1">
      <alignment horizontal="center" vertical="center"/>
    </xf>
    <xf numFmtId="186" fontId="69" fillId="0" borderId="36" xfId="30" applyFont="1" applyBorder="1" applyAlignment="1">
      <alignment horizontal="center" vertical="center"/>
    </xf>
    <xf numFmtId="186" fontId="69" fillId="0" borderId="57" xfId="30" applyFont="1" applyBorder="1" applyAlignment="1">
      <alignment horizontal="left" vertical="center" wrapText="1"/>
    </xf>
    <xf numFmtId="186" fontId="69" fillId="0" borderId="36" xfId="30" applyFont="1" applyBorder="1" applyAlignment="1">
      <alignment horizontal="left" vertical="center" wrapText="1" shrinkToFit="1"/>
    </xf>
    <xf numFmtId="186" fontId="69" fillId="0" borderId="36" xfId="30" applyFont="1" applyBorder="1" applyAlignment="1">
      <alignment horizontal="center" vertical="center" wrapText="1" shrinkToFit="1"/>
    </xf>
    <xf numFmtId="186" fontId="45" fillId="0" borderId="36" xfId="30" applyFont="1" applyBorder="1" applyAlignment="1">
      <alignment horizontal="center" vertical="center" wrapText="1" shrinkToFit="1"/>
    </xf>
    <xf numFmtId="14" fontId="69" fillId="0" borderId="36" xfId="30" applyNumberFormat="1" applyFont="1" applyBorder="1" applyAlignment="1">
      <alignment horizontal="center" vertical="center" wrapText="1" shrinkToFit="1"/>
    </xf>
    <xf numFmtId="186" fontId="45" fillId="0" borderId="58" xfId="30" applyFont="1" applyBorder="1" applyAlignment="1">
      <alignment horizontal="center" vertical="center" wrapText="1" shrinkToFit="1"/>
    </xf>
    <xf numFmtId="186" fontId="45" fillId="0" borderId="59" xfId="30" applyFont="1" applyBorder="1" applyAlignment="1">
      <alignment horizontal="center" vertical="center" wrapText="1" shrinkToFit="1"/>
    </xf>
    <xf numFmtId="186" fontId="73" fillId="33" borderId="59" xfId="30" applyFont="1" applyFill="1" applyBorder="1" applyAlignment="1">
      <alignment horizontal="center" vertical="center" wrapText="1" shrinkToFit="1"/>
    </xf>
    <xf numFmtId="186" fontId="45" fillId="0" borderId="59" xfId="30" applyFont="1" applyBorder="1" applyAlignment="1">
      <alignment horizontal="center" vertical="center"/>
    </xf>
    <xf numFmtId="186" fontId="45" fillId="0" borderId="60" xfId="30" applyFont="1" applyBorder="1" applyAlignment="1">
      <alignment horizontal="center" vertical="center"/>
    </xf>
    <xf numFmtId="186" fontId="45" fillId="0" borderId="61" xfId="30" applyFont="1" applyBorder="1" applyAlignment="1">
      <alignment horizontal="center" vertical="center"/>
    </xf>
    <xf numFmtId="186" fontId="45" fillId="0" borderId="62" xfId="30" applyFont="1" applyBorder="1" applyAlignment="1">
      <alignment horizontal="center" vertical="center"/>
    </xf>
    <xf numFmtId="186" fontId="45" fillId="0" borderId="63" xfId="30" applyFont="1" applyBorder="1" applyAlignment="1">
      <alignment horizontal="center" vertical="center"/>
    </xf>
    <xf numFmtId="186" fontId="45" fillId="0" borderId="64" xfId="30" applyFont="1" applyBorder="1" applyAlignment="1">
      <alignment horizontal="center" vertical="center"/>
    </xf>
    <xf numFmtId="186" fontId="45" fillId="0" borderId="36" xfId="30" applyFont="1" applyBorder="1" applyAlignment="1">
      <alignment horizontal="center" vertical="center"/>
    </xf>
    <xf numFmtId="186" fontId="45" fillId="0" borderId="57" xfId="30" applyFont="1" applyBorder="1" applyAlignment="1">
      <alignment horizontal="left" vertical="center" wrapText="1"/>
    </xf>
    <xf numFmtId="186" fontId="45" fillId="0" borderId="36" xfId="30" applyFont="1" applyBorder="1" applyAlignment="1">
      <alignment horizontal="left" vertical="center" wrapText="1" shrinkToFit="1"/>
    </xf>
    <xf numFmtId="14" fontId="45" fillId="0" borderId="36" xfId="30" applyNumberFormat="1" applyFont="1" applyBorder="1" applyAlignment="1">
      <alignment horizontal="center" vertical="center" wrapText="1" shrinkToFit="1"/>
    </xf>
    <xf numFmtId="186" fontId="45" fillId="34" borderId="59" xfId="30" applyFont="1" applyFill="1" applyBorder="1" applyAlignment="1">
      <alignment horizontal="center" vertical="center" wrapText="1" shrinkToFit="1"/>
    </xf>
    <xf numFmtId="186" fontId="45" fillId="34" borderId="59" xfId="30" applyFont="1" applyFill="1" applyBorder="1" applyAlignment="1">
      <alignment horizontal="center" vertical="center"/>
    </xf>
    <xf numFmtId="186" fontId="74" fillId="34" borderId="59" xfId="30" applyFont="1" applyFill="1" applyBorder="1" applyAlignment="1">
      <alignment horizontal="center" vertical="center"/>
    </xf>
    <xf numFmtId="186" fontId="45" fillId="34" borderId="65" xfId="30" applyFont="1" applyFill="1" applyBorder="1" applyAlignment="1">
      <alignment horizontal="center" vertical="center"/>
    </xf>
    <xf numFmtId="186" fontId="74" fillId="34" borderId="66" xfId="30" applyFont="1" applyFill="1" applyBorder="1" applyAlignment="1">
      <alignment horizontal="center" vertical="center"/>
    </xf>
    <xf numFmtId="186" fontId="45" fillId="34" borderId="67" xfId="30" applyFont="1" applyFill="1" applyBorder="1" applyAlignment="1">
      <alignment horizontal="center" vertical="center"/>
    </xf>
    <xf numFmtId="186" fontId="45" fillId="0" borderId="67" xfId="30" applyFont="1" applyBorder="1" applyAlignment="1">
      <alignment horizontal="center" vertical="center"/>
    </xf>
    <xf numFmtId="186" fontId="45" fillId="0" borderId="68" xfId="30" applyFont="1" applyBorder="1" applyAlignment="1">
      <alignment horizontal="center" vertical="center"/>
    </xf>
    <xf numFmtId="186" fontId="45" fillId="0" borderId="69" xfId="30" applyFont="1" applyBorder="1" applyAlignment="1">
      <alignment horizontal="center" vertical="center"/>
    </xf>
    <xf numFmtId="186" fontId="69" fillId="0" borderId="67" xfId="30" applyFont="1" applyBorder="1" applyAlignment="1">
      <alignment horizontal="center" vertical="center"/>
    </xf>
    <xf numFmtId="186" fontId="45" fillId="0" borderId="65" xfId="30" applyFont="1" applyBorder="1" applyAlignment="1">
      <alignment horizontal="center" vertical="center"/>
    </xf>
    <xf numFmtId="186" fontId="45" fillId="0" borderId="9" xfId="30" applyFont="1" applyBorder="1" applyAlignment="1">
      <alignment horizontal="center" vertical="center"/>
    </xf>
    <xf numFmtId="186" fontId="45" fillId="0" borderId="57" xfId="30" applyFont="1" applyBorder="1" applyAlignment="1">
      <alignment horizontal="left" vertical="center"/>
    </xf>
    <xf numFmtId="186" fontId="45" fillId="0" borderId="9" xfId="30" applyFont="1" applyBorder="1" applyAlignment="1">
      <alignment horizontal="left" vertical="center" wrapText="1" shrinkToFit="1"/>
    </xf>
    <xf numFmtId="186" fontId="45" fillId="0" borderId="9" xfId="30" applyFont="1" applyBorder="1" applyAlignment="1">
      <alignment horizontal="center" vertical="center" wrapText="1" shrinkToFit="1"/>
    </xf>
    <xf numFmtId="186" fontId="45" fillId="34" borderId="66" xfId="30" applyFont="1" applyFill="1" applyBorder="1" applyAlignment="1">
      <alignment horizontal="center" vertical="center"/>
    </xf>
    <xf numFmtId="186" fontId="69" fillId="34" borderId="67" xfId="30" applyFont="1" applyFill="1" applyBorder="1" applyAlignment="1">
      <alignment vertical="center"/>
    </xf>
    <xf numFmtId="186" fontId="69" fillId="0" borderId="67" xfId="30" applyFont="1" applyBorder="1" applyAlignment="1">
      <alignment vertical="center"/>
    </xf>
    <xf numFmtId="186" fontId="45" fillId="0" borderId="70" xfId="30" applyFont="1" applyBorder="1" applyAlignment="1">
      <alignment horizontal="left" vertical="center" wrapText="1"/>
    </xf>
    <xf numFmtId="14" fontId="45" fillId="0" borderId="9" xfId="30" applyNumberFormat="1" applyFont="1" applyBorder="1" applyAlignment="1">
      <alignment horizontal="center" vertical="center" wrapText="1" shrinkToFit="1"/>
    </xf>
    <xf numFmtId="186" fontId="45" fillId="0" borderId="66" xfId="30" applyFont="1" applyBorder="1" applyAlignment="1">
      <alignment horizontal="center" vertical="center" wrapText="1" shrinkToFit="1"/>
    </xf>
    <xf numFmtId="186" fontId="45" fillId="0" borderId="67" xfId="30" applyFont="1" applyBorder="1" applyAlignment="1">
      <alignment horizontal="center" vertical="center" wrapText="1" shrinkToFit="1"/>
    </xf>
    <xf numFmtId="186" fontId="45" fillId="34" borderId="67" xfId="30" applyFont="1" applyFill="1" applyBorder="1" applyAlignment="1">
      <alignment horizontal="center" vertical="center" wrapText="1" shrinkToFit="1"/>
    </xf>
    <xf numFmtId="186" fontId="45" fillId="0" borderId="70" xfId="30" applyFont="1" applyBorder="1" applyAlignment="1">
      <alignment horizontal="left" vertical="center"/>
    </xf>
    <xf numFmtId="186" fontId="45" fillId="3" borderId="67" xfId="30" applyFont="1" applyFill="1" applyBorder="1" applyAlignment="1">
      <alignment horizontal="center" vertical="center" wrapText="1" shrinkToFit="1"/>
    </xf>
    <xf numFmtId="186" fontId="69" fillId="3" borderId="67" xfId="30" applyFont="1" applyFill="1" applyBorder="1" applyAlignment="1">
      <alignment vertical="center"/>
    </xf>
    <xf numFmtId="186" fontId="69" fillId="3" borderId="65" xfId="30" applyFont="1" applyFill="1" applyBorder="1" applyAlignment="1">
      <alignment vertical="center"/>
    </xf>
    <xf numFmtId="186" fontId="45" fillId="3" borderId="66" xfId="30" applyFont="1" applyFill="1" applyBorder="1" applyAlignment="1">
      <alignment horizontal="center" vertical="center"/>
    </xf>
    <xf numFmtId="186" fontId="45" fillId="3" borderId="67" xfId="30" applyFont="1" applyFill="1" applyBorder="1" applyAlignment="1">
      <alignment horizontal="center" vertical="center"/>
    </xf>
    <xf numFmtId="186" fontId="45" fillId="0" borderId="69" xfId="30" applyFont="1" applyBorder="1" applyAlignment="1">
      <alignment horizontal="left" vertical="center" wrapText="1" shrinkToFit="1"/>
    </xf>
    <xf numFmtId="186" fontId="45" fillId="3" borderId="59" xfId="30" applyFont="1" applyFill="1" applyBorder="1" applyAlignment="1">
      <alignment horizontal="center" vertical="center" wrapText="1" shrinkToFit="1"/>
    </xf>
    <xf numFmtId="186" fontId="45" fillId="3" borderId="59" xfId="30" applyFont="1" applyFill="1" applyBorder="1" applyAlignment="1">
      <alignment horizontal="center" vertical="center"/>
    </xf>
    <xf numFmtId="186" fontId="45" fillId="3" borderId="65" xfId="30" applyFont="1" applyFill="1" applyBorder="1" applyAlignment="1">
      <alignment horizontal="center" vertical="center"/>
    </xf>
    <xf numFmtId="186" fontId="45" fillId="8" borderId="70" xfId="30" applyFont="1" applyFill="1" applyBorder="1" applyAlignment="1">
      <alignment horizontal="left" vertical="center" wrapText="1"/>
    </xf>
    <xf numFmtId="186" fontId="45" fillId="3" borderId="67" xfId="30" applyFont="1" applyFill="1" applyBorder="1" applyAlignment="1">
      <alignment vertical="center"/>
    </xf>
    <xf numFmtId="186" fontId="45" fillId="34" borderId="67" xfId="30" applyFont="1" applyFill="1" applyBorder="1" applyAlignment="1">
      <alignment vertical="center"/>
    </xf>
    <xf numFmtId="186" fontId="69" fillId="0" borderId="9" xfId="30" applyFont="1" applyBorder="1" applyAlignment="1">
      <alignment horizontal="center" vertical="center"/>
    </xf>
    <xf numFmtId="186" fontId="69" fillId="0" borderId="70" xfId="30" applyFont="1" applyBorder="1" applyAlignment="1">
      <alignment horizontal="left" vertical="center" wrapText="1"/>
    </xf>
    <xf numFmtId="186" fontId="69" fillId="0" borderId="9" xfId="30" applyFont="1" applyBorder="1" applyAlignment="1">
      <alignment horizontal="left" vertical="center" wrapText="1" shrinkToFit="1"/>
    </xf>
    <xf numFmtId="186" fontId="69" fillId="0" borderId="9" xfId="30" applyFont="1" applyBorder="1" applyAlignment="1">
      <alignment horizontal="center" vertical="center" wrapText="1" shrinkToFit="1"/>
    </xf>
    <xf numFmtId="14" fontId="69" fillId="0" borderId="9" xfId="30" applyNumberFormat="1" applyFont="1" applyBorder="1" applyAlignment="1">
      <alignment horizontal="center" vertical="center" wrapText="1" shrinkToFit="1"/>
    </xf>
    <xf numFmtId="186" fontId="74" fillId="3" borderId="67" xfId="30" applyFont="1" applyFill="1" applyBorder="1" applyAlignment="1">
      <alignment horizontal="center" vertical="center" wrapText="1"/>
    </xf>
    <xf numFmtId="186" fontId="45" fillId="3" borderId="71" xfId="30" applyFont="1" applyFill="1" applyBorder="1" applyAlignment="1">
      <alignment horizontal="right" vertical="center" wrapText="1"/>
    </xf>
    <xf numFmtId="186" fontId="45" fillId="0" borderId="71" xfId="30" applyFont="1" applyBorder="1" applyAlignment="1">
      <alignment horizontal="right" vertical="center" wrapText="1"/>
    </xf>
    <xf numFmtId="186" fontId="45" fillId="0" borderId="28" xfId="30" applyFont="1" applyBorder="1" applyAlignment="1">
      <alignment horizontal="center" vertical="center"/>
    </xf>
    <xf numFmtId="186" fontId="45" fillId="0" borderId="72" xfId="30" applyFont="1" applyBorder="1" applyAlignment="1">
      <alignment horizontal="left" vertical="center" wrapText="1"/>
    </xf>
    <xf numFmtId="186" fontId="45" fillId="0" borderId="28" xfId="30" applyFont="1" applyBorder="1" applyAlignment="1">
      <alignment horizontal="center" vertical="center" wrapText="1" shrinkToFit="1"/>
    </xf>
    <xf numFmtId="186" fontId="45" fillId="0" borderId="73" xfId="30" applyFont="1" applyBorder="1" applyAlignment="1">
      <alignment horizontal="center" vertical="center" wrapText="1" shrinkToFit="1"/>
    </xf>
    <xf numFmtId="186" fontId="45" fillId="0" borderId="71" xfId="30" applyFont="1" applyBorder="1" applyAlignment="1">
      <alignment horizontal="center" vertical="center" wrapText="1" shrinkToFit="1"/>
    </xf>
    <xf numFmtId="186" fontId="45" fillId="0" borderId="71" xfId="30" applyFont="1" applyBorder="1" applyAlignment="1">
      <alignment horizontal="center" vertical="center"/>
    </xf>
    <xf numFmtId="186" fontId="45" fillId="0" borderId="74" xfId="30" applyFont="1" applyBorder="1" applyAlignment="1">
      <alignment horizontal="center" vertical="center"/>
    </xf>
    <xf numFmtId="186" fontId="45" fillId="0" borderId="73" xfId="30" applyFont="1" applyBorder="1" applyAlignment="1">
      <alignment horizontal="center" vertical="center"/>
    </xf>
    <xf numFmtId="186" fontId="45" fillId="0" borderId="71" xfId="30" applyFont="1" applyBorder="1" applyAlignment="1">
      <alignment vertical="center"/>
    </xf>
    <xf numFmtId="186" fontId="45" fillId="0" borderId="71" xfId="30" applyFont="1" applyBorder="1" applyAlignment="1">
      <alignment horizontal="left" vertical="center"/>
    </xf>
    <xf numFmtId="186" fontId="74" fillId="0" borderId="67" xfId="30" applyFont="1" applyBorder="1" applyAlignment="1">
      <alignment horizontal="center" vertical="center" wrapText="1"/>
    </xf>
    <xf numFmtId="186" fontId="45" fillId="34" borderId="75" xfId="30" applyFont="1" applyFill="1" applyBorder="1" applyAlignment="1">
      <alignment horizontal="center" vertical="center"/>
    </xf>
    <xf numFmtId="186" fontId="45" fillId="34" borderId="76" xfId="30" applyFont="1" applyFill="1" applyBorder="1" applyAlignment="1">
      <alignment horizontal="center" vertical="center"/>
    </xf>
    <xf numFmtId="186" fontId="45" fillId="34" borderId="71" xfId="30" applyFont="1" applyFill="1" applyBorder="1" applyAlignment="1">
      <alignment horizontal="center" vertical="center"/>
    </xf>
    <xf numFmtId="186" fontId="74" fillId="0" borderId="71" xfId="30" applyFont="1" applyBorder="1" applyAlignment="1">
      <alignment horizontal="center" vertical="center" wrapText="1"/>
    </xf>
    <xf numFmtId="186" fontId="45" fillId="0" borderId="28" xfId="30" applyFont="1" applyBorder="1" applyAlignment="1">
      <alignment horizontal="left" vertical="center" wrapText="1"/>
    </xf>
    <xf numFmtId="14" fontId="45" fillId="0" borderId="28" xfId="30" applyNumberFormat="1" applyFont="1" applyBorder="1" applyAlignment="1">
      <alignment horizontal="center" vertical="center" wrapText="1" shrinkToFit="1"/>
    </xf>
    <xf numFmtId="186" fontId="45" fillId="0" borderId="71" xfId="30" applyFont="1" applyBorder="1" applyAlignment="1">
      <alignment horizontal="right" vertical="center"/>
    </xf>
    <xf numFmtId="186" fontId="45" fillId="0" borderId="76" xfId="30" applyFont="1" applyBorder="1" applyAlignment="1">
      <alignment horizontal="center" vertical="center"/>
    </xf>
    <xf numFmtId="186" fontId="74" fillId="34" borderId="71" xfId="30" applyFont="1" applyFill="1" applyBorder="1" applyAlignment="1">
      <alignment horizontal="center" vertical="center"/>
    </xf>
    <xf numFmtId="186" fontId="45" fillId="0" borderId="71" xfId="30" applyFont="1" applyBorder="1" applyAlignment="1">
      <alignment horizontal="center" vertical="center" wrapText="1"/>
    </xf>
    <xf numFmtId="186" fontId="45" fillId="0" borderId="28" xfId="30" applyFont="1" applyBorder="1" applyAlignment="1">
      <alignment horizontal="left" vertical="center" wrapText="1" shrinkToFit="1"/>
    </xf>
    <xf numFmtId="186" fontId="74" fillId="0" borderId="71" xfId="30" applyFont="1" applyBorder="1" applyAlignment="1">
      <alignment horizontal="center" vertical="center"/>
    </xf>
    <xf numFmtId="186" fontId="45" fillId="34" borderId="71" xfId="30" applyFont="1" applyFill="1" applyBorder="1" applyAlignment="1">
      <alignment horizontal="center" vertical="center" wrapText="1"/>
    </xf>
    <xf numFmtId="186" fontId="45" fillId="0" borderId="9" xfId="30" applyFont="1" applyBorder="1" applyAlignment="1">
      <alignment vertical="center"/>
    </xf>
    <xf numFmtId="186" fontId="45" fillId="0" borderId="66" xfId="30" applyFont="1" applyBorder="1" applyAlignment="1">
      <alignment vertical="center"/>
    </xf>
    <xf numFmtId="186" fontId="45" fillId="0" borderId="67" xfId="30" applyFont="1" applyBorder="1" applyAlignment="1">
      <alignment vertical="center"/>
    </xf>
    <xf numFmtId="186" fontId="45" fillId="0" borderId="65" xfId="30" applyFont="1" applyBorder="1" applyAlignment="1">
      <alignment vertical="center"/>
    </xf>
    <xf numFmtId="186" fontId="69" fillId="0" borderId="10" xfId="30" applyFont="1" applyBorder="1" applyAlignment="1">
      <alignment vertical="center"/>
    </xf>
    <xf numFmtId="3" fontId="69" fillId="0" borderId="10" xfId="30" applyNumberFormat="1" applyFont="1" applyBorder="1" applyAlignment="1">
      <alignment horizontal="center" vertical="center"/>
    </xf>
    <xf numFmtId="14" fontId="69" fillId="0" borderId="10" xfId="30" applyNumberFormat="1" applyFont="1" applyBorder="1" applyAlignment="1">
      <alignment vertical="center"/>
    </xf>
    <xf numFmtId="186" fontId="45" fillId="0" borderId="10" xfId="30" applyFont="1" applyBorder="1" applyAlignment="1">
      <alignment vertical="center"/>
    </xf>
    <xf numFmtId="186" fontId="45" fillId="0" borderId="77" xfId="30" applyFont="1" applyBorder="1" applyAlignment="1">
      <alignment vertical="center"/>
    </xf>
    <xf numFmtId="186" fontId="45" fillId="0" borderId="78" xfId="30" applyFont="1" applyBorder="1" applyAlignment="1">
      <alignment vertical="center"/>
    </xf>
    <xf numFmtId="186" fontId="45" fillId="34" borderId="78" xfId="30" applyFont="1" applyFill="1" applyBorder="1" applyAlignment="1">
      <alignment vertical="center"/>
    </xf>
    <xf numFmtId="186" fontId="45" fillId="0" borderId="79" xfId="30" applyFont="1" applyBorder="1" applyAlignment="1">
      <alignment vertical="center"/>
    </xf>
    <xf numFmtId="164" fontId="12" fillId="0" borderId="1" xfId="1" applyNumberFormat="1" applyFont="1" applyBorder="1"/>
    <xf numFmtId="9" fontId="11" fillId="8" borderId="20" xfId="2" applyFont="1" applyFill="1" applyBorder="1" applyAlignment="1">
      <alignment horizontal="center" vertical="center" wrapText="1"/>
    </xf>
    <xf numFmtId="9" fontId="12" fillId="0" borderId="1" xfId="2" applyFont="1" applyFill="1" applyBorder="1" applyAlignment="1">
      <alignment horizontal="center" vertical="center" wrapText="1"/>
    </xf>
    <xf numFmtId="168" fontId="12" fillId="0" borderId="1" xfId="8" quotePrefix="1" applyNumberFormat="1" applyFont="1" applyFill="1" applyBorder="1" applyAlignment="1">
      <alignment horizontal="center" vertical="center" wrapText="1"/>
    </xf>
    <xf numFmtId="164" fontId="12" fillId="0" borderId="20" xfId="1" applyNumberFormat="1" applyFont="1" applyFill="1" applyBorder="1" applyAlignment="1">
      <alignment vertical="center"/>
    </xf>
    <xf numFmtId="164" fontId="12" fillId="0" borderId="20" xfId="1" applyNumberFormat="1" applyFont="1" applyFill="1" applyBorder="1" applyAlignment="1">
      <alignment horizontal="left" vertical="center"/>
    </xf>
    <xf numFmtId="164" fontId="12" fillId="0" borderId="20" xfId="1" applyNumberFormat="1" applyFont="1" applyFill="1" applyBorder="1" applyAlignment="1" applyProtection="1">
      <alignment horizontal="center" vertical="center"/>
    </xf>
    <xf numFmtId="164" fontId="12" fillId="0" borderId="20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vertical="center"/>
    </xf>
    <xf numFmtId="164" fontId="26" fillId="0" borderId="20" xfId="1" applyNumberFormat="1" applyFont="1" applyFill="1" applyBorder="1" applyAlignment="1">
      <alignment vertical="center"/>
    </xf>
    <xf numFmtId="164" fontId="11" fillId="0" borderId="20" xfId="1" applyNumberFormat="1" applyFont="1" applyFill="1" applyBorder="1" applyAlignment="1">
      <alignment horizontal="center" vertical="center"/>
    </xf>
    <xf numFmtId="164" fontId="11" fillId="0" borderId="20" xfId="1" applyNumberFormat="1" applyFont="1" applyFill="1" applyBorder="1" applyAlignment="1" applyProtection="1">
      <alignment horizontal="center" vertical="center"/>
    </xf>
    <xf numFmtId="9" fontId="12" fillId="8" borderId="20" xfId="6" applyNumberFormat="1" applyFont="1" applyFill="1" applyBorder="1" applyAlignment="1">
      <alignment horizontal="center" vertical="center" wrapText="1"/>
    </xf>
    <xf numFmtId="9" fontId="12" fillId="8" borderId="1" xfId="6" applyNumberFormat="1" applyFont="1" applyFill="1" applyBorder="1" applyAlignment="1">
      <alignment horizontal="center" vertical="center" wrapText="1"/>
    </xf>
    <xf numFmtId="9" fontId="12" fillId="8" borderId="3" xfId="6" applyNumberFormat="1" applyFont="1" applyFill="1" applyBorder="1" applyAlignment="1">
      <alignment horizontal="center" vertical="center" wrapText="1"/>
    </xf>
    <xf numFmtId="9" fontId="11" fillId="3" borderId="20" xfId="2" quotePrefix="1" applyFont="1" applyFill="1" applyBorder="1" applyAlignment="1">
      <alignment horizontal="right" vertical="center" wrapText="1"/>
    </xf>
    <xf numFmtId="9" fontId="11" fillId="3" borderId="1" xfId="2" quotePrefix="1" applyFont="1" applyFill="1" applyBorder="1" applyAlignment="1">
      <alignment horizontal="center" vertical="center" wrapText="1"/>
    </xf>
    <xf numFmtId="168" fontId="11" fillId="0" borderId="20" xfId="8" quotePrefix="1" applyNumberFormat="1" applyFont="1" applyFill="1" applyBorder="1" applyAlignment="1">
      <alignment horizontal="center" vertical="center" wrapText="1"/>
    </xf>
    <xf numFmtId="168" fontId="12" fillId="0" borderId="0" xfId="0" applyNumberFormat="1" applyFont="1" applyAlignment="1">
      <alignment horizontal="right" vertical="center"/>
    </xf>
    <xf numFmtId="168" fontId="11" fillId="0" borderId="37" xfId="8" quotePrefix="1" applyNumberFormat="1" applyFont="1" applyFill="1" applyBorder="1" applyAlignment="1">
      <alignment horizontal="right" vertical="center" wrapText="1"/>
    </xf>
    <xf numFmtId="168" fontId="11" fillId="0" borderId="38" xfId="8" quotePrefix="1" applyNumberFormat="1" applyFont="1" applyFill="1" applyBorder="1" applyAlignment="1">
      <alignment horizontal="right" vertical="center" wrapText="1"/>
    </xf>
    <xf numFmtId="168" fontId="11" fillId="0" borderId="39" xfId="8" quotePrefix="1" applyNumberFormat="1" applyFont="1" applyFill="1" applyBorder="1" applyAlignment="1">
      <alignment horizontal="right" vertical="center" wrapText="1"/>
    </xf>
    <xf numFmtId="168" fontId="12" fillId="0" borderId="37" xfId="8" quotePrefix="1" applyNumberFormat="1" applyFont="1" applyFill="1" applyBorder="1" applyAlignment="1">
      <alignment horizontal="right" vertical="center" wrapText="1"/>
    </xf>
    <xf numFmtId="168" fontId="11" fillId="3" borderId="1" xfId="8" quotePrefix="1" applyNumberFormat="1" applyFont="1" applyFill="1" applyBorder="1" applyAlignment="1">
      <alignment horizontal="left" vertical="center" wrapText="1"/>
    </xf>
    <xf numFmtId="167" fontId="12" fillId="0" borderId="37" xfId="1" applyNumberFormat="1" applyFont="1" applyFill="1" applyBorder="1" applyAlignment="1">
      <alignment vertical="center"/>
    </xf>
    <xf numFmtId="167" fontId="12" fillId="0" borderId="38" xfId="1" applyNumberFormat="1" applyFont="1" applyFill="1" applyBorder="1" applyAlignment="1">
      <alignment vertical="center"/>
    </xf>
    <xf numFmtId="183" fontId="12" fillId="0" borderId="1" xfId="0" applyNumberFormat="1" applyFont="1" applyBorder="1" applyAlignment="1">
      <alignment vertical="center"/>
    </xf>
    <xf numFmtId="169" fontId="12" fillId="0" borderId="20" xfId="9" applyNumberFormat="1" applyFont="1" applyBorder="1" applyAlignment="1">
      <alignment vertical="center"/>
    </xf>
    <xf numFmtId="169" fontId="12" fillId="0" borderId="20" xfId="9" applyNumberFormat="1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20" xfId="1" applyNumberFormat="1" applyFont="1" applyFill="1" applyBorder="1" applyAlignment="1" applyProtection="1">
      <alignment horizontal="center" vertical="center"/>
    </xf>
    <xf numFmtId="164" fontId="11" fillId="3" borderId="20" xfId="1" applyNumberFormat="1" applyFont="1" applyFill="1" applyBorder="1" applyAlignment="1" applyProtection="1">
      <alignment horizontal="center" vertical="center"/>
    </xf>
    <xf numFmtId="0" fontId="12" fillId="15" borderId="20" xfId="0" applyFont="1" applyFill="1" applyBorder="1" applyAlignment="1">
      <alignment horizontal="right" vertical="center"/>
    </xf>
    <xf numFmtId="169" fontId="12" fillId="15" borderId="20" xfId="9" applyNumberFormat="1" applyFont="1" applyFill="1" applyBorder="1" applyAlignment="1">
      <alignment horizontal="left" vertical="center" wrapText="1" indent="1"/>
    </xf>
    <xf numFmtId="0" fontId="12" fillId="0" borderId="20" xfId="0" applyFont="1" applyBorder="1" applyAlignment="1">
      <alignment horizontal="right" vertical="center"/>
    </xf>
    <xf numFmtId="169" fontId="12" fillId="0" borderId="20" xfId="9" applyNumberFormat="1" applyFont="1" applyBorder="1" applyAlignment="1">
      <alignment horizontal="left" vertical="center" wrapText="1" indent="1"/>
    </xf>
    <xf numFmtId="169" fontId="12" fillId="0" borderId="20" xfId="9" applyNumberFormat="1" applyFont="1" applyBorder="1" applyAlignment="1">
      <alignment horizontal="center" vertical="center" wrapText="1"/>
    </xf>
    <xf numFmtId="169" fontId="12" fillId="15" borderId="20" xfId="9" applyNumberFormat="1" applyFont="1" applyFill="1" applyBorder="1" applyAlignment="1">
      <alignment horizontal="center" vertical="center" wrapText="1"/>
    </xf>
    <xf numFmtId="169" fontId="12" fillId="15" borderId="20" xfId="9" applyNumberFormat="1" applyFont="1" applyFill="1" applyBorder="1" applyAlignment="1">
      <alignment horizontal="right" vertical="center" wrapText="1"/>
    </xf>
    <xf numFmtId="164" fontId="12" fillId="15" borderId="20" xfId="1" applyNumberFormat="1" applyFont="1" applyFill="1" applyBorder="1" applyAlignment="1" applyProtection="1">
      <alignment horizontal="center" vertical="center"/>
    </xf>
    <xf numFmtId="0" fontId="12" fillId="0" borderId="1" xfId="1" applyNumberFormat="1" applyFont="1" applyFill="1" applyBorder="1" applyAlignment="1" applyProtection="1">
      <alignment horizontal="right" vertical="center"/>
    </xf>
    <xf numFmtId="0" fontId="12" fillId="0" borderId="20" xfId="1" applyNumberFormat="1" applyFont="1" applyFill="1" applyBorder="1" applyAlignment="1" applyProtection="1">
      <alignment horizontal="right" vertical="center"/>
    </xf>
    <xf numFmtId="0" fontId="12" fillId="15" borderId="20" xfId="0" applyFont="1" applyFill="1" applyBorder="1" applyAlignment="1">
      <alignment horizontal="center" vertical="center"/>
    </xf>
    <xf numFmtId="169" fontId="12" fillId="15" borderId="20" xfId="9" applyNumberFormat="1" applyFont="1" applyFill="1" applyBorder="1" applyAlignment="1">
      <alignment vertical="center" wrapText="1"/>
    </xf>
    <xf numFmtId="0" fontId="12" fillId="15" borderId="20" xfId="0" applyFont="1" applyFill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1" applyNumberFormat="1" applyFont="1" applyFill="1" applyBorder="1" applyAlignment="1" applyProtection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11" fillId="15" borderId="20" xfId="1" applyNumberFormat="1" applyFont="1" applyFill="1" applyBorder="1" applyAlignment="1" applyProtection="1">
      <alignment horizontal="center" vertical="center"/>
    </xf>
    <xf numFmtId="164" fontId="11" fillId="15" borderId="20" xfId="1" applyNumberFormat="1" applyFont="1" applyFill="1" applyBorder="1" applyAlignment="1" applyProtection="1">
      <alignment horizontal="center" vertical="center"/>
    </xf>
    <xf numFmtId="164" fontId="12" fillId="0" borderId="0" xfId="1" quotePrefix="1" applyNumberFormat="1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9" fontId="11" fillId="13" borderId="20" xfId="2" applyFont="1" applyFill="1" applyBorder="1" applyAlignment="1">
      <alignment horizontal="center" vertical="center" wrapText="1"/>
    </xf>
    <xf numFmtId="168" fontId="12" fillId="8" borderId="20" xfId="8" quotePrefix="1" applyNumberFormat="1" applyFont="1" applyFill="1" applyBorder="1" applyAlignment="1">
      <alignment horizontal="right" vertical="center" wrapText="1"/>
    </xf>
    <xf numFmtId="9" fontId="12" fillId="0" borderId="37" xfId="2" applyFont="1" applyBorder="1" applyAlignment="1">
      <alignment vertical="center"/>
    </xf>
    <xf numFmtId="9" fontId="11" fillId="8" borderId="20" xfId="2" quotePrefix="1" applyFont="1" applyFill="1" applyBorder="1" applyAlignment="1">
      <alignment horizontal="right" vertical="center" wrapText="1"/>
    </xf>
    <xf numFmtId="164" fontId="12" fillId="0" borderId="20" xfId="1" quotePrefix="1" applyNumberFormat="1" applyFont="1" applyFill="1" applyBorder="1" applyAlignment="1">
      <alignment horizontal="center" vertical="center" wrapText="1"/>
    </xf>
    <xf numFmtId="9" fontId="12" fillId="8" borderId="20" xfId="2" quotePrefix="1" applyFont="1" applyFill="1" applyBorder="1" applyAlignment="1">
      <alignment horizontal="right" vertical="center" wrapText="1"/>
    </xf>
    <xf numFmtId="167" fontId="11" fillId="8" borderId="20" xfId="8" quotePrefix="1" applyNumberFormat="1" applyFont="1" applyFill="1" applyBorder="1" applyAlignment="1">
      <alignment horizontal="right" vertical="center" wrapText="1"/>
    </xf>
    <xf numFmtId="167" fontId="11" fillId="3" borderId="20" xfId="8" quotePrefix="1" applyNumberFormat="1" applyFont="1" applyFill="1" applyBorder="1" applyAlignment="1">
      <alignment horizontal="right" vertical="center" wrapText="1"/>
    </xf>
    <xf numFmtId="185" fontId="11" fillId="8" borderId="20" xfId="8" quotePrefix="1" applyNumberFormat="1" applyFont="1" applyFill="1" applyBorder="1" applyAlignment="1">
      <alignment horizontal="right" vertical="center" wrapText="1"/>
    </xf>
    <xf numFmtId="164" fontId="12" fillId="8" borderId="20" xfId="1" quotePrefix="1" applyNumberFormat="1" applyFont="1" applyFill="1" applyBorder="1" applyAlignment="1">
      <alignment horizontal="right" vertical="center" wrapText="1"/>
    </xf>
    <xf numFmtId="164" fontId="11" fillId="8" borderId="20" xfId="1" quotePrefix="1" applyNumberFormat="1" applyFont="1" applyFill="1" applyBorder="1" applyAlignment="1">
      <alignment horizontal="right" vertical="center" wrapText="1"/>
    </xf>
    <xf numFmtId="178" fontId="12" fillId="8" borderId="20" xfId="8" quotePrefix="1" applyNumberFormat="1" applyFont="1" applyFill="1" applyBorder="1" applyAlignment="1">
      <alignment horizontal="right" vertical="center" wrapText="1"/>
    </xf>
    <xf numFmtId="168" fontId="11" fillId="0" borderId="0" xfId="8" quotePrefix="1" applyNumberFormat="1" applyFont="1" applyFill="1" applyBorder="1" applyAlignment="1">
      <alignment horizontal="right" vertical="center" wrapText="1"/>
    </xf>
    <xf numFmtId="164" fontId="12" fillId="0" borderId="0" xfId="1" applyNumberFormat="1" applyFont="1" applyFill="1"/>
    <xf numFmtId="164" fontId="11" fillId="0" borderId="0" xfId="1" applyNumberFormat="1" applyFont="1" applyFill="1" applyAlignment="1">
      <alignment horizontal="right"/>
    </xf>
    <xf numFmtId="167" fontId="11" fillId="0" borderId="0" xfId="8" quotePrefix="1" applyNumberFormat="1" applyFont="1" applyFill="1" applyBorder="1" applyAlignment="1">
      <alignment horizontal="right" vertical="center" wrapText="1"/>
    </xf>
    <xf numFmtId="185" fontId="11" fillId="0" borderId="0" xfId="8" quotePrefix="1" applyNumberFormat="1" applyFont="1" applyFill="1" applyBorder="1" applyAlignment="1">
      <alignment horizontal="right" vertical="center" wrapText="1"/>
    </xf>
    <xf numFmtId="164" fontId="11" fillId="0" borderId="0" xfId="1" quotePrefix="1" applyNumberFormat="1" applyFont="1" applyFill="1" applyBorder="1" applyAlignment="1">
      <alignment horizontal="right" vertical="center" wrapText="1"/>
    </xf>
    <xf numFmtId="164" fontId="12" fillId="0" borderId="0" xfId="1" quotePrefix="1" applyNumberFormat="1" applyFont="1" applyFill="1" applyBorder="1" applyAlignment="1">
      <alignment horizontal="right" vertical="center" wrapText="1"/>
    </xf>
    <xf numFmtId="9" fontId="11" fillId="0" borderId="0" xfId="2" applyFont="1" applyFill="1" applyBorder="1" applyAlignment="1">
      <alignment horizontal="center" vertical="center" wrapText="1"/>
    </xf>
    <xf numFmtId="9" fontId="11" fillId="0" borderId="0" xfId="2" quotePrefix="1" applyFont="1" applyFill="1" applyBorder="1" applyAlignment="1">
      <alignment horizontal="right" vertical="center" wrapText="1"/>
    </xf>
    <xf numFmtId="9" fontId="12" fillId="0" borderId="0" xfId="2" quotePrefix="1" applyFont="1" applyFill="1" applyBorder="1" applyAlignment="1">
      <alignment horizontal="right" vertical="center" wrapText="1"/>
    </xf>
    <xf numFmtId="164" fontId="12" fillId="0" borderId="0" xfId="1" applyNumberFormat="1" applyFont="1" applyFill="1" applyBorder="1"/>
    <xf numFmtId="164" fontId="11" fillId="0" borderId="0" xfId="1" applyNumberFormat="1" applyFont="1" applyFill="1" applyBorder="1" applyAlignment="1">
      <alignment horizontal="right"/>
    </xf>
    <xf numFmtId="0" fontId="5" fillId="0" borderId="19" xfId="0" applyFont="1" applyBorder="1" applyAlignment="1">
      <alignment horizontal="center" vertical="center" wrapText="1"/>
    </xf>
    <xf numFmtId="164" fontId="22" fillId="0" borderId="19" xfId="1" applyNumberFormat="1" applyFont="1" applyFill="1" applyBorder="1" applyAlignment="1">
      <alignment vertical="center"/>
    </xf>
    <xf numFmtId="164" fontId="6" fillId="0" borderId="19" xfId="1" applyNumberFormat="1" applyFont="1" applyFill="1" applyBorder="1" applyAlignment="1">
      <alignment vertical="center"/>
    </xf>
    <xf numFmtId="9" fontId="11" fillId="0" borderId="19" xfId="2" applyFont="1" applyFill="1" applyBorder="1" applyAlignment="1">
      <alignment horizontal="center" vertical="center" wrapText="1"/>
    </xf>
    <xf numFmtId="9" fontId="12" fillId="0" borderId="19" xfId="2" quotePrefix="1" applyFont="1" applyFill="1" applyBorder="1" applyAlignment="1">
      <alignment horizontal="right" vertical="center" wrapText="1"/>
    </xf>
    <xf numFmtId="168" fontId="12" fillId="0" borderId="80" xfId="8" quotePrefix="1" applyNumberFormat="1" applyFont="1" applyFill="1" applyBorder="1" applyAlignment="1">
      <alignment horizontal="right" vertical="center" wrapText="1"/>
    </xf>
    <xf numFmtId="168" fontId="11" fillId="0" borderId="80" xfId="8" quotePrefix="1" applyNumberFormat="1" applyFont="1" applyFill="1" applyBorder="1" applyAlignment="1">
      <alignment horizontal="right" vertical="center" wrapText="1"/>
    </xf>
    <xf numFmtId="167" fontId="12" fillId="0" borderId="80" xfId="8" quotePrefix="1" applyNumberFormat="1" applyFont="1" applyFill="1" applyBorder="1" applyAlignment="1">
      <alignment horizontal="right" vertical="center" wrapText="1"/>
    </xf>
    <xf numFmtId="9" fontId="12" fillId="0" borderId="80" xfId="2" quotePrefix="1" applyFont="1" applyFill="1" applyBorder="1" applyAlignment="1">
      <alignment horizontal="right" vertical="center" wrapText="1"/>
    </xf>
    <xf numFmtId="168" fontId="12" fillId="0" borderId="0" xfId="8" quotePrefix="1" applyNumberFormat="1" applyFont="1" applyFill="1" applyBorder="1" applyAlignment="1">
      <alignment horizontal="right" vertical="center" wrapText="1"/>
    </xf>
    <xf numFmtId="167" fontId="12" fillId="0" borderId="0" xfId="8" quotePrefix="1" applyNumberFormat="1" applyFont="1" applyFill="1" applyBorder="1" applyAlignment="1">
      <alignment horizontal="right" vertical="center" wrapText="1"/>
    </xf>
    <xf numFmtId="178" fontId="12" fillId="0" borderId="0" xfId="8" quotePrefix="1" applyNumberFormat="1" applyFont="1" applyFill="1" applyBorder="1" applyAlignment="1">
      <alignment horizontal="right" vertical="center" wrapText="1"/>
    </xf>
    <xf numFmtId="167" fontId="11" fillId="0" borderId="20" xfId="8" quotePrefix="1" applyNumberFormat="1" applyFont="1" applyFill="1" applyBorder="1" applyAlignment="1">
      <alignment horizontal="right" vertical="center" wrapText="1"/>
    </xf>
    <xf numFmtId="0" fontId="12" fillId="0" borderId="38" xfId="0" applyFont="1" applyBorder="1" applyAlignment="1">
      <alignment horizontal="left" vertical="center"/>
    </xf>
    <xf numFmtId="167" fontId="11" fillId="0" borderId="38" xfId="1" applyNumberFormat="1" applyFont="1" applyFill="1" applyBorder="1" applyAlignment="1">
      <alignment vertical="center"/>
    </xf>
    <xf numFmtId="177" fontId="40" fillId="0" borderId="38" xfId="1" applyNumberFormat="1" applyFont="1" applyFill="1" applyBorder="1" applyAlignment="1">
      <alignment vertical="center"/>
    </xf>
    <xf numFmtId="9" fontId="11" fillId="14" borderId="4" xfId="2" applyFont="1" applyFill="1" applyBorder="1" applyAlignment="1">
      <alignment vertical="center"/>
    </xf>
    <xf numFmtId="9" fontId="11" fillId="15" borderId="4" xfId="2" applyFont="1" applyFill="1" applyBorder="1" applyAlignment="1">
      <alignment vertical="center"/>
    </xf>
    <xf numFmtId="9" fontId="12" fillId="0" borderId="38" xfId="2" applyFont="1" applyBorder="1" applyAlignment="1">
      <alignment vertical="center"/>
    </xf>
    <xf numFmtId="9" fontId="12" fillId="0" borderId="39" xfId="2" applyFont="1" applyBorder="1" applyAlignment="1">
      <alignment vertical="center"/>
    </xf>
    <xf numFmtId="9" fontId="11" fillId="14" borderId="20" xfId="2" applyFont="1" applyFill="1" applyBorder="1" applyAlignment="1">
      <alignment vertical="center"/>
    </xf>
    <xf numFmtId="9" fontId="11" fillId="0" borderId="0" xfId="2" applyFont="1" applyAlignment="1">
      <alignment vertical="center"/>
    </xf>
    <xf numFmtId="9" fontId="11" fillId="0" borderId="0" xfId="2" applyFont="1" applyAlignment="1">
      <alignment horizontal="right" vertical="center"/>
    </xf>
    <xf numFmtId="0" fontId="11" fillId="15" borderId="20" xfId="0" applyFont="1" applyFill="1" applyBorder="1" applyAlignment="1">
      <alignment horizontal="center" vertical="center" wrapText="1"/>
    </xf>
    <xf numFmtId="9" fontId="11" fillId="15" borderId="20" xfId="2" applyFont="1" applyFill="1" applyBorder="1" applyAlignment="1">
      <alignment horizontal="center" vertical="center" wrapText="1"/>
    </xf>
    <xf numFmtId="9" fontId="12" fillId="0" borderId="37" xfId="2" applyFont="1" applyFill="1" applyBorder="1" applyAlignment="1">
      <alignment vertical="center"/>
    </xf>
    <xf numFmtId="9" fontId="12" fillId="0" borderId="38" xfId="2" applyFont="1" applyFill="1" applyBorder="1" applyAlignment="1">
      <alignment vertical="center"/>
    </xf>
    <xf numFmtId="9" fontId="12" fillId="0" borderId="1" xfId="2" quotePrefix="1" applyFont="1" applyFill="1" applyBorder="1" applyAlignment="1">
      <alignment horizontal="right" vertical="center" wrapText="1"/>
    </xf>
    <xf numFmtId="9" fontId="11" fillId="3" borderId="1" xfId="2" quotePrefix="1" applyFont="1" applyFill="1" applyBorder="1" applyAlignment="1">
      <alignment horizontal="right" vertical="center" wrapText="1"/>
    </xf>
    <xf numFmtId="0" fontId="12" fillId="0" borderId="37" xfId="0" applyFont="1" applyBorder="1" applyAlignment="1">
      <alignment horizontal="left" vertical="center"/>
    </xf>
    <xf numFmtId="167" fontId="11" fillId="0" borderId="37" xfId="1" applyNumberFormat="1" applyFont="1" applyFill="1" applyBorder="1" applyAlignment="1">
      <alignment vertical="center"/>
    </xf>
    <xf numFmtId="164" fontId="12" fillId="0" borderId="0" xfId="1" applyNumberFormat="1" applyFont="1" applyFill="1" applyAlignment="1">
      <alignment vertical="center"/>
    </xf>
    <xf numFmtId="0" fontId="12" fillId="0" borderId="39" xfId="0" applyFont="1" applyBorder="1" applyAlignment="1">
      <alignment horizontal="left" vertical="center"/>
    </xf>
    <xf numFmtId="167" fontId="12" fillId="0" borderId="39" xfId="1" applyNumberFormat="1" applyFont="1" applyFill="1" applyBorder="1" applyAlignment="1">
      <alignment vertical="center"/>
    </xf>
    <xf numFmtId="167" fontId="11" fillId="0" borderId="39" xfId="1" applyNumberFormat="1" applyFont="1" applyFill="1" applyBorder="1" applyAlignment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7" fontId="11" fillId="0" borderId="20" xfId="1" applyNumberFormat="1" applyFont="1" applyFill="1" applyBorder="1" applyAlignment="1">
      <alignment vertical="center"/>
    </xf>
    <xf numFmtId="167" fontId="11" fillId="0" borderId="30" xfId="1" applyNumberFormat="1" applyFont="1" applyFill="1" applyBorder="1" applyAlignment="1">
      <alignment vertical="center"/>
    </xf>
    <xf numFmtId="9" fontId="11" fillId="0" borderId="20" xfId="2" applyFont="1" applyFill="1" applyBorder="1" applyAlignment="1">
      <alignment vertical="center"/>
    </xf>
    <xf numFmtId="9" fontId="12" fillId="0" borderId="39" xfId="2" applyFont="1" applyBorder="1"/>
    <xf numFmtId="9" fontId="12" fillId="0" borderId="37" xfId="2" applyFont="1" applyFill="1" applyBorder="1"/>
    <xf numFmtId="167" fontId="12" fillId="0" borderId="38" xfId="1" applyNumberFormat="1" applyFont="1" applyFill="1" applyBorder="1"/>
    <xf numFmtId="167" fontId="11" fillId="0" borderId="38" xfId="1" applyNumberFormat="1" applyFont="1" applyFill="1" applyBorder="1"/>
    <xf numFmtId="9" fontId="12" fillId="0" borderId="38" xfId="2" applyFont="1" applyFill="1" applyBorder="1"/>
    <xf numFmtId="0" fontId="11" fillId="14" borderId="1" xfId="0" applyFont="1" applyFill="1" applyBorder="1" applyAlignment="1">
      <alignment horizontal="left" vertical="center" wrapText="1"/>
    </xf>
    <xf numFmtId="164" fontId="12" fillId="0" borderId="38" xfId="1" applyNumberFormat="1" applyFont="1" applyFill="1" applyBorder="1" applyAlignment="1">
      <alignment vertical="center"/>
    </xf>
    <xf numFmtId="0" fontId="5" fillId="4" borderId="20" xfId="0" applyFont="1" applyFill="1" applyBorder="1" applyAlignment="1">
      <alignment horizontal="left" vertical="center"/>
    </xf>
    <xf numFmtId="164" fontId="12" fillId="0" borderId="37" xfId="1" applyNumberFormat="1" applyFont="1" applyFill="1" applyBorder="1" applyAlignment="1">
      <alignment vertical="center"/>
    </xf>
    <xf numFmtId="164" fontId="12" fillId="0" borderId="37" xfId="1" applyNumberFormat="1" applyFont="1" applyFill="1" applyBorder="1"/>
    <xf numFmtId="0" fontId="12" fillId="0" borderId="40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12" fillId="0" borderId="42" xfId="0" applyFont="1" applyBorder="1" applyAlignment="1">
      <alignment vertical="center"/>
    </xf>
    <xf numFmtId="0" fontId="12" fillId="0" borderId="42" xfId="0" applyFont="1" applyBorder="1" applyAlignment="1">
      <alignment horizontal="left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167" fontId="12" fillId="0" borderId="9" xfId="1" applyNumberFormat="1" applyFont="1" applyFill="1" applyBorder="1" applyAlignment="1">
      <alignment vertical="center"/>
    </xf>
    <xf numFmtId="0" fontId="6" fillId="0" borderId="36" xfId="20" applyFont="1" applyBorder="1" applyAlignment="1">
      <alignment horizontal="left" wrapText="1"/>
    </xf>
    <xf numFmtId="164" fontId="6" fillId="0" borderId="28" xfId="20" applyNumberFormat="1" applyFont="1" applyBorder="1" applyAlignment="1">
      <alignment horizontal="center"/>
    </xf>
    <xf numFmtId="14" fontId="6" fillId="0" borderId="9" xfId="20" applyNumberFormat="1" applyFont="1" applyBorder="1" applyAlignment="1">
      <alignment horizontal="center"/>
    </xf>
    <xf numFmtId="0" fontId="6" fillId="0" borderId="0" xfId="20" applyFont="1" applyAlignment="1">
      <alignment wrapText="1"/>
    </xf>
    <xf numFmtId="0" fontId="12" fillId="0" borderId="9" xfId="14" applyFont="1" applyBorder="1" applyAlignment="1">
      <alignment vertical="center" wrapText="1"/>
    </xf>
    <xf numFmtId="0" fontId="12" fillId="0" borderId="36" xfId="14" applyFont="1" applyBorder="1" applyAlignment="1">
      <alignment vertical="center" wrapText="1"/>
    </xf>
    <xf numFmtId="0" fontId="12" fillId="0" borderId="28" xfId="14" applyFont="1" applyBorder="1" applyAlignment="1">
      <alignment vertical="center" wrapText="1"/>
    </xf>
    <xf numFmtId="0" fontId="6" fillId="0" borderId="20" xfId="20" applyFont="1" applyBorder="1" applyAlignment="1">
      <alignment wrapText="1"/>
    </xf>
    <xf numFmtId="49" fontId="6" fillId="0" borderId="0" xfId="20" applyNumberFormat="1" applyFont="1" applyAlignment="1">
      <alignment horizontal="left"/>
    </xf>
    <xf numFmtId="49" fontId="31" fillId="0" borderId="0" xfId="20" applyNumberFormat="1" applyFont="1" applyAlignment="1">
      <alignment horizontal="center" wrapText="1"/>
    </xf>
    <xf numFmtId="49" fontId="5" fillId="2" borderId="20" xfId="14" applyNumberFormat="1" applyFont="1" applyFill="1" applyBorder="1" applyAlignment="1">
      <alignment horizontal="center" vertical="center" wrapText="1"/>
    </xf>
    <xf numFmtId="49" fontId="7" fillId="0" borderId="25" xfId="14" applyNumberFormat="1" applyFont="1" applyBorder="1" applyAlignment="1">
      <alignment horizontal="left" vertical="center"/>
    </xf>
    <xf numFmtId="49" fontId="6" fillId="0" borderId="20" xfId="20" applyNumberFormat="1" applyFont="1" applyBorder="1" applyAlignment="1">
      <alignment horizontal="left"/>
    </xf>
    <xf numFmtId="0" fontId="6" fillId="0" borderId="9" xfId="20" applyFont="1" applyBorder="1" applyAlignment="1">
      <alignment horizontal="left" wrapText="1"/>
    </xf>
    <xf numFmtId="0" fontId="6" fillId="0" borderId="9" xfId="14" applyFont="1" applyBorder="1" applyAlignment="1">
      <alignment vertical="center"/>
    </xf>
    <xf numFmtId="0" fontId="6" fillId="0" borderId="9" xfId="20" applyFont="1" applyBorder="1" applyAlignment="1">
      <alignment horizontal="left"/>
    </xf>
    <xf numFmtId="0" fontId="40" fillId="0" borderId="9" xfId="20" quotePrefix="1" applyFont="1" applyBorder="1" applyAlignment="1">
      <alignment horizontal="center"/>
    </xf>
    <xf numFmtId="0" fontId="40" fillId="0" borderId="9" xfId="20" applyFont="1" applyBorder="1" applyAlignment="1">
      <alignment horizontal="center"/>
    </xf>
    <xf numFmtId="0" fontId="40" fillId="0" borderId="9" xfId="20" applyFont="1" applyBorder="1" applyAlignment="1">
      <alignment horizontal="left" wrapText="1"/>
    </xf>
    <xf numFmtId="167" fontId="40" fillId="0" borderId="9" xfId="1" applyNumberFormat="1" applyFont="1" applyFill="1" applyBorder="1"/>
    <xf numFmtId="14" fontId="40" fillId="0" borderId="9" xfId="20" applyNumberFormat="1" applyFont="1" applyBorder="1" applyAlignment="1">
      <alignment horizontal="center"/>
    </xf>
    <xf numFmtId="164" fontId="40" fillId="0" borderId="9" xfId="20" applyNumberFormat="1" applyFont="1" applyBorder="1" applyAlignment="1">
      <alignment horizontal="center"/>
    </xf>
    <xf numFmtId="164" fontId="40" fillId="0" borderId="9" xfId="3" applyNumberFormat="1" applyFont="1" applyBorder="1"/>
    <xf numFmtId="0" fontId="40" fillId="0" borderId="9" xfId="14" applyFont="1" applyBorder="1" applyAlignment="1">
      <alignment vertical="center"/>
    </xf>
    <xf numFmtId="0" fontId="40" fillId="0" borderId="9" xfId="20" applyFont="1" applyBorder="1"/>
    <xf numFmtId="189" fontId="40" fillId="0" borderId="9" xfId="20" applyNumberFormat="1" applyFont="1" applyBorder="1"/>
    <xf numFmtId="0" fontId="40" fillId="0" borderId="9" xfId="14" applyFont="1" applyBorder="1" applyAlignment="1">
      <alignment vertical="center" wrapText="1"/>
    </xf>
    <xf numFmtId="0" fontId="40" fillId="0" borderId="36" xfId="20" applyFont="1" applyBorder="1" applyAlignment="1">
      <alignment horizontal="left" wrapText="1"/>
    </xf>
    <xf numFmtId="49" fontId="40" fillId="0" borderId="9" xfId="20" applyNumberFormat="1" applyFont="1" applyBorder="1" applyAlignment="1">
      <alignment horizontal="left"/>
    </xf>
    <xf numFmtId="167" fontId="40" fillId="0" borderId="9" xfId="1" applyNumberFormat="1" applyFont="1" applyBorder="1"/>
    <xf numFmtId="167" fontId="40" fillId="0" borderId="9" xfId="1" applyNumberFormat="1" applyFont="1" applyBorder="1" applyAlignment="1">
      <alignment vertical="center"/>
    </xf>
    <xf numFmtId="0" fontId="40" fillId="0" borderId="82" xfId="20" applyFont="1" applyBorder="1"/>
    <xf numFmtId="0" fontId="40" fillId="0" borderId="9" xfId="20" applyFont="1" applyBorder="1" applyAlignment="1">
      <alignment horizontal="left"/>
    </xf>
    <xf numFmtId="0" fontId="40" fillId="0" borderId="36" xfId="20" applyFont="1" applyBorder="1" applyAlignment="1">
      <alignment horizontal="center"/>
    </xf>
    <xf numFmtId="167" fontId="40" fillId="0" borderId="36" xfId="1" applyNumberFormat="1" applyFont="1" applyBorder="1"/>
    <xf numFmtId="14" fontId="40" fillId="0" borderId="36" xfId="20" applyNumberFormat="1" applyFont="1" applyBorder="1" applyAlignment="1">
      <alignment horizontal="center"/>
    </xf>
    <xf numFmtId="164" fontId="40" fillId="0" borderId="36" xfId="20" applyNumberFormat="1" applyFont="1" applyBorder="1" applyAlignment="1">
      <alignment horizontal="center"/>
    </xf>
    <xf numFmtId="164" fontId="40" fillId="0" borderId="36" xfId="3" applyNumberFormat="1" applyFont="1" applyBorder="1"/>
    <xf numFmtId="0" fontId="40" fillId="0" borderId="36" xfId="14" applyFont="1" applyBorder="1" applyAlignment="1">
      <alignment vertical="center"/>
    </xf>
    <xf numFmtId="0" fontId="40" fillId="0" borderId="36" xfId="20" applyFont="1" applyBorder="1"/>
    <xf numFmtId="189" fontId="40" fillId="0" borderId="36" xfId="20" applyNumberFormat="1" applyFont="1" applyBorder="1"/>
    <xf numFmtId="0" fontId="40" fillId="0" borderId="36" xfId="14" applyFont="1" applyBorder="1" applyAlignment="1">
      <alignment vertical="center" wrapText="1"/>
    </xf>
    <xf numFmtId="49" fontId="40" fillId="0" borderId="36" xfId="20" applyNumberFormat="1" applyFont="1" applyBorder="1" applyAlignment="1">
      <alignment horizontal="left"/>
    </xf>
    <xf numFmtId="167" fontId="40" fillId="0" borderId="36" xfId="1" applyNumberFormat="1" applyFont="1" applyBorder="1" applyAlignment="1">
      <alignment vertical="center"/>
    </xf>
    <xf numFmtId="0" fontId="40" fillId="0" borderId="81" xfId="20" applyFont="1" applyBorder="1"/>
    <xf numFmtId="0" fontId="12" fillId="0" borderId="7" xfId="20" applyFont="1" applyBorder="1" applyAlignment="1">
      <alignment horizontal="center"/>
    </xf>
    <xf numFmtId="0" fontId="12" fillId="0" borderId="7" xfId="20" applyFont="1" applyBorder="1" applyAlignment="1">
      <alignment horizontal="left" wrapText="1"/>
    </xf>
    <xf numFmtId="167" fontId="12" fillId="0" borderId="7" xfId="1" applyNumberFormat="1" applyFont="1" applyFill="1" applyBorder="1"/>
    <xf numFmtId="0" fontId="12" fillId="0" borderId="7" xfId="20" applyFont="1" applyBorder="1" applyAlignment="1">
      <alignment horizontal="right"/>
    </xf>
    <xf numFmtId="164" fontId="12" fillId="0" borderId="7" xfId="3" applyNumberFormat="1" applyFont="1" applyBorder="1"/>
    <xf numFmtId="0" fontId="12" fillId="0" borderId="7" xfId="20" applyFont="1" applyBorder="1"/>
    <xf numFmtId="164" fontId="12" fillId="0" borderId="7" xfId="3" applyNumberFormat="1" applyFont="1" applyBorder="1" applyAlignment="1">
      <alignment wrapText="1"/>
    </xf>
    <xf numFmtId="0" fontId="12" fillId="0" borderId="7" xfId="14" applyFont="1" applyBorder="1" applyAlignment="1">
      <alignment vertical="center"/>
    </xf>
    <xf numFmtId="0" fontId="12" fillId="0" borderId="85" xfId="14" applyFont="1" applyBorder="1" applyAlignment="1">
      <alignment horizontal="left" vertical="center" wrapText="1"/>
    </xf>
    <xf numFmtId="49" fontId="12" fillId="0" borderId="85" xfId="14" applyNumberFormat="1" applyFont="1" applyBorder="1" applyAlignment="1">
      <alignment horizontal="left" vertical="center"/>
    </xf>
    <xf numFmtId="0" fontId="12" fillId="0" borderId="85" xfId="14" applyFont="1" applyBorder="1" applyAlignment="1">
      <alignment vertical="center"/>
    </xf>
    <xf numFmtId="167" fontId="12" fillId="0" borderId="7" xfId="1" applyNumberFormat="1" applyFont="1" applyFill="1" applyBorder="1" applyAlignment="1">
      <alignment vertical="center"/>
    </xf>
    <xf numFmtId="0" fontId="12" fillId="0" borderId="86" xfId="20" applyFont="1" applyBorder="1"/>
    <xf numFmtId="0" fontId="12" fillId="0" borderId="9" xfId="20" applyFont="1" applyBorder="1" applyAlignment="1">
      <alignment horizontal="center"/>
    </xf>
    <xf numFmtId="0" fontId="12" fillId="0" borderId="9" xfId="20" applyFont="1" applyBorder="1" applyAlignment="1">
      <alignment horizontal="left" wrapText="1"/>
    </xf>
    <xf numFmtId="167" fontId="12" fillId="0" borderId="9" xfId="1" applyNumberFormat="1" applyFont="1" applyFill="1" applyBorder="1"/>
    <xf numFmtId="189" fontId="12" fillId="0" borderId="9" xfId="20" applyNumberFormat="1" applyFont="1" applyBorder="1" applyAlignment="1">
      <alignment horizontal="center"/>
    </xf>
    <xf numFmtId="164" fontId="12" fillId="0" borderId="9" xfId="20" applyNumberFormat="1" applyFont="1" applyBorder="1" applyAlignment="1">
      <alignment horizontal="center"/>
    </xf>
    <xf numFmtId="164" fontId="12" fillId="0" borderId="9" xfId="3" applyNumberFormat="1" applyFont="1" applyBorder="1"/>
    <xf numFmtId="164" fontId="12" fillId="0" borderId="9" xfId="3" applyNumberFormat="1" applyFont="1" applyBorder="1" applyAlignment="1">
      <alignment horizontal="left"/>
    </xf>
    <xf numFmtId="164" fontId="12" fillId="0" borderId="9" xfId="3" applyNumberFormat="1" applyFont="1" applyBorder="1" applyAlignment="1">
      <alignment wrapText="1"/>
    </xf>
    <xf numFmtId="0" fontId="12" fillId="0" borderId="9" xfId="20" applyFont="1" applyBorder="1"/>
    <xf numFmtId="189" fontId="12" fillId="0" borderId="9" xfId="20" applyNumberFormat="1" applyFont="1" applyBorder="1"/>
    <xf numFmtId="0" fontId="12" fillId="0" borderId="83" xfId="14" applyFont="1" applyBorder="1" applyAlignment="1">
      <alignment horizontal="left" vertical="center" wrapText="1"/>
    </xf>
    <xf numFmtId="49" fontId="12" fillId="0" borderId="83" xfId="14" applyNumberFormat="1" applyFont="1" applyBorder="1" applyAlignment="1">
      <alignment horizontal="left" vertical="center"/>
    </xf>
    <xf numFmtId="0" fontId="12" fillId="0" borderId="83" xfId="14" applyFont="1" applyBorder="1" applyAlignment="1">
      <alignment vertical="center"/>
    </xf>
    <xf numFmtId="0" fontId="12" fillId="0" borderId="82" xfId="20" applyFont="1" applyBorder="1"/>
    <xf numFmtId="14" fontId="12" fillId="0" borderId="9" xfId="20" applyNumberFormat="1" applyFont="1" applyBorder="1" applyAlignment="1">
      <alignment horizontal="center"/>
    </xf>
    <xf numFmtId="164" fontId="12" fillId="0" borderId="9" xfId="3" applyNumberFormat="1" applyFont="1" applyBorder="1" applyAlignment="1">
      <alignment horizontal="left" wrapText="1"/>
    </xf>
    <xf numFmtId="167" fontId="5" fillId="3" borderId="7" xfId="1" applyNumberFormat="1" applyFont="1" applyFill="1" applyBorder="1" applyAlignment="1">
      <alignment vertical="center"/>
    </xf>
    <xf numFmtId="167" fontId="12" fillId="0" borderId="28" xfId="1" applyNumberFormat="1" applyFont="1" applyFill="1" applyBorder="1" applyAlignment="1">
      <alignment vertical="center"/>
    </xf>
    <xf numFmtId="0" fontId="18" fillId="3" borderId="20" xfId="0" applyFont="1" applyFill="1" applyBorder="1" applyAlignment="1">
      <alignment vertical="center"/>
    </xf>
    <xf numFmtId="0" fontId="5" fillId="3" borderId="20" xfId="20" applyFont="1" applyFill="1" applyBorder="1" applyAlignment="1">
      <alignment horizontal="center"/>
    </xf>
    <xf numFmtId="164" fontId="62" fillId="3" borderId="20" xfId="1" applyNumberFormat="1" applyFont="1" applyFill="1" applyBorder="1" applyAlignment="1">
      <alignment horizontal="center" vertical="center"/>
    </xf>
    <xf numFmtId="167" fontId="5" fillId="3" borderId="20" xfId="1" applyNumberFormat="1" applyFont="1" applyFill="1" applyBorder="1" applyAlignment="1">
      <alignment horizontal="center" vertical="center"/>
    </xf>
    <xf numFmtId="0" fontId="11" fillId="3" borderId="20" xfId="14" applyFont="1" applyFill="1" applyBorder="1" applyAlignment="1">
      <alignment vertical="center"/>
    </xf>
    <xf numFmtId="0" fontId="5" fillId="3" borderId="20" xfId="20" applyFont="1" applyFill="1" applyBorder="1"/>
    <xf numFmtId="0" fontId="11" fillId="3" borderId="20" xfId="14" applyFont="1" applyFill="1" applyBorder="1" applyAlignment="1">
      <alignment vertical="center" wrapText="1"/>
    </xf>
    <xf numFmtId="0" fontId="62" fillId="3" borderId="20" xfId="14" applyFont="1" applyFill="1" applyBorder="1" applyAlignment="1">
      <alignment horizontal="center" vertical="center"/>
    </xf>
    <xf numFmtId="49" fontId="62" fillId="3" borderId="20" xfId="14" applyNumberFormat="1" applyFont="1" applyFill="1" applyBorder="1" applyAlignment="1">
      <alignment horizontal="left" vertical="center"/>
    </xf>
    <xf numFmtId="0" fontId="62" fillId="3" borderId="20" xfId="14" applyFont="1" applyFill="1" applyBorder="1" applyAlignment="1">
      <alignment vertical="center"/>
    </xf>
    <xf numFmtId="167" fontId="5" fillId="3" borderId="20" xfId="1" applyNumberFormat="1" applyFont="1" applyFill="1" applyBorder="1" applyAlignment="1">
      <alignment vertical="center"/>
    </xf>
    <xf numFmtId="0" fontId="12" fillId="0" borderId="28" xfId="20" applyFont="1" applyBorder="1" applyAlignment="1">
      <alignment horizontal="center"/>
    </xf>
    <xf numFmtId="0" fontId="12" fillId="0" borderId="28" xfId="20" applyFont="1" applyBorder="1" applyAlignment="1">
      <alignment horizontal="center" wrapText="1"/>
    </xf>
    <xf numFmtId="0" fontId="12" fillId="0" borderId="28" xfId="20" applyFont="1" applyBorder="1" applyAlignment="1">
      <alignment horizontal="left" wrapText="1"/>
    </xf>
    <xf numFmtId="167" fontId="12" fillId="0" borderId="28" xfId="1" applyNumberFormat="1" applyFont="1" applyFill="1" applyBorder="1"/>
    <xf numFmtId="14" fontId="12" fillId="0" borderId="28" xfId="20" applyNumberFormat="1" applyFont="1" applyBorder="1" applyAlignment="1">
      <alignment horizontal="center"/>
    </xf>
    <xf numFmtId="164" fontId="12" fillId="0" borderId="28" xfId="20" applyNumberFormat="1" applyFont="1" applyBorder="1" applyAlignment="1">
      <alignment horizontal="center"/>
    </xf>
    <xf numFmtId="164" fontId="12" fillId="0" borderId="28" xfId="3" applyNumberFormat="1" applyFont="1" applyBorder="1"/>
    <xf numFmtId="164" fontId="12" fillId="0" borderId="28" xfId="3" applyNumberFormat="1" applyFont="1" applyBorder="1" applyAlignment="1">
      <alignment horizontal="left"/>
    </xf>
    <xf numFmtId="164" fontId="12" fillId="0" borderId="28" xfId="3" applyNumberFormat="1" applyFont="1" applyBorder="1" applyAlignment="1">
      <alignment wrapText="1"/>
    </xf>
    <xf numFmtId="0" fontId="12" fillId="0" borderId="28" xfId="20" applyFont="1" applyBorder="1"/>
    <xf numFmtId="189" fontId="12" fillId="0" borderId="28" xfId="20" applyNumberFormat="1" applyFont="1" applyBorder="1"/>
    <xf numFmtId="164" fontId="12" fillId="0" borderId="28" xfId="3" applyNumberFormat="1" applyFont="1" applyBorder="1" applyAlignment="1">
      <alignment horizontal="left" wrapText="1"/>
    </xf>
    <xf numFmtId="0" fontId="12" fillId="0" borderId="87" xfId="14" applyFont="1" applyBorder="1" applyAlignment="1">
      <alignment horizontal="left" vertical="center" wrapText="1"/>
    </xf>
    <xf numFmtId="49" fontId="12" fillId="0" borderId="87" xfId="14" applyNumberFormat="1" applyFont="1" applyBorder="1" applyAlignment="1">
      <alignment horizontal="left" vertical="center"/>
    </xf>
    <xf numFmtId="0" fontId="12" fillId="0" borderId="87" xfId="14" applyFont="1" applyBorder="1" applyAlignment="1">
      <alignment vertical="center"/>
    </xf>
    <xf numFmtId="0" fontId="12" fillId="0" borderId="36" xfId="20" applyFont="1" applyBorder="1" applyAlignment="1">
      <alignment horizontal="center"/>
    </xf>
    <xf numFmtId="0" fontId="12" fillId="0" borderId="36" xfId="20" applyFont="1" applyBorder="1" applyAlignment="1">
      <alignment horizontal="center" wrapText="1"/>
    </xf>
    <xf numFmtId="0" fontId="12" fillId="0" borderId="36" xfId="20" applyFont="1" applyBorder="1" applyAlignment="1">
      <alignment horizontal="left" wrapText="1"/>
    </xf>
    <xf numFmtId="167" fontId="12" fillId="0" borderId="36" xfId="1" applyNumberFormat="1" applyFont="1" applyFill="1" applyBorder="1"/>
    <xf numFmtId="14" fontId="12" fillId="0" borderId="36" xfId="20" applyNumberFormat="1" applyFont="1" applyBorder="1" applyAlignment="1">
      <alignment horizontal="center"/>
    </xf>
    <xf numFmtId="164" fontId="12" fillId="0" borderId="36" xfId="20" applyNumberFormat="1" applyFont="1" applyBorder="1" applyAlignment="1">
      <alignment horizontal="center"/>
    </xf>
    <xf numFmtId="164" fontId="12" fillId="0" borderId="36" xfId="3" applyNumberFormat="1" applyFont="1" applyBorder="1"/>
    <xf numFmtId="164" fontId="12" fillId="0" borderId="36" xfId="3" applyNumberFormat="1" applyFont="1" applyBorder="1" applyAlignment="1">
      <alignment wrapText="1"/>
    </xf>
    <xf numFmtId="0" fontId="12" fillId="0" borderId="36" xfId="20" applyFont="1" applyBorder="1"/>
    <xf numFmtId="189" fontId="12" fillId="0" borderId="36" xfId="20" applyNumberFormat="1" applyFont="1" applyBorder="1"/>
    <xf numFmtId="164" fontId="12" fillId="0" borderId="36" xfId="3" applyNumberFormat="1" applyFont="1" applyBorder="1" applyAlignment="1">
      <alignment horizontal="left" wrapText="1"/>
    </xf>
    <xf numFmtId="0" fontId="12" fillId="0" borderId="84" xfId="14" applyFont="1" applyBorder="1" applyAlignment="1">
      <alignment horizontal="left" vertical="center" wrapText="1"/>
    </xf>
    <xf numFmtId="49" fontId="12" fillId="0" borderId="84" xfId="14" applyNumberFormat="1" applyFont="1" applyBorder="1" applyAlignment="1">
      <alignment horizontal="left" vertical="center"/>
    </xf>
    <xf numFmtId="0" fontId="12" fillId="0" borderId="84" xfId="14" applyFont="1" applyBorder="1" applyAlignment="1">
      <alignment vertical="center"/>
    </xf>
    <xf numFmtId="167" fontId="12" fillId="0" borderId="36" xfId="1" applyNumberFormat="1" applyFont="1" applyFill="1" applyBorder="1" applyAlignment="1">
      <alignment vertical="center"/>
    </xf>
    <xf numFmtId="164" fontId="6" fillId="0" borderId="9" xfId="20" applyNumberFormat="1" applyFont="1" applyBorder="1" applyAlignment="1">
      <alignment horizontal="center"/>
    </xf>
    <xf numFmtId="164" fontId="6" fillId="0" borderId="9" xfId="3" applyNumberFormat="1" applyFont="1" applyBorder="1"/>
    <xf numFmtId="189" fontId="6" fillId="0" borderId="9" xfId="20" applyNumberFormat="1" applyFont="1" applyBorder="1" applyAlignment="1">
      <alignment horizontal="center"/>
    </xf>
    <xf numFmtId="189" fontId="6" fillId="0" borderId="9" xfId="20" applyNumberFormat="1" applyFont="1" applyBorder="1"/>
    <xf numFmtId="0" fontId="18" fillId="7" borderId="0" xfId="0" applyFont="1" applyFill="1" applyAlignment="1">
      <alignment vertical="center"/>
    </xf>
    <xf numFmtId="0" fontId="5" fillId="7" borderId="9" xfId="20" applyFont="1" applyFill="1" applyBorder="1" applyAlignment="1">
      <alignment horizontal="center"/>
    </xf>
    <xf numFmtId="0" fontId="5" fillId="7" borderId="36" xfId="20" applyFont="1" applyFill="1" applyBorder="1" applyAlignment="1">
      <alignment horizontal="center"/>
    </xf>
    <xf numFmtId="0" fontId="11" fillId="7" borderId="9" xfId="14" applyFont="1" applyFill="1" applyBorder="1" applyAlignment="1">
      <alignment vertical="center"/>
    </xf>
    <xf numFmtId="0" fontId="5" fillId="7" borderId="9" xfId="20" applyFont="1" applyFill="1" applyBorder="1"/>
    <xf numFmtId="0" fontId="62" fillId="7" borderId="23" xfId="14" applyFont="1" applyFill="1" applyBorder="1" applyAlignment="1">
      <alignment horizontal="center" vertical="center"/>
    </xf>
    <xf numFmtId="0" fontId="62" fillId="7" borderId="23" xfId="14" applyFont="1" applyFill="1" applyBorder="1" applyAlignment="1">
      <alignment horizontal="left" vertical="center"/>
    </xf>
    <xf numFmtId="0" fontId="62" fillId="7" borderId="23" xfId="14" applyFont="1" applyFill="1" applyBorder="1" applyAlignment="1">
      <alignment vertical="center"/>
    </xf>
    <xf numFmtId="167" fontId="11" fillId="7" borderId="9" xfId="1" applyNumberFormat="1" applyFont="1" applyFill="1" applyBorder="1" applyAlignment="1">
      <alignment vertical="center"/>
    </xf>
    <xf numFmtId="167" fontId="6" fillId="0" borderId="36" xfId="1" applyNumberFormat="1" applyFont="1" applyFill="1" applyBorder="1"/>
    <xf numFmtId="167" fontId="5" fillId="7" borderId="36" xfId="1" applyNumberFormat="1" applyFont="1" applyFill="1" applyBorder="1"/>
    <xf numFmtId="167" fontId="6" fillId="0" borderId="36" xfId="1" applyNumberFormat="1" applyFont="1" applyBorder="1" applyAlignment="1">
      <alignment vertical="center"/>
    </xf>
    <xf numFmtId="167" fontId="6" fillId="0" borderId="9" xfId="1" applyNumberFormat="1" applyFont="1" applyBorder="1" applyAlignment="1">
      <alignment vertical="center"/>
    </xf>
    <xf numFmtId="167" fontId="6" fillId="0" borderId="36" xfId="1" applyNumberFormat="1" applyFont="1" applyFill="1" applyBorder="1" applyAlignment="1">
      <alignment vertical="center"/>
    </xf>
    <xf numFmtId="0" fontId="6" fillId="0" borderId="9" xfId="3" applyFont="1" applyBorder="1"/>
    <xf numFmtId="0" fontId="6" fillId="0" borderId="9" xfId="14" applyFont="1" applyBorder="1" applyAlignment="1">
      <alignment horizontal="left" vertical="center"/>
    </xf>
    <xf numFmtId="0" fontId="6" fillId="0" borderId="9" xfId="20" applyFont="1" applyBorder="1" applyAlignment="1">
      <alignment horizontal="right"/>
    </xf>
    <xf numFmtId="0" fontId="75" fillId="7" borderId="0" xfId="0" applyFont="1" applyFill="1" applyAlignment="1">
      <alignment vertical="center"/>
    </xf>
    <xf numFmtId="0" fontId="75" fillId="7" borderId="9" xfId="20" applyFont="1" applyFill="1" applyBorder="1" applyAlignment="1">
      <alignment horizontal="center"/>
    </xf>
    <xf numFmtId="0" fontId="75" fillId="7" borderId="9" xfId="20" applyFont="1" applyFill="1" applyBorder="1" applyAlignment="1">
      <alignment horizontal="left" wrapText="1"/>
    </xf>
    <xf numFmtId="167" fontId="75" fillId="7" borderId="36" xfId="1" applyNumberFormat="1" applyFont="1" applyFill="1" applyBorder="1"/>
    <xf numFmtId="0" fontId="75" fillId="7" borderId="36" xfId="20" applyFont="1" applyFill="1" applyBorder="1" applyAlignment="1">
      <alignment horizontal="center"/>
    </xf>
    <xf numFmtId="0" fontId="75" fillId="7" borderId="9" xfId="14" applyFont="1" applyFill="1" applyBorder="1" applyAlignment="1">
      <alignment vertical="center"/>
    </xf>
    <xf numFmtId="0" fontId="75" fillId="7" borderId="9" xfId="20" applyFont="1" applyFill="1" applyBorder="1"/>
    <xf numFmtId="0" fontId="75" fillId="7" borderId="23" xfId="14" applyFont="1" applyFill="1" applyBorder="1" applyAlignment="1">
      <alignment horizontal="center" vertical="center"/>
    </xf>
    <xf numFmtId="0" fontId="75" fillId="7" borderId="25" xfId="14" applyFont="1" applyFill="1" applyBorder="1" applyAlignment="1">
      <alignment horizontal="left" vertical="center"/>
    </xf>
    <xf numFmtId="0" fontId="75" fillId="7" borderId="25" xfId="14" applyFont="1" applyFill="1" applyBorder="1" applyAlignment="1">
      <alignment vertical="center"/>
    </xf>
    <xf numFmtId="167" fontId="75" fillId="7" borderId="9" xfId="1" applyNumberFormat="1" applyFont="1" applyFill="1" applyBorder="1" applyAlignment="1">
      <alignment vertical="center"/>
    </xf>
    <xf numFmtId="0" fontId="75" fillId="0" borderId="0" xfId="20" applyFont="1"/>
    <xf numFmtId="0" fontId="40" fillId="0" borderId="28" xfId="20" applyFont="1" applyBorder="1" applyAlignment="1">
      <alignment horizontal="center"/>
    </xf>
    <xf numFmtId="167" fontId="40" fillId="0" borderId="28" xfId="1" applyNumberFormat="1" applyFont="1" applyFill="1" applyBorder="1"/>
    <xf numFmtId="14" fontId="40" fillId="0" borderId="28" xfId="20" applyNumberFormat="1" applyFont="1" applyBorder="1" applyAlignment="1">
      <alignment horizontal="center"/>
    </xf>
    <xf numFmtId="164" fontId="40" fillId="0" borderId="28" xfId="3" applyNumberFormat="1" applyFont="1" applyBorder="1"/>
    <xf numFmtId="164" fontId="40" fillId="0" borderId="28" xfId="3" applyNumberFormat="1" applyFont="1" applyBorder="1" applyAlignment="1">
      <alignment horizontal="left"/>
    </xf>
    <xf numFmtId="0" fontId="40" fillId="0" borderId="28" xfId="14" applyFont="1" applyBorder="1" applyAlignment="1">
      <alignment vertical="center"/>
    </xf>
    <xf numFmtId="0" fontId="40" fillId="0" borderId="28" xfId="20" applyFont="1" applyBorder="1"/>
    <xf numFmtId="189" fontId="40" fillId="0" borderId="28" xfId="20" applyNumberFormat="1" applyFont="1" applyBorder="1"/>
    <xf numFmtId="0" fontId="40" fillId="0" borderId="87" xfId="14" applyFont="1" applyBorder="1" applyAlignment="1">
      <alignment horizontal="left" vertical="center" wrapText="1"/>
    </xf>
    <xf numFmtId="167" fontId="40" fillId="0" borderId="28" xfId="1" applyNumberFormat="1" applyFont="1" applyFill="1" applyBorder="1" applyAlignment="1">
      <alignment vertical="center"/>
    </xf>
    <xf numFmtId="167" fontId="40" fillId="0" borderId="9" xfId="1" applyNumberFormat="1" applyFont="1" applyFill="1" applyBorder="1" applyAlignment="1">
      <alignment vertical="center"/>
    </xf>
    <xf numFmtId="0" fontId="5" fillId="3" borderId="24" xfId="20" applyFont="1" applyFill="1" applyBorder="1" applyAlignment="1">
      <alignment horizontal="center"/>
    </xf>
    <xf numFmtId="0" fontId="6" fillId="0" borderId="9" xfId="20" applyFont="1" applyBorder="1" applyAlignment="1">
      <alignment horizontal="center" wrapText="1"/>
    </xf>
    <xf numFmtId="164" fontId="6" fillId="0" borderId="9" xfId="3" applyNumberFormat="1" applyFont="1" applyBorder="1" applyAlignment="1">
      <alignment horizontal="left"/>
    </xf>
    <xf numFmtId="164" fontId="6" fillId="0" borderId="9" xfId="3" quotePrefix="1" applyNumberFormat="1" applyFont="1" applyBorder="1" applyAlignment="1">
      <alignment horizontal="left"/>
    </xf>
    <xf numFmtId="0" fontId="7" fillId="0" borderId="20" xfId="14" quotePrefix="1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49" fontId="6" fillId="0" borderId="9" xfId="3" quotePrefix="1" applyNumberFormat="1" applyFont="1" applyBorder="1" applyAlignment="1">
      <alignment horizontal="left"/>
    </xf>
    <xf numFmtId="167" fontId="6" fillId="0" borderId="0" xfId="20" applyNumberFormat="1" applyFont="1"/>
    <xf numFmtId="167" fontId="11" fillId="14" borderId="24" xfId="1" applyNumberFormat="1" applyFont="1" applyFill="1" applyBorder="1" applyAlignment="1">
      <alignment vertical="center"/>
    </xf>
    <xf numFmtId="167" fontId="11" fillId="0" borderId="0" xfId="1" applyNumberFormat="1" applyFont="1" applyFill="1" applyBorder="1" applyAlignment="1">
      <alignment vertical="center"/>
    </xf>
    <xf numFmtId="0" fontId="6" fillId="0" borderId="36" xfId="14" applyFont="1" applyBorder="1" applyAlignment="1">
      <alignment vertical="center"/>
    </xf>
    <xf numFmtId="0" fontId="5" fillId="7" borderId="9" xfId="14" applyFont="1" applyFill="1" applyBorder="1" applyAlignment="1">
      <alignment vertical="center"/>
    </xf>
    <xf numFmtId="167" fontId="12" fillId="0" borderId="0" xfId="1" applyNumberFormat="1" applyFont="1" applyFill="1" applyBorder="1" applyAlignment="1">
      <alignment vertical="center"/>
    </xf>
    <xf numFmtId="167" fontId="12" fillId="0" borderId="0" xfId="0" applyNumberFormat="1" applyFont="1" applyAlignment="1">
      <alignment vertical="center"/>
    </xf>
    <xf numFmtId="0" fontId="6" fillId="0" borderId="19" xfId="20" applyFont="1" applyBorder="1" applyAlignment="1">
      <alignment horizontal="center"/>
    </xf>
    <xf numFmtId="0" fontId="6" fillId="0" borderId="19" xfId="20" applyFont="1" applyBorder="1" applyAlignment="1">
      <alignment horizontal="center" wrapText="1"/>
    </xf>
    <xf numFmtId="167" fontId="6" fillId="0" borderId="19" xfId="1" applyNumberFormat="1" applyFont="1" applyFill="1" applyBorder="1"/>
    <xf numFmtId="14" fontId="6" fillId="0" borderId="19" xfId="20" applyNumberFormat="1" applyFont="1" applyBorder="1" applyAlignment="1">
      <alignment horizontal="center"/>
    </xf>
    <xf numFmtId="164" fontId="6" fillId="0" borderId="19" xfId="20" applyNumberFormat="1" applyFont="1" applyBorder="1" applyAlignment="1">
      <alignment horizontal="center"/>
    </xf>
    <xf numFmtId="0" fontId="6" fillId="0" borderId="19" xfId="14" applyFont="1" applyBorder="1" applyAlignment="1">
      <alignment vertical="center"/>
    </xf>
    <xf numFmtId="49" fontId="6" fillId="0" borderId="19" xfId="3" quotePrefix="1" applyNumberFormat="1" applyFont="1" applyBorder="1" applyAlignment="1">
      <alignment horizontal="left"/>
    </xf>
    <xf numFmtId="0" fontId="6" fillId="0" borderId="19" xfId="3" applyFont="1" applyBorder="1"/>
    <xf numFmtId="164" fontId="6" fillId="0" borderId="19" xfId="3" applyNumberFormat="1" applyFont="1" applyBorder="1"/>
    <xf numFmtId="0" fontId="12" fillId="0" borderId="19" xfId="14" applyFont="1" applyBorder="1" applyAlignment="1">
      <alignment vertical="center"/>
    </xf>
    <xf numFmtId="0" fontId="6" fillId="0" borderId="19" xfId="20" applyFont="1" applyBorder="1"/>
    <xf numFmtId="189" fontId="6" fillId="0" borderId="19" xfId="20" applyNumberFormat="1" applyFont="1" applyBorder="1"/>
    <xf numFmtId="0" fontId="12" fillId="0" borderId="19" xfId="14" applyFont="1" applyBorder="1" applyAlignment="1">
      <alignment vertical="center" wrapText="1"/>
    </xf>
    <xf numFmtId="0" fontId="7" fillId="0" borderId="0" xfId="14" applyFont="1" applyAlignment="1">
      <alignment horizontal="center" vertical="center"/>
    </xf>
    <xf numFmtId="0" fontId="6" fillId="0" borderId="19" xfId="14" applyFont="1" applyBorder="1" applyAlignment="1">
      <alignment horizontal="left" vertical="center"/>
    </xf>
    <xf numFmtId="167" fontId="6" fillId="0" borderId="19" xfId="1" applyNumberFormat="1" applyFont="1" applyBorder="1" applyAlignment="1">
      <alignment vertical="center"/>
    </xf>
    <xf numFmtId="167" fontId="12" fillId="0" borderId="19" xfId="1" applyNumberFormat="1" applyFont="1" applyBorder="1" applyAlignment="1">
      <alignment vertical="center"/>
    </xf>
    <xf numFmtId="167" fontId="12" fillId="0" borderId="0" xfId="1" applyNumberFormat="1" applyFont="1" applyBorder="1"/>
    <xf numFmtId="167" fontId="12" fillId="0" borderId="0" xfId="1" applyNumberFormat="1" applyFont="1" applyFill="1" applyBorder="1"/>
    <xf numFmtId="0" fontId="12" fillId="8" borderId="88" xfId="6" applyFont="1" applyFill="1" applyBorder="1" applyAlignment="1">
      <alignment horizontal="left" vertical="center" wrapText="1"/>
    </xf>
    <xf numFmtId="0" fontId="12" fillId="8" borderId="19" xfId="6" applyFont="1" applyFill="1" applyBorder="1" applyAlignment="1">
      <alignment horizontal="left" vertical="center" wrapText="1"/>
    </xf>
    <xf numFmtId="168" fontId="11" fillId="3" borderId="20" xfId="8" quotePrefix="1" applyNumberFormat="1" applyFont="1" applyFill="1" applyBorder="1" applyAlignment="1">
      <alignment horizontal="left" vertical="center" wrapText="1"/>
    </xf>
    <xf numFmtId="168" fontId="11" fillId="0" borderId="0" xfId="0" applyNumberFormat="1" applyFont="1" applyAlignment="1">
      <alignment vertical="center"/>
    </xf>
    <xf numFmtId="165" fontId="11" fillId="9" borderId="20" xfId="2" applyNumberFormat="1" applyFont="1" applyFill="1" applyBorder="1" applyAlignment="1">
      <alignment horizontal="center" vertical="center" wrapText="1"/>
    </xf>
    <xf numFmtId="165" fontId="11" fillId="10" borderId="20" xfId="6" applyNumberFormat="1" applyFont="1" applyFill="1" applyBorder="1" applyAlignment="1">
      <alignment horizontal="center" vertical="center" wrapText="1"/>
    </xf>
    <xf numFmtId="169" fontId="11" fillId="2" borderId="20" xfId="9" applyNumberFormat="1" applyFont="1" applyFill="1" applyBorder="1" applyAlignment="1">
      <alignment horizontal="center" vertical="center"/>
    </xf>
    <xf numFmtId="0" fontId="11" fillId="3" borderId="20" xfId="1" applyNumberFormat="1" applyFont="1" applyFill="1" applyBorder="1" applyAlignment="1" applyProtection="1">
      <alignment horizontal="center" vertical="center" wrapText="1"/>
    </xf>
    <xf numFmtId="164" fontId="12" fillId="0" borderId="1" xfId="1" quotePrefix="1" applyNumberFormat="1" applyFont="1" applyFill="1" applyBorder="1" applyAlignment="1" applyProtection="1">
      <alignment horizontal="center" vertical="center"/>
    </xf>
    <xf numFmtId="0" fontId="11" fillId="12" borderId="89" xfId="6" applyFont="1" applyFill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wrapText="1"/>
    </xf>
    <xf numFmtId="171" fontId="11" fillId="11" borderId="90" xfId="1" applyNumberFormat="1" applyFont="1" applyFill="1" applyBorder="1" applyAlignment="1" applyProtection="1">
      <alignment vertical="center"/>
    </xf>
    <xf numFmtId="171" fontId="15" fillId="0" borderId="90" xfId="1" applyNumberFormat="1" applyFont="1" applyFill="1" applyBorder="1" applyAlignment="1" applyProtection="1">
      <alignment vertical="center"/>
    </xf>
    <xf numFmtId="174" fontId="23" fillId="0" borderId="90" xfId="2" applyNumberFormat="1" applyFont="1" applyFill="1" applyBorder="1" applyAlignment="1" applyProtection="1">
      <alignment vertical="center"/>
    </xf>
    <xf numFmtId="171" fontId="15" fillId="0" borderId="91" xfId="2" applyNumberFormat="1" applyFont="1" applyFill="1" applyBorder="1" applyAlignment="1" applyProtection="1">
      <alignment vertical="center"/>
    </xf>
    <xf numFmtId="168" fontId="11" fillId="0" borderId="92" xfId="1" applyNumberFormat="1" applyFont="1" applyFill="1" applyBorder="1" applyAlignment="1">
      <alignment horizontal="right" vertical="center"/>
    </xf>
    <xf numFmtId="168" fontId="12" fillId="0" borderId="92" xfId="1" applyNumberFormat="1" applyFont="1" applyFill="1" applyBorder="1" applyAlignment="1">
      <alignment horizontal="right" vertical="center"/>
    </xf>
    <xf numFmtId="171" fontId="11" fillId="11" borderId="93" xfId="1" applyNumberFormat="1" applyFont="1" applyFill="1" applyBorder="1" applyAlignment="1" applyProtection="1">
      <alignment vertical="center"/>
    </xf>
    <xf numFmtId="171" fontId="12" fillId="0" borderId="93" xfId="1" applyNumberFormat="1" applyFont="1" applyFill="1" applyBorder="1" applyAlignment="1" applyProtection="1">
      <alignment vertical="center"/>
    </xf>
    <xf numFmtId="171" fontId="11" fillId="0" borderId="93" xfId="1" applyNumberFormat="1" applyFont="1" applyFill="1" applyBorder="1" applyAlignment="1" applyProtection="1">
      <alignment vertical="center"/>
    </xf>
    <xf numFmtId="171" fontId="15" fillId="0" borderId="93" xfId="1" applyNumberFormat="1" applyFont="1" applyFill="1" applyBorder="1" applyAlignment="1" applyProtection="1">
      <alignment vertical="center"/>
    </xf>
    <xf numFmtId="174" fontId="23" fillId="0" borderId="93" xfId="2" applyNumberFormat="1" applyFont="1" applyFill="1" applyBorder="1" applyAlignment="1" applyProtection="1">
      <alignment vertical="center"/>
    </xf>
    <xf numFmtId="175" fontId="23" fillId="0" borderId="93" xfId="2" applyNumberFormat="1" applyFont="1" applyFill="1" applyBorder="1" applyAlignment="1" applyProtection="1">
      <alignment vertical="center"/>
    </xf>
    <xf numFmtId="9" fontId="15" fillId="0" borderId="94" xfId="2" applyFont="1" applyFill="1" applyBorder="1" applyAlignment="1" applyProtection="1">
      <alignment horizontal="left" vertical="center" wrapText="1"/>
    </xf>
    <xf numFmtId="167" fontId="12" fillId="0" borderId="37" xfId="1" applyNumberFormat="1" applyFont="1" applyFill="1" applyBorder="1"/>
    <xf numFmtId="167" fontId="11" fillId="0" borderId="37" xfId="1" applyNumberFormat="1" applyFont="1" applyFill="1" applyBorder="1"/>
    <xf numFmtId="0" fontId="12" fillId="0" borderId="38" xfId="0" applyFont="1" applyBorder="1" applyAlignment="1">
      <alignment horizontal="left" vertical="center" wrapText="1"/>
    </xf>
    <xf numFmtId="0" fontId="12" fillId="0" borderId="40" xfId="0" applyFont="1" applyBorder="1" applyAlignment="1">
      <alignment vertical="center" wrapText="1"/>
    </xf>
    <xf numFmtId="0" fontId="12" fillId="0" borderId="38" xfId="0" applyFont="1" applyBorder="1" applyAlignment="1">
      <alignment horizontal="left" wrapText="1"/>
    </xf>
    <xf numFmtId="168" fontId="11" fillId="0" borderId="20" xfId="8" quotePrefix="1" applyNumberFormat="1" applyFont="1" applyFill="1" applyBorder="1" applyAlignment="1">
      <alignment horizontal="right" vertical="center" wrapText="1"/>
    </xf>
    <xf numFmtId="167" fontId="0" fillId="14" borderId="1" xfId="1" applyNumberFormat="1" applyFont="1" applyFill="1" applyBorder="1" applyAlignment="1">
      <alignment vertical="center"/>
    </xf>
    <xf numFmtId="167" fontId="6" fillId="0" borderId="19" xfId="1" applyNumberFormat="1" applyFont="1" applyFill="1" applyBorder="1" applyAlignment="1">
      <alignment vertical="center"/>
    </xf>
    <xf numFmtId="167" fontId="12" fillId="0" borderId="19" xfId="1" applyNumberFormat="1" applyFont="1" applyFill="1" applyBorder="1" applyAlignment="1">
      <alignment vertical="center"/>
    </xf>
    <xf numFmtId="164" fontId="12" fillId="0" borderId="47" xfId="1" applyNumberFormat="1" applyFont="1" applyFill="1" applyBorder="1" applyAlignment="1">
      <alignment vertical="center"/>
    </xf>
    <xf numFmtId="164" fontId="12" fillId="0" borderId="4" xfId="1" applyNumberFormat="1" applyFont="1" applyFill="1" applyBorder="1" applyAlignment="1">
      <alignment vertical="center"/>
    </xf>
    <xf numFmtId="0" fontId="59" fillId="0" borderId="33" xfId="26" applyNumberFormat="1" applyFont="1" applyFill="1" applyBorder="1" applyAlignment="1">
      <alignment horizontal="left" vertical="center"/>
    </xf>
    <xf numFmtId="164" fontId="59" fillId="0" borderId="33" xfId="26" applyNumberFormat="1" applyFont="1" applyFill="1" applyBorder="1" applyAlignment="1">
      <alignment horizontal="left" vertical="center"/>
    </xf>
    <xf numFmtId="164" fontId="51" fillId="6" borderId="0" xfId="1" applyNumberFormat="1" applyFont="1" applyFill="1" applyAlignment="1">
      <alignment vertical="center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/>
    <xf numFmtId="167" fontId="12" fillId="0" borderId="42" xfId="1" applyNumberFormat="1" applyFont="1" applyFill="1" applyBorder="1" applyAlignment="1">
      <alignment vertical="center"/>
    </xf>
    <xf numFmtId="9" fontId="12" fillId="0" borderId="42" xfId="2" applyFont="1" applyFill="1" applyBorder="1" applyAlignment="1">
      <alignment vertic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67" fontId="12" fillId="0" borderId="4" xfId="1" applyNumberFormat="1" applyFont="1" applyBorder="1"/>
    <xf numFmtId="167" fontId="11" fillId="0" borderId="4" xfId="1" applyNumberFormat="1" applyFont="1" applyBorder="1"/>
    <xf numFmtId="9" fontId="12" fillId="0" borderId="4" xfId="2" applyFont="1" applyBorder="1"/>
    <xf numFmtId="167" fontId="11" fillId="0" borderId="9" xfId="1" applyNumberFormat="1" applyFont="1" applyFill="1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167" fontId="12" fillId="0" borderId="10" xfId="1" applyNumberFormat="1" applyFont="1" applyFill="1" applyBorder="1" applyAlignment="1">
      <alignment vertical="center"/>
    </xf>
    <xf numFmtId="0" fontId="12" fillId="15" borderId="1" xfId="0" applyFont="1" applyFill="1" applyBorder="1" applyAlignment="1">
      <alignment horizontal="center" vertical="center"/>
    </xf>
    <xf numFmtId="169" fontId="12" fillId="15" borderId="1" xfId="9" applyNumberFormat="1" applyFont="1" applyFill="1" applyBorder="1" applyAlignment="1">
      <alignment vertical="center"/>
    </xf>
    <xf numFmtId="169" fontId="12" fillId="15" borderId="1" xfId="9" applyNumberFormat="1" applyFont="1" applyFill="1" applyBorder="1" applyAlignment="1">
      <alignment horizontal="center" vertical="center"/>
    </xf>
    <xf numFmtId="164" fontId="12" fillId="15" borderId="1" xfId="1" applyNumberFormat="1" applyFont="1" applyFill="1" applyBorder="1" applyAlignment="1" applyProtection="1">
      <alignment horizontal="center" vertical="center"/>
    </xf>
    <xf numFmtId="0" fontId="12" fillId="15" borderId="1" xfId="0" applyFont="1" applyFill="1" applyBorder="1" applyAlignment="1">
      <alignment vertical="center"/>
    </xf>
    <xf numFmtId="164" fontId="46" fillId="0" borderId="0" xfId="1" applyNumberFormat="1" applyFont="1"/>
    <xf numFmtId="164" fontId="51" fillId="0" borderId="0" xfId="1" applyNumberFormat="1" applyFont="1"/>
    <xf numFmtId="164" fontId="52" fillId="0" borderId="0" xfId="1" applyNumberFormat="1" applyFont="1"/>
    <xf numFmtId="164" fontId="57" fillId="25" borderId="20" xfId="1" applyNumberFormat="1" applyFont="1" applyFill="1" applyBorder="1" applyAlignment="1">
      <alignment wrapText="1"/>
    </xf>
    <xf numFmtId="164" fontId="57" fillId="25" borderId="20" xfId="1" applyNumberFormat="1" applyFont="1" applyFill="1" applyBorder="1" applyAlignment="1">
      <alignment vertical="center" wrapText="1"/>
    </xf>
    <xf numFmtId="164" fontId="58" fillId="4" borderId="23" xfId="1" applyNumberFormat="1" applyFont="1" applyFill="1" applyBorder="1" applyAlignment="1" applyProtection="1">
      <alignment vertical="center"/>
    </xf>
    <xf numFmtId="164" fontId="59" fillId="0" borderId="20" xfId="1" applyNumberFormat="1" applyFont="1" applyBorder="1" applyAlignment="1">
      <alignment vertical="center"/>
    </xf>
    <xf numFmtId="164" fontId="61" fillId="28" borderId="23" xfId="1" applyNumberFormat="1" applyFont="1" applyFill="1" applyBorder="1" applyAlignment="1" applyProtection="1">
      <alignment vertical="center"/>
    </xf>
    <xf numFmtId="164" fontId="57" fillId="6" borderId="20" xfId="1" quotePrefix="1" applyNumberFormat="1" applyFont="1" applyFill="1" applyBorder="1" applyAlignment="1">
      <alignment wrapText="1"/>
    </xf>
    <xf numFmtId="164" fontId="57" fillId="6" borderId="20" xfId="1" quotePrefix="1" applyNumberFormat="1" applyFont="1" applyFill="1" applyBorder="1" applyAlignment="1">
      <alignment vertical="center" wrapText="1"/>
    </xf>
    <xf numFmtId="164" fontId="58" fillId="4" borderId="20" xfId="1" applyNumberFormat="1" applyFont="1" applyFill="1" applyBorder="1" applyAlignment="1" applyProtection="1">
      <alignment vertical="center"/>
    </xf>
    <xf numFmtId="164" fontId="51" fillId="0" borderId="20" xfId="1" applyNumberFormat="1" applyFont="1" applyBorder="1"/>
    <xf numFmtId="164" fontId="61" fillId="28" borderId="23" xfId="1" applyNumberFormat="1" applyFont="1" applyFill="1" applyBorder="1" applyAlignment="1">
      <alignment vertical="center"/>
    </xf>
    <xf numFmtId="9" fontId="46" fillId="0" borderId="0" xfId="2" applyFont="1"/>
    <xf numFmtId="9" fontId="51" fillId="0" borderId="0" xfId="2" applyFont="1"/>
    <xf numFmtId="9" fontId="52" fillId="0" borderId="0" xfId="2" applyFont="1"/>
    <xf numFmtId="9" fontId="57" fillId="6" borderId="20" xfId="2" quotePrefix="1" applyFont="1" applyFill="1" applyBorder="1" applyAlignment="1">
      <alignment wrapText="1"/>
    </xf>
    <xf numFmtId="9" fontId="57" fillId="6" borderId="20" xfId="2" quotePrefix="1" applyFont="1" applyFill="1" applyBorder="1" applyAlignment="1">
      <alignment vertical="center" wrapText="1"/>
    </xf>
    <xf numFmtId="9" fontId="58" fillId="4" borderId="20" xfId="2" applyFont="1" applyFill="1" applyBorder="1" applyAlignment="1" applyProtection="1">
      <alignment vertical="center"/>
    </xf>
    <xf numFmtId="9" fontId="59" fillId="0" borderId="20" xfId="2" applyFont="1" applyBorder="1" applyAlignment="1">
      <alignment vertical="center"/>
    </xf>
    <xf numFmtId="9" fontId="58" fillId="4" borderId="23" xfId="2" applyFont="1" applyFill="1" applyBorder="1" applyAlignment="1" applyProtection="1">
      <alignment vertical="center"/>
    </xf>
    <xf numFmtId="9" fontId="51" fillId="0" borderId="20" xfId="2" applyFont="1" applyBorder="1"/>
    <xf numFmtId="9" fontId="61" fillId="28" borderId="23" xfId="2" applyFont="1" applyFill="1" applyBorder="1" applyAlignment="1">
      <alignment vertical="center"/>
    </xf>
    <xf numFmtId="164" fontId="58" fillId="4" borderId="35" xfId="1" applyNumberFormat="1" applyFont="1" applyFill="1" applyBorder="1" applyAlignment="1" applyProtection="1">
      <alignment vertical="center"/>
    </xf>
    <xf numFmtId="9" fontId="58" fillId="4" borderId="35" xfId="2" applyFont="1" applyFill="1" applyBorder="1" applyAlignment="1" applyProtection="1">
      <alignment vertical="center"/>
    </xf>
    <xf numFmtId="164" fontId="59" fillId="0" borderId="95" xfId="1" applyNumberFormat="1" applyFont="1" applyBorder="1" applyAlignment="1">
      <alignment vertical="center"/>
    </xf>
    <xf numFmtId="9" fontId="59" fillId="0" borderId="95" xfId="2" applyFont="1" applyBorder="1" applyAlignment="1">
      <alignment vertical="center"/>
    </xf>
    <xf numFmtId="164" fontId="59" fillId="0" borderId="96" xfId="1" applyNumberFormat="1" applyFont="1" applyBorder="1" applyAlignment="1">
      <alignment vertical="center"/>
    </xf>
    <xf numFmtId="9" fontId="59" fillId="0" borderId="96" xfId="2" applyFont="1" applyBorder="1" applyAlignment="1">
      <alignment vertical="center"/>
    </xf>
    <xf numFmtId="164" fontId="51" fillId="0" borderId="96" xfId="1" applyNumberFormat="1" applyFont="1" applyBorder="1" applyAlignment="1">
      <alignment vertical="center"/>
    </xf>
    <xf numFmtId="9" fontId="51" fillId="0" borderId="96" xfId="2" applyFont="1" applyBorder="1" applyAlignment="1">
      <alignment vertical="center"/>
    </xf>
    <xf numFmtId="0" fontId="12" fillId="0" borderId="42" xfId="0" quotePrefix="1" applyFont="1" applyBorder="1" applyAlignment="1">
      <alignment horizontal="left" vertical="center"/>
    </xf>
    <xf numFmtId="0" fontId="59" fillId="0" borderId="0" xfId="26" applyNumberFormat="1" applyFont="1" applyFill="1" applyBorder="1" applyAlignment="1">
      <alignment horizontal="left" vertical="center"/>
    </xf>
    <xf numFmtId="164" fontId="59" fillId="0" borderId="0" xfId="26" applyNumberFormat="1" applyFont="1" applyFill="1" applyBorder="1" applyAlignment="1">
      <alignment horizontal="left" vertical="center"/>
    </xf>
    <xf numFmtId="166" fontId="6" fillId="0" borderId="20" xfId="1" applyNumberFormat="1" applyFont="1" applyBorder="1" applyAlignment="1">
      <alignment vertical="center"/>
    </xf>
    <xf numFmtId="0" fontId="12" fillId="0" borderId="38" xfId="0" quotePrefix="1" applyFont="1" applyBorder="1" applyAlignment="1">
      <alignment horizontal="left" vertical="center"/>
    </xf>
    <xf numFmtId="0" fontId="59" fillId="6" borderId="23" xfId="14" applyFont="1" applyFill="1" applyBorder="1" applyAlignment="1">
      <alignment horizontal="left" vertical="center"/>
    </xf>
    <xf numFmtId="182" fontId="51" fillId="6" borderId="23" xfId="24" applyNumberFormat="1" applyFont="1" applyFill="1" applyBorder="1" applyAlignment="1" applyProtection="1">
      <alignment vertical="center"/>
    </xf>
    <xf numFmtId="0" fontId="51" fillId="6" borderId="0" xfId="25" applyFont="1" applyFill="1" applyAlignment="1">
      <alignment vertical="center"/>
    </xf>
    <xf numFmtId="164" fontId="59" fillId="6" borderId="20" xfId="1" applyNumberFormat="1" applyFont="1" applyFill="1" applyBorder="1" applyAlignment="1">
      <alignment vertical="center"/>
    </xf>
    <xf numFmtId="9" fontId="59" fillId="6" borderId="20" xfId="2" applyFont="1" applyFill="1" applyBorder="1" applyAlignment="1">
      <alignment vertical="center"/>
    </xf>
    <xf numFmtId="0" fontId="59" fillId="6" borderId="0" xfId="25" applyFont="1" applyFill="1" applyAlignment="1">
      <alignment vertical="center"/>
    </xf>
    <xf numFmtId="169" fontId="12" fillId="15" borderId="20" xfId="9" applyNumberFormat="1" applyFont="1" applyFill="1" applyBorder="1" applyAlignment="1">
      <alignment horizontal="center" vertical="center"/>
    </xf>
    <xf numFmtId="167" fontId="12" fillId="0" borderId="0" xfId="1" applyNumberFormat="1" applyFont="1" applyAlignment="1">
      <alignment vertical="center"/>
    </xf>
    <xf numFmtId="167" fontId="0" fillId="0" borderId="0" xfId="0" applyNumberFormat="1"/>
    <xf numFmtId="0" fontId="12" fillId="14" borderId="43" xfId="0" applyFont="1" applyFill="1" applyBorder="1" applyAlignment="1">
      <alignment horizontal="center" vertical="center"/>
    </xf>
    <xf numFmtId="177" fontId="11" fillId="14" borderId="20" xfId="1" applyNumberFormat="1" applyFont="1" applyFill="1" applyBorder="1" applyAlignment="1">
      <alignment vertical="center"/>
    </xf>
    <xf numFmtId="167" fontId="12" fillId="14" borderId="37" xfId="1" applyNumberFormat="1" applyFont="1" applyFill="1" applyBorder="1" applyAlignment="1">
      <alignment vertical="center"/>
    </xf>
    <xf numFmtId="165" fontId="12" fillId="14" borderId="37" xfId="2" applyNumberFormat="1" applyFont="1" applyFill="1" applyBorder="1" applyAlignment="1">
      <alignment vertical="center"/>
    </xf>
    <xf numFmtId="165" fontId="12" fillId="0" borderId="38" xfId="2" applyNumberFormat="1" applyFont="1" applyBorder="1" applyAlignment="1">
      <alignment vertical="center"/>
    </xf>
    <xf numFmtId="165" fontId="12" fillId="0" borderId="38" xfId="2" applyNumberFormat="1" applyFont="1" applyFill="1" applyBorder="1" applyAlignment="1">
      <alignment vertical="center"/>
    </xf>
    <xf numFmtId="167" fontId="11" fillId="14" borderId="38" xfId="1" applyNumberFormat="1" applyFont="1" applyFill="1" applyBorder="1" applyAlignment="1">
      <alignment vertical="center"/>
    </xf>
    <xf numFmtId="165" fontId="11" fillId="14" borderId="38" xfId="2" applyNumberFormat="1" applyFont="1" applyFill="1" applyBorder="1" applyAlignment="1">
      <alignment vertical="center"/>
    </xf>
    <xf numFmtId="0" fontId="12" fillId="0" borderId="46" xfId="0" applyFont="1" applyBorder="1" applyAlignment="1">
      <alignment horizontal="center"/>
    </xf>
    <xf numFmtId="0" fontId="16" fillId="14" borderId="41" xfId="0" applyFont="1" applyFill="1" applyBorder="1" applyAlignment="1">
      <alignment horizontal="center" vertical="center"/>
    </xf>
    <xf numFmtId="167" fontId="11" fillId="0" borderId="0" xfId="1" applyNumberFormat="1" applyFont="1" applyAlignment="1">
      <alignment horizontal="right" vertical="center"/>
    </xf>
    <xf numFmtId="164" fontId="12" fillId="0" borderId="30" xfId="1" applyNumberFormat="1" applyFont="1" applyBorder="1" applyAlignment="1">
      <alignment horizontal="center" vertical="center"/>
    </xf>
    <xf numFmtId="167" fontId="11" fillId="0" borderId="4" xfId="1" applyNumberFormat="1" applyFont="1" applyBorder="1" applyAlignment="1">
      <alignment vertical="center"/>
    </xf>
    <xf numFmtId="167" fontId="11" fillId="0" borderId="0" xfId="1" applyNumberFormat="1" applyFont="1" applyAlignment="1">
      <alignment horizontal="right"/>
    </xf>
    <xf numFmtId="167" fontId="12" fillId="0" borderId="0" xfId="1" applyNumberFormat="1" applyFont="1"/>
    <xf numFmtId="165" fontId="12" fillId="0" borderId="38" xfId="2" applyNumberFormat="1" applyFont="1" applyBorder="1"/>
    <xf numFmtId="165" fontId="12" fillId="0" borderId="38" xfId="2" applyNumberFormat="1" applyFont="1" applyFill="1" applyBorder="1"/>
    <xf numFmtId="167" fontId="12" fillId="0" borderId="38" xfId="1" applyNumberFormat="1" applyFont="1" applyBorder="1"/>
    <xf numFmtId="0" fontId="12" fillId="0" borderId="42" xfId="0" applyFont="1" applyBorder="1" applyAlignment="1">
      <alignment horizontal="center"/>
    </xf>
    <xf numFmtId="0" fontId="12" fillId="8" borderId="42" xfId="0" applyFont="1" applyFill="1" applyBorder="1" applyAlignment="1">
      <alignment vertical="center"/>
    </xf>
    <xf numFmtId="0" fontId="16" fillId="4" borderId="41" xfId="0" applyFont="1" applyFill="1" applyBorder="1" applyAlignment="1">
      <alignment horizontal="center" vertical="center"/>
    </xf>
    <xf numFmtId="167" fontId="57" fillId="4" borderId="20" xfId="0" applyNumberFormat="1" applyFont="1" applyFill="1" applyBorder="1" applyAlignment="1">
      <alignment vertical="center"/>
    </xf>
    <xf numFmtId="167" fontId="57" fillId="4" borderId="39" xfId="1" applyNumberFormat="1" applyFont="1" applyFill="1" applyBorder="1" applyAlignment="1">
      <alignment vertical="center"/>
    </xf>
    <xf numFmtId="9" fontId="51" fillId="4" borderId="39" xfId="2" applyFont="1" applyFill="1" applyBorder="1" applyAlignment="1">
      <alignment vertical="center"/>
    </xf>
    <xf numFmtId="164" fontId="76" fillId="0" borderId="0" xfId="1" applyNumberFormat="1" applyFont="1"/>
    <xf numFmtId="0" fontId="51" fillId="0" borderId="0" xfId="0" quotePrefix="1" applyFont="1"/>
    <xf numFmtId="0" fontId="51" fillId="0" borderId="0" xfId="0" applyFont="1" applyAlignment="1">
      <alignment horizontal="center"/>
    </xf>
    <xf numFmtId="0" fontId="57" fillId="0" borderId="0" xfId="0" applyFont="1"/>
    <xf numFmtId="167" fontId="51" fillId="0" borderId="0" xfId="0" applyNumberFormat="1" applyFont="1"/>
    <xf numFmtId="43" fontId="12" fillId="0" borderId="0" xfId="1" applyFont="1" applyAlignment="1">
      <alignment vertical="center" wrapText="1"/>
    </xf>
    <xf numFmtId="164" fontId="11" fillId="0" borderId="0" xfId="1" applyNumberFormat="1" applyFont="1"/>
    <xf numFmtId="167" fontId="11" fillId="0" borderId="4" xfId="1" applyNumberFormat="1" applyFont="1" applyFill="1" applyBorder="1" applyAlignment="1">
      <alignment vertical="center"/>
    </xf>
    <xf numFmtId="167" fontId="11" fillId="0" borderId="39" xfId="1" applyNumberFormat="1" applyFont="1" applyFill="1" applyBorder="1"/>
    <xf numFmtId="0" fontId="12" fillId="0" borderId="0" xfId="20" applyFont="1"/>
    <xf numFmtId="164" fontId="12" fillId="0" borderId="7" xfId="20" applyNumberFormat="1" applyFont="1" applyBorder="1" applyAlignment="1">
      <alignment horizontal="center"/>
    </xf>
    <xf numFmtId="164" fontId="40" fillId="0" borderId="28" xfId="20" applyNumberFormat="1" applyFont="1" applyBorder="1" applyAlignment="1">
      <alignment horizontal="center"/>
    </xf>
    <xf numFmtId="164" fontId="5" fillId="3" borderId="20" xfId="20" applyNumberFormat="1" applyFont="1" applyFill="1" applyBorder="1" applyAlignment="1">
      <alignment horizontal="center" vertical="center"/>
    </xf>
    <xf numFmtId="9" fontId="6" fillId="0" borderId="0" xfId="2" applyFont="1"/>
    <xf numFmtId="43" fontId="6" fillId="0" borderId="0" xfId="1" applyFont="1"/>
    <xf numFmtId="0" fontId="12" fillId="0" borderId="9" xfId="20" applyFont="1" applyBorder="1" applyAlignment="1">
      <alignment horizontal="center" wrapText="1"/>
    </xf>
    <xf numFmtId="164" fontId="12" fillId="0" borderId="9" xfId="3" quotePrefix="1" applyNumberFormat="1" applyFont="1" applyBorder="1"/>
    <xf numFmtId="168" fontId="12" fillId="0" borderId="20" xfId="8" quotePrefix="1" applyNumberFormat="1" applyFont="1" applyFill="1" applyBorder="1" applyAlignment="1">
      <alignment horizontal="right" vertical="center" wrapText="1"/>
    </xf>
    <xf numFmtId="164" fontId="12" fillId="15" borderId="20" xfId="1" applyNumberFormat="1" applyFont="1" applyFill="1" applyBorder="1" applyAlignment="1" applyProtection="1">
      <alignment horizontal="right" vertical="center"/>
    </xf>
    <xf numFmtId="9" fontId="12" fillId="0" borderId="0" xfId="2" applyFont="1"/>
    <xf numFmtId="164" fontId="11" fillId="3" borderId="1" xfId="1" applyNumberFormat="1" applyFont="1" applyFill="1" applyBorder="1" applyAlignment="1" applyProtection="1">
      <alignment horizontal="right" vertical="center"/>
    </xf>
    <xf numFmtId="0" fontId="12" fillId="15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/>
    </xf>
    <xf numFmtId="164" fontId="12" fillId="0" borderId="1" xfId="1" applyNumberFormat="1" applyFont="1" applyFill="1" applyBorder="1" applyAlignment="1" applyProtection="1">
      <alignment horizontal="right" vertical="center"/>
    </xf>
    <xf numFmtId="164" fontId="11" fillId="2" borderId="1" xfId="1" applyNumberFormat="1" applyFont="1" applyFill="1" applyBorder="1" applyAlignment="1" applyProtection="1">
      <alignment horizontal="right" vertical="center"/>
    </xf>
    <xf numFmtId="164" fontId="12" fillId="0" borderId="20" xfId="1" applyNumberFormat="1" applyFont="1" applyFill="1" applyBorder="1" applyAlignment="1" applyProtection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164" fontId="11" fillId="3" borderId="20" xfId="1" applyNumberFormat="1" applyFont="1" applyFill="1" applyBorder="1" applyAlignment="1" applyProtection="1">
      <alignment horizontal="right" vertical="center"/>
    </xf>
    <xf numFmtId="164" fontId="11" fillId="0" borderId="20" xfId="1" applyNumberFormat="1" applyFont="1" applyFill="1" applyBorder="1" applyAlignment="1" applyProtection="1">
      <alignment horizontal="right" vertical="center"/>
    </xf>
    <xf numFmtId="0" fontId="12" fillId="0" borderId="20" xfId="0" quotePrefix="1" applyFont="1" applyBorder="1" applyAlignment="1">
      <alignment horizontal="center" vertical="center"/>
    </xf>
    <xf numFmtId="0" fontId="12" fillId="15" borderId="20" xfId="0" quotePrefix="1" applyFont="1" applyFill="1" applyBorder="1" applyAlignment="1">
      <alignment horizontal="center" vertical="center"/>
    </xf>
    <xf numFmtId="164" fontId="25" fillId="0" borderId="0" xfId="1" applyNumberFormat="1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2" fillId="8" borderId="39" xfId="0" applyFont="1" applyFill="1" applyBorder="1" applyAlignment="1">
      <alignment vertical="center" wrapText="1"/>
    </xf>
    <xf numFmtId="0" fontId="12" fillId="8" borderId="4" xfId="0" applyFont="1" applyFill="1" applyBorder="1" applyAlignment="1">
      <alignment vertical="center" wrapText="1"/>
    </xf>
    <xf numFmtId="0" fontId="11" fillId="14" borderId="20" xfId="0" applyFont="1" applyFill="1" applyBorder="1" applyAlignment="1">
      <alignment horizontal="center" vertical="center" wrapText="1"/>
    </xf>
    <xf numFmtId="164" fontId="51" fillId="0" borderId="0" xfId="0" applyNumberFormat="1" applyFont="1"/>
    <xf numFmtId="167" fontId="12" fillId="6" borderId="37" xfId="1" applyNumberFormat="1" applyFont="1" applyFill="1" applyBorder="1" applyAlignment="1">
      <alignment vertical="center"/>
    </xf>
    <xf numFmtId="167" fontId="12" fillId="6" borderId="38" xfId="1" applyNumberFormat="1" applyFont="1" applyFill="1" applyBorder="1" applyAlignment="1">
      <alignment vertical="center"/>
    </xf>
    <xf numFmtId="167" fontId="11" fillId="6" borderId="38" xfId="1" applyNumberFormat="1" applyFont="1" applyFill="1" applyBorder="1"/>
    <xf numFmtId="167" fontId="11" fillId="5" borderId="38" xfId="1" applyNumberFormat="1" applyFont="1" applyFill="1" applyBorder="1"/>
    <xf numFmtId="167" fontId="11" fillId="6" borderId="38" xfId="1" applyNumberFormat="1" applyFont="1" applyFill="1" applyBorder="1" applyAlignment="1">
      <alignment vertical="center"/>
    </xf>
    <xf numFmtId="167" fontId="12" fillId="5" borderId="38" xfId="1" applyNumberFormat="1" applyFont="1" applyFill="1" applyBorder="1" applyAlignment="1">
      <alignment vertical="center"/>
    </xf>
    <xf numFmtId="167" fontId="12" fillId="31" borderId="38" xfId="1" applyNumberFormat="1" applyFont="1" applyFill="1" applyBorder="1" applyAlignment="1">
      <alignment vertical="center"/>
    </xf>
    <xf numFmtId="167" fontId="11" fillId="31" borderId="38" xfId="1" applyNumberFormat="1" applyFont="1" applyFill="1" applyBorder="1" applyAlignment="1">
      <alignment vertical="center"/>
    </xf>
    <xf numFmtId="167" fontId="11" fillId="0" borderId="0" xfId="0" applyNumberFormat="1" applyFont="1"/>
    <xf numFmtId="171" fontId="7" fillId="0" borderId="0" xfId="1" applyNumberFormat="1" applyFont="1" applyFill="1" applyAlignment="1">
      <alignment vertical="center"/>
    </xf>
    <xf numFmtId="43" fontId="12" fillId="0" borderId="0" xfId="1" applyFont="1" applyAlignment="1">
      <alignment vertical="center"/>
    </xf>
    <xf numFmtId="171" fontId="22" fillId="0" borderId="0" xfId="1" applyNumberFormat="1" applyFont="1" applyAlignment="1">
      <alignment vertical="center"/>
    </xf>
    <xf numFmtId="167" fontId="12" fillId="6" borderId="9" xfId="1" applyNumberFormat="1" applyFont="1" applyFill="1" applyBorder="1" applyAlignment="1">
      <alignment vertical="center"/>
    </xf>
    <xf numFmtId="167" fontId="6" fillId="0" borderId="0" xfId="0" applyNumberFormat="1" applyFont="1"/>
    <xf numFmtId="165" fontId="22" fillId="6" borderId="0" xfId="2" applyNumberFormat="1" applyFont="1" applyFill="1" applyAlignment="1">
      <alignment vertical="center"/>
    </xf>
    <xf numFmtId="0" fontId="31" fillId="6" borderId="0" xfId="0" applyFont="1" applyFill="1" applyAlignment="1">
      <alignment vertical="center"/>
    </xf>
    <xf numFmtId="171" fontId="31" fillId="11" borderId="5" xfId="1" applyNumberFormat="1" applyFont="1" applyFill="1" applyBorder="1" applyAlignment="1" applyProtection="1">
      <alignment vertical="center"/>
    </xf>
    <xf numFmtId="171" fontId="77" fillId="6" borderId="5" xfId="1" applyNumberFormat="1" applyFont="1" applyFill="1" applyBorder="1" applyAlignment="1" applyProtection="1">
      <alignment vertical="center"/>
    </xf>
    <xf numFmtId="0" fontId="11" fillId="6" borderId="20" xfId="0" applyFont="1" applyFill="1" applyBorder="1" applyAlignment="1">
      <alignment horizontal="center" vertical="center" wrapText="1"/>
    </xf>
    <xf numFmtId="165" fontId="63" fillId="0" borderId="0" xfId="2" applyNumberFormat="1" applyFont="1"/>
    <xf numFmtId="164" fontId="0" fillId="0" borderId="0" xfId="1" applyNumberFormat="1" applyFont="1"/>
    <xf numFmtId="164" fontId="78" fillId="6" borderId="0" xfId="0" applyNumberFormat="1" applyFont="1" applyFill="1"/>
    <xf numFmtId="165" fontId="0" fillId="0" borderId="0" xfId="2" applyNumberFormat="1" applyFont="1"/>
    <xf numFmtId="165" fontId="78" fillId="0" borderId="0" xfId="2" applyNumberFormat="1" applyFont="1"/>
    <xf numFmtId="165" fontId="79" fillId="0" borderId="0" xfId="2" applyNumberFormat="1" applyFont="1"/>
    <xf numFmtId="0" fontId="78" fillId="0" borderId="0" xfId="0" applyFont="1"/>
    <xf numFmtId="164" fontId="22" fillId="6" borderId="1" xfId="8" quotePrefix="1" applyNumberFormat="1" applyFont="1" applyFill="1" applyBorder="1" applyAlignment="1">
      <alignment horizontal="center" vertical="center" wrapText="1"/>
    </xf>
    <xf numFmtId="0" fontId="22" fillId="8" borderId="20" xfId="6" applyFont="1" applyFill="1" applyBorder="1" applyAlignment="1">
      <alignment horizontal="left" vertical="center" wrapText="1"/>
    </xf>
    <xf numFmtId="165" fontId="22" fillId="8" borderId="1" xfId="6" applyNumberFormat="1" applyFont="1" applyFill="1" applyBorder="1" applyAlignment="1">
      <alignment horizontal="center" vertical="center" wrapText="1"/>
    </xf>
    <xf numFmtId="164" fontId="22" fillId="8" borderId="1" xfId="1" quotePrefix="1" applyNumberFormat="1" applyFont="1" applyFill="1" applyBorder="1" applyAlignment="1">
      <alignment horizontal="right" vertical="center" wrapText="1"/>
    </xf>
    <xf numFmtId="164" fontId="22" fillId="0" borderId="1" xfId="1" quotePrefix="1" applyNumberFormat="1" applyFont="1" applyFill="1" applyBorder="1" applyAlignment="1">
      <alignment horizontal="center" vertical="center" wrapText="1"/>
    </xf>
    <xf numFmtId="0" fontId="22" fillId="8" borderId="1" xfId="6" applyFont="1" applyFill="1" applyBorder="1" applyAlignment="1">
      <alignment horizontal="left" vertical="center" wrapText="1"/>
    </xf>
    <xf numFmtId="9" fontId="80" fillId="6" borderId="20" xfId="2" applyFont="1" applyFill="1" applyBorder="1" applyAlignment="1">
      <alignment vertical="center"/>
    </xf>
    <xf numFmtId="9" fontId="12" fillId="0" borderId="0" xfId="0" applyNumberFormat="1" applyFont="1"/>
    <xf numFmtId="164" fontId="80" fillId="6" borderId="20" xfId="1" applyNumberFormat="1" applyFont="1" applyFill="1" applyBorder="1" applyAlignment="1">
      <alignment vertical="center"/>
    </xf>
    <xf numFmtId="165" fontId="31" fillId="6" borderId="0" xfId="2" applyNumberFormat="1" applyFont="1" applyFill="1" applyAlignment="1">
      <alignment vertical="center"/>
    </xf>
    <xf numFmtId="0" fontId="69" fillId="2" borderId="2" xfId="31" applyFont="1" applyFill="1" applyBorder="1" applyAlignment="1">
      <alignment horizontal="center" vertical="center"/>
    </xf>
    <xf numFmtId="0" fontId="69" fillId="2" borderId="43" xfId="31" applyFont="1" applyFill="1" applyBorder="1" applyAlignment="1">
      <alignment horizontal="center" vertical="center"/>
    </xf>
    <xf numFmtId="0" fontId="69" fillId="2" borderId="41" xfId="31" applyFont="1" applyFill="1" applyBorder="1" applyAlignment="1">
      <alignment horizontal="center" vertical="center"/>
    </xf>
    <xf numFmtId="186" fontId="69" fillId="0" borderId="24" xfId="30" applyFont="1" applyBorder="1" applyAlignment="1">
      <alignment horizontal="center" vertical="center" wrapText="1"/>
    </xf>
    <xf numFmtId="186" fontId="69" fillId="0" borderId="19" xfId="30" applyFont="1" applyBorder="1" applyAlignment="1">
      <alignment horizontal="center" vertical="center" wrapText="1"/>
    </xf>
    <xf numFmtId="186" fontId="69" fillId="0" borderId="4" xfId="30" applyFont="1" applyBorder="1" applyAlignment="1">
      <alignment horizontal="center" vertical="center" wrapText="1"/>
    </xf>
    <xf numFmtId="186" fontId="69" fillId="0" borderId="2" xfId="30" applyFont="1" applyBorder="1" applyAlignment="1">
      <alignment horizontal="center" vertical="center"/>
    </xf>
    <xf numFmtId="186" fontId="69" fillId="0" borderId="43" xfId="30" applyFont="1" applyBorder="1" applyAlignment="1">
      <alignment horizontal="center" vertical="center"/>
    </xf>
    <xf numFmtId="186" fontId="69" fillId="4" borderId="2" xfId="30" applyFont="1" applyFill="1" applyBorder="1" applyAlignment="1">
      <alignment horizontal="center" vertical="center"/>
    </xf>
    <xf numFmtId="186" fontId="69" fillId="4" borderId="43" xfId="30" applyFont="1" applyFill="1" applyBorder="1" applyAlignment="1">
      <alignment horizontal="center" vertical="center"/>
    </xf>
    <xf numFmtId="0" fontId="20" fillId="0" borderId="8" xfId="0" quotePrefix="1" applyFont="1" applyBorder="1" applyAlignment="1">
      <alignment horizontal="left" vertical="center" wrapText="1"/>
    </xf>
    <xf numFmtId="0" fontId="20" fillId="0" borderId="19" xfId="0" quotePrefix="1" applyFont="1" applyBorder="1" applyAlignment="1">
      <alignment horizontal="left" vertical="center" wrapText="1"/>
    </xf>
    <xf numFmtId="0" fontId="20" fillId="0" borderId="4" xfId="0" quotePrefix="1" applyFont="1" applyBorder="1" applyAlignment="1">
      <alignment horizontal="left" vertical="center" wrapText="1"/>
    </xf>
    <xf numFmtId="0" fontId="20" fillId="0" borderId="8" xfId="0" applyFont="1" applyBorder="1" applyAlignment="1">
      <alignment horizontal="right" vertical="center" wrapText="1"/>
    </xf>
    <xf numFmtId="0" fontId="20" fillId="0" borderId="19" xfId="0" applyFont="1" applyBorder="1" applyAlignment="1">
      <alignment horizontal="right" vertical="center" wrapText="1"/>
    </xf>
    <xf numFmtId="0" fontId="20" fillId="0" borderId="4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176" fontId="21" fillId="11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164" fontId="79" fillId="0" borderId="0" xfId="1" applyNumberFormat="1" applyFont="1"/>
    <xf numFmtId="171" fontId="22" fillId="0" borderId="0" xfId="1" applyNumberFormat="1" applyFont="1" applyFill="1" applyAlignment="1">
      <alignment vertical="center"/>
    </xf>
    <xf numFmtId="172" fontId="22" fillId="0" borderId="0" xfId="1" applyNumberFormat="1" applyFont="1" applyAlignment="1">
      <alignment vertical="center"/>
    </xf>
    <xf numFmtId="0" fontId="31" fillId="12" borderId="1" xfId="0" applyFont="1" applyFill="1" applyBorder="1" applyAlignment="1">
      <alignment horizontal="center" vertical="center" wrapText="1"/>
    </xf>
    <xf numFmtId="168" fontId="31" fillId="0" borderId="5" xfId="1" applyNumberFormat="1" applyFont="1" applyFill="1" applyBorder="1" applyAlignment="1">
      <alignment horizontal="right" vertical="center"/>
    </xf>
    <xf numFmtId="168" fontId="22" fillId="0" borderId="5" xfId="1" applyNumberFormat="1" applyFont="1" applyFill="1" applyBorder="1" applyAlignment="1">
      <alignment horizontal="right" vertical="center"/>
    </xf>
    <xf numFmtId="171" fontId="77" fillId="0" borderId="5" xfId="1" applyNumberFormat="1" applyFont="1" applyFill="1" applyBorder="1" applyAlignment="1" applyProtection="1">
      <alignment vertical="center"/>
    </xf>
    <xf numFmtId="171" fontId="31" fillId="0" borderId="5" xfId="1" applyNumberFormat="1" applyFont="1" applyFill="1" applyBorder="1" applyAlignment="1" applyProtection="1">
      <alignment vertical="center"/>
    </xf>
    <xf numFmtId="171" fontId="22" fillId="0" borderId="5" xfId="1" applyNumberFormat="1" applyFont="1" applyFill="1" applyBorder="1" applyAlignment="1" applyProtection="1">
      <alignment vertical="center"/>
    </xf>
    <xf numFmtId="174" fontId="77" fillId="0" borderId="5" xfId="2" applyNumberFormat="1" applyFont="1" applyFill="1" applyBorder="1" applyAlignment="1" applyProtection="1">
      <alignment vertical="center"/>
    </xf>
    <xf numFmtId="175" fontId="77" fillId="0" borderId="5" xfId="2" applyNumberFormat="1" applyFont="1" applyFill="1" applyBorder="1" applyAlignment="1" applyProtection="1">
      <alignment vertical="center"/>
    </xf>
    <xf numFmtId="171" fontId="77" fillId="0" borderId="6" xfId="2" applyNumberFormat="1" applyFont="1" applyFill="1" applyBorder="1" applyAlignment="1" applyProtection="1">
      <alignment vertical="center"/>
    </xf>
    <xf numFmtId="164" fontId="31" fillId="0" borderId="0" xfId="2" applyNumberFormat="1" applyFont="1" applyAlignment="1">
      <alignment horizontal="center" vertical="center" wrapText="1"/>
    </xf>
    <xf numFmtId="168" fontId="22" fillId="0" borderId="0" xfId="1" applyNumberFormat="1" applyFont="1" applyAlignment="1">
      <alignment vertical="center" wrapText="1"/>
    </xf>
    <xf numFmtId="171" fontId="22" fillId="0" borderId="0" xfId="1" applyNumberFormat="1" applyFont="1" applyAlignment="1">
      <alignment vertical="center" wrapText="1"/>
    </xf>
    <xf numFmtId="164" fontId="31" fillId="0" borderId="0" xfId="1" applyNumberFormat="1" applyFont="1" applyFill="1" applyBorder="1" applyAlignment="1">
      <alignment horizontal="center" vertical="center" wrapText="1"/>
    </xf>
    <xf numFmtId="168" fontId="22" fillId="0" borderId="0" xfId="1" applyNumberFormat="1" applyFont="1" applyAlignment="1">
      <alignment vertical="center"/>
    </xf>
    <xf numFmtId="171" fontId="11" fillId="6" borderId="5" xfId="1" applyNumberFormat="1" applyFont="1" applyFill="1" applyBorder="1" applyAlignment="1" applyProtection="1">
      <alignment vertical="center"/>
    </xf>
  </cellXfs>
  <cellStyles count="32">
    <cellStyle name="Comma" xfId="1" builtinId="3"/>
    <cellStyle name="Comma 2" xfId="4" xr:uid="{926A5026-5A3F-49C0-9399-1A20096F1FE0}"/>
    <cellStyle name="Comma 2 23" xfId="19" xr:uid="{A04D68BF-DFD2-46BF-B848-AF3C92224341}"/>
    <cellStyle name="Comma 3" xfId="7" xr:uid="{B474DD43-EA50-48D1-B98F-1B9F56BAC6B3}"/>
    <cellStyle name="Comma 3 2" xfId="8" xr:uid="{EACF3D69-FECE-4308-B63A-A76218B92453}"/>
    <cellStyle name="Comma 3 3" xfId="22" xr:uid="{EA9E0D75-C947-4634-812B-4733C84E2031}"/>
    <cellStyle name="Comma 3 5" xfId="29" xr:uid="{1D812D90-DDA8-4D7D-8EB4-773A7E999724}"/>
    <cellStyle name="Comma 4" xfId="18" xr:uid="{8F7EBAC9-8E63-42F0-B9EC-7E9163C227C3}"/>
    <cellStyle name="Comma 4 2" xfId="24" xr:uid="{7EC4AE19-D49F-4919-95BD-F4721BDD3D2C}"/>
    <cellStyle name="Comma 4 4" xfId="11" xr:uid="{DDBCFF44-545F-420D-9AF8-B4D387B15D1F}"/>
    <cellStyle name="Comma 5" xfId="26" xr:uid="{0CCF55B3-BC0A-4D81-ABD1-24E17CBD6832}"/>
    <cellStyle name="Comma 7" xfId="27" xr:uid="{0A9F51E0-8111-4021-A9EB-382E0BDCA523}"/>
    <cellStyle name="Heading 3 2" xfId="10" xr:uid="{5BA03602-9E48-41DF-A75F-B8918731E8E7}"/>
    <cellStyle name="Normal" xfId="0" builtinId="0"/>
    <cellStyle name="Normal 10" xfId="13" xr:uid="{B2605B93-842E-4D73-9AFC-7635900E1B9D}"/>
    <cellStyle name="Normal 13" xfId="31" xr:uid="{BD2EBB6E-F55C-47B9-9D84-A7E3144B5F25}"/>
    <cellStyle name="Normal 14" xfId="14" xr:uid="{ECA06A67-C5B5-4ED7-9115-DDB83E924C94}"/>
    <cellStyle name="Normal 16" xfId="12" xr:uid="{87CFA66A-954A-4EB1-88BE-653D2D2F9CE3}"/>
    <cellStyle name="Normal 2" xfId="3" xr:uid="{9C75E37B-065D-4DA9-908D-9224E8CA1E73}"/>
    <cellStyle name="Normal 2 2" xfId="20" xr:uid="{A3EE9909-F808-46FF-B92A-43E1AA2DCF69}"/>
    <cellStyle name="Normal 2 3 6" xfId="21" xr:uid="{72EFB091-AE9D-400F-A8E2-2101F1CD58C4}"/>
    <cellStyle name="Normal 2 3 6 2" xfId="23" xr:uid="{390B07F7-73DD-41EB-A559-77A79CC270DA}"/>
    <cellStyle name="Normal 3" xfId="6" xr:uid="{C0D1B399-6EF7-44B0-B1F4-B1842A9007C4}"/>
    <cellStyle name="Normal 4" xfId="15" xr:uid="{73122E15-3E2C-429F-AE2D-04FA71D79A00}"/>
    <cellStyle name="Normal 5" xfId="17" xr:uid="{FC5EBA7A-F923-4DF7-905C-739F32B817CA}"/>
    <cellStyle name="Normal 6" xfId="25" xr:uid="{71B9A9DD-BBE9-4EF3-BC59-305EE5AE16DE}"/>
    <cellStyle name="Normal 7" xfId="9" xr:uid="{FCB62CD4-9C3C-43B8-886D-1C443FE19297}"/>
    <cellStyle name="Normal 8" xfId="28" xr:uid="{F04973B6-808F-4F82-A2BA-7472A636D1E3}"/>
    <cellStyle name="Normal_SCHEDULE" xfId="30" xr:uid="{54F35A8D-2B7B-4D70-84EB-78741A8A1F8D}"/>
    <cellStyle name="Percent" xfId="2" builtinId="5"/>
    <cellStyle name="Percent 2" xfId="5" xr:uid="{020157BF-FCB1-4234-A162-EEBA0C281572}"/>
    <cellStyle name="Percent 3" xfId="16" xr:uid="{C18B6028-9CA4-4525-BEE8-303BCAF727AF}"/>
  </cellStyles>
  <dxfs count="3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30" formatCode="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0000CC"/>
      <color rgb="FF0000FF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25.xml"/><Relationship Id="rId55" Type="http://schemas.openxmlformats.org/officeDocument/2006/relationships/theme" Target="theme/theme1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microsoft.com/office/2017/06/relationships/rdRichValueStructure" Target="richData/rdrichvaluestructure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microsoft.com/office/2022/10/relationships/richValueRel" Target="richData/richValueRel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3</xdr:row>
      <xdr:rowOff>31149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25BAC-9366-4520-846D-BCD9EB75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1151070" cy="310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192978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FDAB4-5389-49DE-A37F-E756EB52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0" cy="381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31735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BFD5A-4BEB-4D98-9C3C-D91F189B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0" cy="3818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45720</xdr:colOff>
      <xdr:row>56</xdr:row>
      <xdr:rowOff>60960</xdr:rowOff>
    </xdr:from>
    <xdr:to>
      <xdr:col>20</xdr:col>
      <xdr:colOff>266700</xdr:colOff>
      <xdr:row>57</xdr:row>
      <xdr:rowOff>15240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0C08CBF-92FB-E055-D2E6-2B43E0BCE760}"/>
            </a:ext>
          </a:extLst>
        </xdr:cNvPr>
        <xdr:cNvSpPr/>
      </xdr:nvSpPr>
      <xdr:spPr>
        <a:xfrm>
          <a:off x="4061460" y="9532620"/>
          <a:ext cx="220980" cy="129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201706</xdr:colOff>
      <xdr:row>32</xdr:row>
      <xdr:rowOff>29882</xdr:rowOff>
    </xdr:from>
    <xdr:to>
      <xdr:col>53</xdr:col>
      <xdr:colOff>574289</xdr:colOff>
      <xdr:row>50</xdr:row>
      <xdr:rowOff>33834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F9589-9E4B-4CD4-9621-96E8CBCA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77000" y="5797176"/>
          <a:ext cx="5288230" cy="3051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289560</xdr:colOff>
      <xdr:row>0</xdr:row>
      <xdr:rowOff>144780</xdr:rowOff>
    </xdr:from>
    <xdr:to>
      <xdr:col>38</xdr:col>
      <xdr:colOff>434340</xdr:colOff>
      <xdr:row>1</xdr:row>
      <xdr:rowOff>144780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36E3DCF-5732-42E9-A577-AEC3CC4FEA90}"/>
            </a:ext>
          </a:extLst>
        </xdr:cNvPr>
        <xdr:cNvSpPr/>
      </xdr:nvSpPr>
      <xdr:spPr>
        <a:xfrm rot="5400000">
          <a:off x="33769300" y="15494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228600</xdr:colOff>
      <xdr:row>0</xdr:row>
      <xdr:rowOff>121920</xdr:rowOff>
    </xdr:from>
    <xdr:to>
      <xdr:col>40</xdr:col>
      <xdr:colOff>373380</xdr:colOff>
      <xdr:row>1</xdr:row>
      <xdr:rowOff>121920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2F5A05F-6AF5-451A-99AD-1CA903019B4D}"/>
            </a:ext>
          </a:extLst>
        </xdr:cNvPr>
        <xdr:cNvSpPr/>
      </xdr:nvSpPr>
      <xdr:spPr>
        <a:xfrm rot="5400000">
          <a:off x="34540190" y="13208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464820</xdr:colOff>
      <xdr:row>0</xdr:row>
      <xdr:rowOff>129540</xdr:rowOff>
    </xdr:from>
    <xdr:to>
      <xdr:col>43</xdr:col>
      <xdr:colOff>609600</xdr:colOff>
      <xdr:row>1</xdr:row>
      <xdr:rowOff>129540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B51319B-ECEE-4BAE-8D65-725F8331AC8B}"/>
            </a:ext>
          </a:extLst>
        </xdr:cNvPr>
        <xdr:cNvSpPr/>
      </xdr:nvSpPr>
      <xdr:spPr>
        <a:xfrm rot="5400000">
          <a:off x="35608260" y="13970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236220</xdr:colOff>
      <xdr:row>0</xdr:row>
      <xdr:rowOff>129540</xdr:rowOff>
    </xdr:from>
    <xdr:to>
      <xdr:col>44</xdr:col>
      <xdr:colOff>381000</xdr:colOff>
      <xdr:row>1</xdr:row>
      <xdr:rowOff>129540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E3B729C-C2E3-4E36-BC1E-CA9858C5A43E}"/>
            </a:ext>
          </a:extLst>
        </xdr:cNvPr>
        <xdr:cNvSpPr/>
      </xdr:nvSpPr>
      <xdr:spPr>
        <a:xfrm rot="5400000">
          <a:off x="36522660" y="13970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243840</xdr:colOff>
      <xdr:row>0</xdr:row>
      <xdr:rowOff>137160</xdr:rowOff>
    </xdr:from>
    <xdr:to>
      <xdr:col>24</xdr:col>
      <xdr:colOff>388620</xdr:colOff>
      <xdr:row>1</xdr:row>
      <xdr:rowOff>137160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C6AC496F-8442-452D-85F5-2D1604250EF0}"/>
            </a:ext>
          </a:extLst>
        </xdr:cNvPr>
        <xdr:cNvSpPr/>
      </xdr:nvSpPr>
      <xdr:spPr>
        <a:xfrm rot="5400000">
          <a:off x="24960580" y="14732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MONTHLY/#RE_PLAN/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U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%20%20Rin\aa\tcrt\client\non%20tax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WPP%20-%20Apex%20(Chengdu)\Info%20from%20Apex\DERICKC\TECHN\CMSI\DIL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.sharepoint.com/sites/DTR-KD/Shared%20Documents/KD/Sales%20Forecast/2025/D&#7921;%20b&#225;o%20b&#225;n%20h&#224;ng%202025.xlsx" TargetMode="External"/><Relationship Id="rId1" Type="http://schemas.openxmlformats.org/officeDocument/2006/relationships/externalLinkPath" Target="https://dtg-my.sharepoint.com/personal/luuhongnhung_duytanrecycling_com/Documents/00.%20Ph&#242;ng%20Cung%20&#7912;ng/02.%20B&#225;o%20c&#225;o/3.%20B&#225;o%20c&#225;o%20n&#259;m/2025/AOP%202025/D&#7921;%20b&#225;o%20b&#225;n%20h&#224;ng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HOST-02\Cong%20ty\01%20Tai%20Chinh%20Ke%20Toan\02%20Bao%20Cao\01.Bao%20Cao%20Quan%20Tri\04.Nhom%20quan%20tri\1.Sang\Data%20sub%20&amp;%20thanh%20vien\Subgroup_CPDHCLFTD_2015%20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ngocanhtuan_duytan_com/Documents/HR%20Division/Scorecard/2.%20B&#225;o%20c&#225;o%20Ti&#7871;n%20&#273;&#7897;%20th&#7921;c%20hi&#7879;n/K&#7871;t%20qu&#7843;%20KPI%20042020%20g&#7917;i%20Kh&#225;n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baoquoc_duytan_com/Documents/B&#193;O%20C&#193;O%20T&#192;I%20CH&#205;NH%20K&#7870;%20TO&#193;N/B&#225;o%20c&#225;o%20KTQT%20T&#7893;ng%20H&#7907;p/B&#225;o%20C&#225;o%20KQKD/ketoantaichinh-KPI-20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nguyenngocanhtuan/OneDrive%20-%20DuyTan%20Plastics/HR%20Division/Scorecard/2.%20B&#225;o%20c&#225;o%20Ti&#7871;n%20&#273;&#7897;%20th&#7921;c%20hi&#7879;n/KPI-BC%20TGD-2020_NNAT%20-%20Thuc%20hien%20(042020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Users/khanhngoc/Desktop/TemplateImport_Human_Resource_Management_Systems_20200904173203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hoangpd_duytanrecycling_com/Documents/Hoang%20-%20DTR/Tram/KHNS,%20KPI%203%20Tram/KHNS%202025%20-%20DAI%20LOC.xlsx" TargetMode="External"/><Relationship Id="rId1" Type="http://schemas.openxmlformats.org/officeDocument/2006/relationships/externalLinkPath" Target="https://dtg-my.sharepoint.com/personal/hoangpd_duytanrecycling_com/Documents/Hoang%20-%20DTR/Tram/KHNS,%20KPI%203%20Tram/KHNS%202025%20-%20DAI%20LOC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Desktop/Handboo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ales%20Seasonality%20by%20Month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OneDrive%20-%20DuyTan%20Plastics/B&#193;O%20C&#193;O%20T&#192;I%20CH&#205;NH%20K&#7870;%20TO&#193;N/B&#225;o%20c&#225;o%20KTQT%20T&#7893;ng%20H&#7907;p/B&#225;o%20C&#225;o%20KQKD/6.%20Projections/Breakeven%20Point_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Reports\Single%20Measure%20Report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Relationship Id="rId1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oantth_khanhngarecycling_com/Documents/HONG%20LOAN/Ng&#226;n%20s&#225;ch/2026/02.%20Form%20k&#7871;%20ho&#7841;ch%20Capex%20-%20B&#7897;%20ph&#7853;n.xlsx" TargetMode="External"/><Relationship Id="rId1" Type="http://schemas.openxmlformats.org/officeDocument/2006/relationships/externalLinkPath" Target="https://dtg-my.sharepoint.com/personal/hoangpd_duytangroup_com/Documents/Hoang%20-%20DTR/Bao%20cao%20quan%20tri/KHNS%202026/KHNS%203%20Tram%202026/Khanh%20Nga/02.%20Form%20k&#7871;%20ho&#7841;ch%20Capex%20-%20B&#7897;%20ph&#7853;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filesvr03\Vinamilk2\BMA%20Advantage\BMA%20Advantage%203\PERFORMANCE%20Advantage\Data%20Files\Dimens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2%20Year%20Plan%202009-2010\Financial%20Models\FC%202%202008%20&amp;%202-1%20Plan%20-%20NOVEMBE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ce\2008\FC%202008\FC2-2008\UnisonTM%20Report\VN%20FC2%202008%20and%202009%20-%20TM1%20Reports_Sept_2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ervice%20Invoice9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Data%20Files\Dimens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penggehelp\Dhananjay\DOCUME~1\vinitt\LOCALS~1\Temp\basisbeam_december_20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etic\c\windows\TEMP\Nov%2020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nhn\Local%20Settings\Temporary%20Internet%20Files\Content.IE5\RB55PX9I\SaoLuu\O%20C\Accouthp\CTMT\HLC\tha\Tai%20Chinh-%20QT-Halang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ethuyngan_donglamrecycle_com/Documents/01.%20DONGLAM-TCKT/03.%20Ngan%20sach/Nam%202026/DTG_Annual%20Plan%202026.xlsx" TargetMode="External"/><Relationship Id="rId1" Type="http://schemas.openxmlformats.org/officeDocument/2006/relationships/externalLinkPath" Target="https://dtg-my.sharepoint.com/personal/hoangpd_duytangroup_com/Documents/Hoang%20-%20DTR/Bao%20cao%20quan%20tri/KHNS%202026/KHNS%203%20Tram%202026/Khanh%20Nga/DTG_Annual%20Plan%202026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oantth_khanhngarecycling_com/Documents/HONG%20LOAN/Ng&#226;n%20s&#225;ch/2026/From/3Tram_Bieu%20mau%20KHKD%202026%20-%20update%2020.10.2025.xlsx" TargetMode="External"/><Relationship Id="rId1" Type="http://schemas.openxmlformats.org/officeDocument/2006/relationships/externalLinkPath" Target="https://dtg-my.sharepoint.com/personal/loantth_khanhngarecycling_com/Documents/HONG%20LOAN/Ng&#226;n%20s&#225;ch/2026/From/3Tram_Bieu%20mau%20KHKD%202026%20-%20update%2020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sales3level"/>
      <sheetName val="Macro5"/>
      <sheetName val="Sheet1"/>
      <sheetName val="Sheet1 (2)"/>
      <sheetName val="Sheet2"/>
      <sheetName val="Tax coupon"/>
      <sheetName val="PGMMNG"/>
      <sheetName val="PRO-TOTAL"/>
      <sheetName val="UPC_SKU"/>
      <sheetName val="DDL"/>
      <sheetName val="ตารางคำนวณกระเบื้อง A"/>
      <sheetName val="BAL"/>
      <sheetName val="55555"/>
      <sheetName val="ใบปะหน้าใหม่ Bidding"/>
      <sheetName val="ต้นไม้ทางเท้า"/>
      <sheetName val="SH-E"/>
      <sheetName val="Structure"/>
      <sheetName val="ลูกหนี้(เก่า)"/>
      <sheetName val="stat local"/>
      <sheetName val="Law data"/>
      <sheetName val="4.1CAPEX_Additional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Index"/>
      <sheetName val="Volume Loco May 2015"/>
      <sheetName val="Summary"/>
      <sheetName val="Summary report"/>
      <sheetName val="Performance BP"/>
      <sheetName val="code"/>
      <sheetName val="MyWork"/>
      <sheetName val="data"/>
      <sheetName val="TYPE SD125"/>
      <sheetName val="Drop Down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Bill No. 2 - Carpark"/>
      <sheetName val="sheetNO"/>
      <sheetName val="คำชี้แจง"/>
      <sheetName val="SCG group"/>
      <sheetName val="com"/>
      <sheetName val="List"/>
      <sheetName val="2017"/>
      <sheetName val="43"/>
      <sheetName val="อ้างอิง"/>
      <sheetName val="Chart"/>
      <sheetName val="Comapny Name"/>
      <sheetName val="Company Name"/>
      <sheetName val="Mapping"/>
      <sheetName val="Master"/>
      <sheetName val="Prhd"/>
      <sheetName val="Control"/>
      <sheetName val="Cost center"/>
      <sheetName val="Account code"/>
      <sheetName val="S-Plant"/>
      <sheetName val="Office_plants"/>
      <sheetName val="Sheet3"/>
      <sheetName val="Driver"/>
      <sheetName val="ZPS02"/>
      <sheetName val="I-slab"/>
      <sheetName val="Goal"/>
      <sheetName val="Zone"/>
      <sheetName val="Northeast"/>
      <sheetName val="2018"/>
      <sheetName val="คำอธิบาย"/>
      <sheetName val="PNT-QUOT-#3"/>
      <sheetName val="PNT-P3"/>
      <sheetName val="data validation"/>
      <sheetName val="Sheet5"/>
      <sheetName val="ห้ามลบ"/>
      <sheetName val="Cases Actuals SAP"/>
      <sheetName val="Chilled Vol &amp; GS"/>
      <sheetName val="Master Query_SL"/>
      <sheetName val="Addresses"/>
      <sheetName val="PBSG Severance"/>
      <sheetName val="วัดใต้"/>
      <sheetName val="สาเหตุ Error "/>
      <sheetName val="Table Name"/>
      <sheetName val="FR"/>
      <sheetName val="SCG Chemicals group"/>
      <sheetName val="Ref"/>
      <sheetName val="Config"/>
      <sheetName val="Dont delete!!"/>
      <sheetName val="Vender list"/>
      <sheetName val="Production Queue GB"/>
      <sheetName val="cost center name"/>
      <sheetName val="L410"/>
      <sheetName val="Log CCR TG 3"/>
      <sheetName val="Month"/>
      <sheetName val="DTA"/>
      <sheetName val="2019"/>
      <sheetName val="Assumption"/>
      <sheetName val="Ms"/>
      <sheetName val="Variance"/>
      <sheetName val="Type ถูก House"/>
      <sheetName val="รายชื่อ"/>
      <sheetName val="TB(PY 2016)"/>
      <sheetName val="IS"/>
      <sheetName val="GL"/>
      <sheetName val="Risk Level"/>
      <sheetName val="Risk Category"/>
      <sheetName val="Business"/>
      <sheetName val="DD List"/>
      <sheetName val="Multi Rater"/>
      <sheetName val="#REF"/>
      <sheetName val="Status"/>
      <sheetName val="TP"/>
      <sheetName val="MasterTB"/>
      <sheetName val="F-1"/>
      <sheetName val="P300"/>
      <sheetName val="Materiality"/>
      <sheetName val="ดอกเบี้ย TR2560"/>
      <sheetName val="REPORT"/>
      <sheetName val="ชลทิพย์"/>
      <sheetName val="Trial Balance"/>
      <sheetName val="Reason"/>
      <sheetName val="Dropdown list "/>
      <sheetName val="Accure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Master TB"/>
      <sheetName val="H300"/>
      <sheetName val="F-3"/>
      <sheetName val="K400"/>
      <sheetName val="CF weekly"/>
      <sheetName val="1.CF (M)(Ratchatewee)"/>
      <sheetName val="1.CF (M)(Rama4)"/>
      <sheetName val="1.CF (M) (TL10ph2)"/>
      <sheetName val=""/>
      <sheetName val="BS"/>
      <sheetName val="stair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V1"/>
      <sheetName val="V7 Confirm RPT"/>
      <sheetName val="S300"/>
      <sheetName val="แยกงบ"/>
      <sheetName val="Summary 31Mar'20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beer-indstry"/>
      <sheetName val="2020"/>
      <sheetName val="TTL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Master COA V21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3 Architectural"/>
      <sheetName val="ESS Performance 2020+2021"/>
      <sheetName val="A"/>
      <sheetName val="Reference(do not delete)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Parameters"/>
      <sheetName val="PGM_2LEVYTD"/>
      <sheetName val="LS"/>
      <sheetName val="S330 Increase salary rate"/>
      <sheetName val="Mat"/>
      <sheetName val="MasterBrand"/>
      <sheetName val="data บัญชี"/>
      <sheetName val="ฐานข้อมูล"/>
      <sheetName val="Data (2)"/>
      <sheetName val="masterEO IO"/>
      <sheetName val="กำหนดค่า"/>
      <sheetName val="Employee EN"/>
      <sheetName val="Reference(do_not_delete)"/>
      <sheetName val="発停サイクル表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ไม่ใช้"/>
      <sheetName val="ใช้หน้านี้"/>
      <sheetName val="S-CUVE-2 14 M"/>
      <sheetName val="Mapping account"/>
      <sheetName val="S-CUVE-2_14_M"/>
      <sheetName val="Data_2"/>
      <sheetName val="설계내역서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Discounted Cash Flow"/>
      <sheetName val="6.ข้อมูลวัสดุ-ค่าดำเนิน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Wkgs_BS Lead"/>
      <sheetName val="ZA110 Sal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TT-2"/>
      <sheetName val="코드관리"/>
      <sheetName val="SUM-AIR-Submit"/>
      <sheetName val="KKC Brkdwn"/>
      <sheetName val="SPT vs PHI"/>
      <sheetName val="escon"/>
      <sheetName val="Store"/>
      <sheetName val="JobSetup"/>
      <sheetName val="Proposal Form"/>
      <sheetName val="BQ-Ext  "/>
      <sheetName val="Sch 2"/>
      <sheetName val="Commun"/>
      <sheetName val="NOT"/>
      <sheetName val="DataValidation_NotDelete"/>
      <sheetName val="Validation"/>
      <sheetName val="asset"/>
      <sheetName val="STart"/>
      <sheetName val="TL"/>
      <sheetName val="マスタ"/>
      <sheetName val="5200"/>
      <sheetName val="Demand"/>
      <sheetName val="Occ"/>
      <sheetName val="สรุป"/>
      <sheetName val="interest income from VMI"/>
      <sheetName val="interest payable to PSH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Customer Name"/>
      <sheetName val="Designated P&amp;L"/>
      <sheetName val="PROJECT BRIEF"/>
      <sheetName val="footing"/>
      <sheetName val="upa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สีแถมโซดา"/>
      <sheetName val="Activity Q1"/>
      <sheetName val="Sheet15"/>
      <sheetName val="Drop Down Lists"/>
      <sheetName val="List of Rem Entries - IS"/>
      <sheetName val="Factor F Data"/>
      <sheetName val="PL"/>
      <sheetName val="RE9604"/>
      <sheetName val="PDPC0908"/>
      <sheetName val="Rank"/>
      <sheetName val="TB 1-3"/>
      <sheetName val="J01"/>
      <sheetName val="summary1-2"/>
      <sheetName val="summary1-3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 ANALYSIS FP"/>
      <sheetName val="Info"/>
      <sheetName val="Data (Forecast-m3)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แผนใหม่-BG22 รายเอเย่นต์"/>
      <sheetName val="In AG VS Sub"/>
      <sheetName val="ขน2019"/>
      <sheetName val="ขน2020"/>
      <sheetName val="ขน2021"/>
      <sheetName val="Calendar_นายสรศักดิ์ กล่ำศรี"/>
      <sheetName val="ยอดขาย"/>
      <sheetName val="สรุปโซนโฟกัส TT"/>
      <sheetName val="Analytic Sales&amp;Cost"/>
      <sheetName val="DO"/>
      <sheetName val="磨煤加压"/>
      <sheetName val="มีค 64"/>
      <sheetName val="Vendors Database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slipsumpR"/>
      <sheetName val="TB 10"/>
      <sheetName val="30's-Components"/>
      <sheetName val="Page4"/>
      <sheetName val="Final Summary - Base"/>
      <sheetName val="1B"/>
      <sheetName val="drop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co 10"/>
      <sheetName val="Status Budget"/>
      <sheetName val="Spread"/>
      <sheetName val="5X"/>
      <sheetName val="Utility and Fire flange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3">
          <cell r="BC3" t="str">
            <v>QUOTATION  NO.   :</v>
          </cell>
        </row>
      </sheetData>
      <sheetData sheetId="275">
        <row r="3">
          <cell r="BC3" t="str">
            <v>QUOTATION  NO.   :</v>
          </cell>
        </row>
      </sheetData>
      <sheetData sheetId="276">
        <row r="3">
          <cell r="BC3" t="str">
            <v>QUOTATION  NO.   :</v>
          </cell>
        </row>
      </sheetData>
      <sheetData sheetId="277">
        <row r="3">
          <cell r="BC3" t="str">
            <v>QUOTATION  NO.   :</v>
          </cell>
        </row>
      </sheetData>
      <sheetData sheetId="278">
        <row r="3">
          <cell r="BC3" t="str">
            <v>QUOTATION  NO.   :</v>
          </cell>
        </row>
      </sheetData>
      <sheetData sheetId="279">
        <row r="3">
          <cell r="BC3" t="str">
            <v>QUOTATION  NO.   :</v>
          </cell>
        </row>
      </sheetData>
      <sheetData sheetId="280">
        <row r="3">
          <cell r="BC3" t="str">
            <v>QUOTATION  NO.   :</v>
          </cell>
        </row>
      </sheetData>
      <sheetData sheetId="281">
        <row r="3">
          <cell r="BC3" t="str">
            <v>QUOTATION  NO.   :</v>
          </cell>
        </row>
      </sheetData>
      <sheetData sheetId="282">
        <row r="3">
          <cell r="BC3" t="str">
            <v>QUOTATION  NO.   :</v>
          </cell>
        </row>
      </sheetData>
      <sheetData sheetId="283">
        <row r="3">
          <cell r="BC3" t="str">
            <v>QUOTATION  NO.   :</v>
          </cell>
        </row>
      </sheetData>
      <sheetData sheetId="284">
        <row r="3">
          <cell r="BC3" t="str">
            <v>QUOTATION  NO.   :</v>
          </cell>
        </row>
      </sheetData>
      <sheetData sheetId="285">
        <row r="3">
          <cell r="BC3" t="str">
            <v>QUOTATION  NO.   :</v>
          </cell>
        </row>
      </sheetData>
      <sheetData sheetId="286">
        <row r="3">
          <cell r="BC3" t="str">
            <v>QUOTATION  NO.   :</v>
          </cell>
        </row>
      </sheetData>
      <sheetData sheetId="287">
        <row r="3">
          <cell r="BC3" t="str">
            <v>QUOTATION  NO.   :</v>
          </cell>
        </row>
      </sheetData>
      <sheetData sheetId="288">
        <row r="3">
          <cell r="BC3" t="str">
            <v>QUOTATION  NO.   :</v>
          </cell>
        </row>
      </sheetData>
      <sheetData sheetId="289">
        <row r="3">
          <cell r="BC3" t="str">
            <v>QUOTATION  NO.   :</v>
          </cell>
        </row>
      </sheetData>
      <sheetData sheetId="290">
        <row r="3">
          <cell r="BC3" t="str">
            <v>QUOTATION  NO.   :</v>
          </cell>
        </row>
      </sheetData>
      <sheetData sheetId="291">
        <row r="3">
          <cell r="BC3" t="str">
            <v>QUOTATION  NO.   :</v>
          </cell>
        </row>
      </sheetData>
      <sheetData sheetId="292">
        <row r="3">
          <cell r="BC3" t="str">
            <v>QUOTATION  NO.   :</v>
          </cell>
        </row>
      </sheetData>
      <sheetData sheetId="293">
        <row r="3">
          <cell r="BC3" t="str">
            <v>QUOTATION  NO.   :</v>
          </cell>
        </row>
      </sheetData>
      <sheetData sheetId="294">
        <row r="3">
          <cell r="BC3" t="str">
            <v>QUOTATION  NO.   :</v>
          </cell>
        </row>
      </sheetData>
      <sheetData sheetId="295">
        <row r="3">
          <cell r="BC3" t="str">
            <v>QUOTATION  NO.   :</v>
          </cell>
        </row>
      </sheetData>
      <sheetData sheetId="296">
        <row r="3">
          <cell r="BC3" t="str">
            <v>QUOTATION  NO.   :</v>
          </cell>
        </row>
      </sheetData>
      <sheetData sheetId="297">
        <row r="3">
          <cell r="BC3" t="str">
            <v>QUOTATION  NO.   :</v>
          </cell>
        </row>
      </sheetData>
      <sheetData sheetId="298">
        <row r="3">
          <cell r="BC3" t="str">
            <v>QUOTATION  NO.   :</v>
          </cell>
        </row>
      </sheetData>
      <sheetData sheetId="299">
        <row r="3">
          <cell r="BC3" t="str">
            <v>QUOTATION  NO.   :</v>
          </cell>
        </row>
      </sheetData>
      <sheetData sheetId="300">
        <row r="3">
          <cell r="BC3" t="str">
            <v>QUOTATION  NO.   :</v>
          </cell>
        </row>
      </sheetData>
      <sheetData sheetId="301">
        <row r="3">
          <cell r="BC3" t="str">
            <v>QUOTATION  NO.   :</v>
          </cell>
        </row>
      </sheetData>
      <sheetData sheetId="302">
        <row r="3">
          <cell r="BC3" t="str">
            <v>QUOTATION  NO.   :</v>
          </cell>
        </row>
      </sheetData>
      <sheetData sheetId="303">
        <row r="3">
          <cell r="BC3" t="str">
            <v>QUOTATION  NO.   :</v>
          </cell>
        </row>
      </sheetData>
      <sheetData sheetId="304">
        <row r="3">
          <cell r="BC3" t="str">
            <v>QUOTATION  NO.   :</v>
          </cell>
        </row>
      </sheetData>
      <sheetData sheetId="305">
        <row r="3">
          <cell r="BC3" t="str">
            <v>QUOTATION  NO.   :</v>
          </cell>
        </row>
      </sheetData>
      <sheetData sheetId="306">
        <row r="3">
          <cell r="BC3" t="str">
            <v>QUOTATION  NO.   :</v>
          </cell>
        </row>
      </sheetData>
      <sheetData sheetId="307">
        <row r="3">
          <cell r="BC3" t="str">
            <v>QUOTATION  NO.   :</v>
          </cell>
        </row>
      </sheetData>
      <sheetData sheetId="308">
        <row r="3">
          <cell r="BC3" t="str">
            <v>QUOTATION  NO.   :</v>
          </cell>
        </row>
      </sheetData>
      <sheetData sheetId="309">
        <row r="3">
          <cell r="BC3" t="str">
            <v>QUOTATION  NO.   :</v>
          </cell>
        </row>
      </sheetData>
      <sheetData sheetId="310">
        <row r="3">
          <cell r="BC3" t="str">
            <v>QUOTATION  NO.   :</v>
          </cell>
        </row>
      </sheetData>
      <sheetData sheetId="311">
        <row r="3">
          <cell r="BC3" t="str">
            <v>QUOTATION  NO.   :</v>
          </cell>
        </row>
      </sheetData>
      <sheetData sheetId="312">
        <row r="3">
          <cell r="BC3" t="str">
            <v>QUOTATION  NO.   :</v>
          </cell>
        </row>
      </sheetData>
      <sheetData sheetId="313">
        <row r="3">
          <cell r="BC3" t="str">
            <v>QUOTATION  NO.   :</v>
          </cell>
        </row>
      </sheetData>
      <sheetData sheetId="314">
        <row r="3">
          <cell r="BC3" t="str">
            <v>QUOTATION  NO.   :</v>
          </cell>
        </row>
      </sheetData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>
        <row r="3">
          <cell r="BC3" t="str">
            <v>QUOTATION  NO.   :</v>
          </cell>
        </row>
      </sheetData>
      <sheetData sheetId="334">
        <row r="3">
          <cell r="BC3" t="str">
            <v>QUOTATION  NO.   :</v>
          </cell>
        </row>
      </sheetData>
      <sheetData sheetId="335">
        <row r="3">
          <cell r="BC3" t="str">
            <v>QUOTATION  NO.   :</v>
          </cell>
        </row>
      </sheetData>
      <sheetData sheetId="336">
        <row r="3">
          <cell r="BC3" t="str">
            <v>QUOTATION  NO.   :</v>
          </cell>
        </row>
      </sheetData>
      <sheetData sheetId="337">
        <row r="3">
          <cell r="BC3" t="str">
            <v>QUOTATION  NO.   :</v>
          </cell>
        </row>
      </sheetData>
      <sheetData sheetId="338">
        <row r="3">
          <cell r="BC3" t="str">
            <v>QUOTATION  NO.   :</v>
          </cell>
        </row>
      </sheetData>
      <sheetData sheetId="339">
        <row r="3">
          <cell r="BC3" t="str">
            <v>QUOTATION  NO.   :</v>
          </cell>
        </row>
      </sheetData>
      <sheetData sheetId="340">
        <row r="3">
          <cell r="BC3" t="str">
            <v>QUOTATION  NO.   :</v>
          </cell>
        </row>
      </sheetData>
      <sheetData sheetId="341">
        <row r="3">
          <cell r="BC3" t="str">
            <v>QUOTATION  NO.   :</v>
          </cell>
        </row>
      </sheetData>
      <sheetData sheetId="342">
        <row r="3">
          <cell r="BC3" t="str">
            <v>QUOTATION  NO.   :</v>
          </cell>
        </row>
      </sheetData>
      <sheetData sheetId="343">
        <row r="3">
          <cell r="BC3" t="str">
            <v>QUOTATION  NO.   :</v>
          </cell>
        </row>
      </sheetData>
      <sheetData sheetId="344">
        <row r="3">
          <cell r="BC3" t="str">
            <v>QUOTATION  NO.   :</v>
          </cell>
        </row>
      </sheetData>
      <sheetData sheetId="345">
        <row r="3">
          <cell r="BC3" t="str">
            <v>QUOTATION  NO.   :</v>
          </cell>
        </row>
      </sheetData>
      <sheetData sheetId="346">
        <row r="3">
          <cell r="BC3" t="str">
            <v>QUOTATION  NO.   :</v>
          </cell>
        </row>
      </sheetData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>
        <row r="3">
          <cell r="BC3" t="str">
            <v>QUOTATION  NO.   :</v>
          </cell>
        </row>
      </sheetData>
      <sheetData sheetId="352">
        <row r="3">
          <cell r="BC3" t="str">
            <v>QUOTATION  NO.   :</v>
          </cell>
        </row>
      </sheetData>
      <sheetData sheetId="353">
        <row r="3">
          <cell r="BC3" t="str">
            <v>QUOTATION  NO.   :</v>
          </cell>
        </row>
      </sheetData>
      <sheetData sheetId="354">
        <row r="3">
          <cell r="BC3" t="str">
            <v>QUOTATION  NO.   :</v>
          </cell>
        </row>
      </sheetData>
      <sheetData sheetId="355">
        <row r="3">
          <cell r="BC3" t="str">
            <v>QUOTATION  NO.   :</v>
          </cell>
        </row>
      </sheetData>
      <sheetData sheetId="356">
        <row r="3">
          <cell r="BC3" t="str">
            <v>QUOTATION  NO.   :</v>
          </cell>
        </row>
      </sheetData>
      <sheetData sheetId="357">
        <row r="3">
          <cell r="BC3" t="str">
            <v>QUOTATION  NO.   :</v>
          </cell>
        </row>
      </sheetData>
      <sheetData sheetId="358">
        <row r="3">
          <cell r="BC3" t="str">
            <v>QUOTATION  NO.   :</v>
          </cell>
        </row>
      </sheetData>
      <sheetData sheetId="359">
        <row r="3">
          <cell r="BC3" t="str">
            <v>QUOTATION  NO.   :</v>
          </cell>
        </row>
      </sheetData>
      <sheetData sheetId="360">
        <row r="3">
          <cell r="BC3" t="str">
            <v>QUOTATION  NO.   :</v>
          </cell>
        </row>
      </sheetData>
      <sheetData sheetId="361">
        <row r="3">
          <cell r="BC3" t="str">
            <v>QUOTATION  NO.   :</v>
          </cell>
        </row>
      </sheetData>
      <sheetData sheetId="362">
        <row r="3">
          <cell r="BC3" t="str">
            <v>QUOTATION  NO.   :</v>
          </cell>
        </row>
      </sheetData>
      <sheetData sheetId="363">
        <row r="3">
          <cell r="BC3" t="str">
            <v>QUOTATION  NO.   :</v>
          </cell>
        </row>
      </sheetData>
      <sheetData sheetId="364">
        <row r="3">
          <cell r="BC3" t="str">
            <v>QUOTATION  NO.   :</v>
          </cell>
        </row>
      </sheetData>
      <sheetData sheetId="365">
        <row r="3">
          <cell r="BC3" t="str">
            <v>QUOTATION  NO.   :</v>
          </cell>
        </row>
      </sheetData>
      <sheetData sheetId="366">
        <row r="3">
          <cell r="BC3" t="str">
            <v>QUOTATION  NO.   :</v>
          </cell>
        </row>
      </sheetData>
      <sheetData sheetId="367">
        <row r="3">
          <cell r="BC3" t="str">
            <v>QUOTATION  NO.   :</v>
          </cell>
        </row>
      </sheetData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 refreshError="1"/>
      <sheetData sheetId="373" refreshError="1"/>
      <sheetData sheetId="374" refreshError="1"/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>
        <row r="3">
          <cell r="BC3" t="str">
            <v>QUOTATION  NO.   :</v>
          </cell>
        </row>
      </sheetData>
      <sheetData sheetId="467">
        <row r="3">
          <cell r="BC3" t="str">
            <v>QUOTATION  NO.   :</v>
          </cell>
        </row>
      </sheetData>
      <sheetData sheetId="468">
        <row r="3">
          <cell r="BC3" t="str">
            <v>QUOTATION  NO.   :</v>
          </cell>
        </row>
      </sheetData>
      <sheetData sheetId="469">
        <row r="3">
          <cell r="BC3" t="str">
            <v>QUOTATION  NO.   :</v>
          </cell>
        </row>
      </sheetData>
      <sheetData sheetId="470">
        <row r="3">
          <cell r="BC3" t="str">
            <v>QUOTATION  NO.   :</v>
          </cell>
        </row>
      </sheetData>
      <sheetData sheetId="471">
        <row r="3">
          <cell r="BC3" t="str">
            <v>QUOTATION  NO.   :</v>
          </cell>
        </row>
      </sheetData>
      <sheetData sheetId="472">
        <row r="3">
          <cell r="BC3" t="str">
            <v>QUOTATION  NO.   :</v>
          </cell>
        </row>
      </sheetData>
      <sheetData sheetId="473">
        <row r="3">
          <cell r="BC3" t="str">
            <v>QUOTATION  NO.   :</v>
          </cell>
        </row>
      </sheetData>
      <sheetData sheetId="474">
        <row r="3">
          <cell r="BC3" t="str">
            <v>QUOTATION  NO.   :</v>
          </cell>
        </row>
      </sheetData>
      <sheetData sheetId="475">
        <row r="3">
          <cell r="BC3" t="str">
            <v>QUOTATION  NO.   :</v>
          </cell>
        </row>
      </sheetData>
      <sheetData sheetId="476">
        <row r="3">
          <cell r="BC3" t="str">
            <v>QUOTATION  NO.   :</v>
          </cell>
        </row>
      </sheetData>
      <sheetData sheetId="477">
        <row r="3">
          <cell r="BC3" t="str">
            <v>QUOTATION  NO.   :</v>
          </cell>
        </row>
      </sheetData>
      <sheetData sheetId="478">
        <row r="3">
          <cell r="BC3" t="str">
            <v>QUOTATION  NO.   :</v>
          </cell>
        </row>
      </sheetData>
      <sheetData sheetId="479">
        <row r="3">
          <cell r="BC3" t="str">
            <v>QUOTATION  NO.   :</v>
          </cell>
        </row>
      </sheetData>
      <sheetData sheetId="480">
        <row r="3">
          <cell r="BC3" t="str">
            <v>QUOTATION  NO.   :</v>
          </cell>
        </row>
      </sheetData>
      <sheetData sheetId="481">
        <row r="3">
          <cell r="BC3" t="str">
            <v>QUOTATION  NO.   :</v>
          </cell>
        </row>
      </sheetData>
      <sheetData sheetId="482">
        <row r="3">
          <cell r="BC3" t="str">
            <v>QUOTATION  NO.   :</v>
          </cell>
        </row>
      </sheetData>
      <sheetData sheetId="483">
        <row r="3">
          <cell r="BC3" t="str">
            <v>QUOTATION  NO.   :</v>
          </cell>
        </row>
      </sheetData>
      <sheetData sheetId="484">
        <row r="3">
          <cell r="BC3" t="str">
            <v>QUOTATION  NO.   :</v>
          </cell>
        </row>
      </sheetData>
      <sheetData sheetId="485">
        <row r="3">
          <cell r="BC3" t="str">
            <v>QUOTATION  NO.   :</v>
          </cell>
        </row>
      </sheetData>
      <sheetData sheetId="486">
        <row r="3">
          <cell r="BC3" t="str">
            <v>QUOTATION  NO.   :</v>
          </cell>
        </row>
      </sheetData>
      <sheetData sheetId="487">
        <row r="3">
          <cell r="BC3" t="str">
            <v>QUOTATION  NO.   :</v>
          </cell>
        </row>
      </sheetData>
      <sheetData sheetId="488">
        <row r="3">
          <cell r="BC3" t="str">
            <v>QUOTATION  NO.   :</v>
          </cell>
        </row>
      </sheetData>
      <sheetData sheetId="489">
        <row r="3">
          <cell r="BC3" t="str">
            <v>QUOTATION  NO.   :</v>
          </cell>
        </row>
      </sheetData>
      <sheetData sheetId="490">
        <row r="3">
          <cell r="BC3" t="str">
            <v>QUOTATION  NO.   :</v>
          </cell>
        </row>
      </sheetData>
      <sheetData sheetId="491">
        <row r="3">
          <cell r="BC3" t="str">
            <v>QUOTATION  NO.   :</v>
          </cell>
        </row>
      </sheetData>
      <sheetData sheetId="492">
        <row r="3">
          <cell r="BC3" t="str">
            <v>QUOTATION  NO.   :</v>
          </cell>
        </row>
      </sheetData>
      <sheetData sheetId="493">
        <row r="3">
          <cell r="BC3" t="str">
            <v>QUOTATION  NO.   :</v>
          </cell>
        </row>
      </sheetData>
      <sheetData sheetId="494">
        <row r="3">
          <cell r="BC3" t="str">
            <v>QUOTATION  NO.   :</v>
          </cell>
        </row>
      </sheetData>
      <sheetData sheetId="495">
        <row r="3">
          <cell r="BC3" t="str">
            <v>QUOTATION  NO.   :</v>
          </cell>
        </row>
      </sheetData>
      <sheetData sheetId="496">
        <row r="3">
          <cell r="BC3" t="str">
            <v>QUOTATION  NO.   :</v>
          </cell>
        </row>
      </sheetData>
      <sheetData sheetId="497">
        <row r="3">
          <cell r="BC3" t="str">
            <v>QUOTATION  NO.   :</v>
          </cell>
        </row>
      </sheetData>
      <sheetData sheetId="498">
        <row r="3">
          <cell r="BC3" t="str">
            <v>QUOTATION  NO.   :</v>
          </cell>
        </row>
      </sheetData>
      <sheetData sheetId="499">
        <row r="3">
          <cell r="BC3" t="str">
            <v>QUOTATION  NO.   :</v>
          </cell>
        </row>
      </sheetData>
      <sheetData sheetId="500">
        <row r="3">
          <cell r="BC3" t="str">
            <v>QUOTATION  NO.   :</v>
          </cell>
        </row>
      </sheetData>
      <sheetData sheetId="501">
        <row r="3">
          <cell r="BC3" t="str">
            <v>QUOTATION  NO.   :</v>
          </cell>
        </row>
      </sheetData>
      <sheetData sheetId="502">
        <row r="3">
          <cell r="BC3" t="str">
            <v>QUOTATION  NO.   :</v>
          </cell>
        </row>
      </sheetData>
      <sheetData sheetId="503">
        <row r="3">
          <cell r="BC3" t="str">
            <v>QUOTATION  NO.   :</v>
          </cell>
        </row>
      </sheetData>
      <sheetData sheetId="504">
        <row r="3">
          <cell r="BC3" t="str">
            <v>QUOTATION  NO.   :</v>
          </cell>
        </row>
      </sheetData>
      <sheetData sheetId="505">
        <row r="3">
          <cell r="BC3" t="str">
            <v>QUOTATION  NO.   :</v>
          </cell>
        </row>
      </sheetData>
      <sheetData sheetId="506">
        <row r="3">
          <cell r="BC3" t="str">
            <v>QUOTATION  NO.   :</v>
          </cell>
        </row>
      </sheetData>
      <sheetData sheetId="507">
        <row r="3">
          <cell r="BC3" t="str">
            <v>QUOTATION  NO.   :</v>
          </cell>
        </row>
      </sheetData>
      <sheetData sheetId="508">
        <row r="3">
          <cell r="BC3" t="str">
            <v>QUOTATION  NO.   :</v>
          </cell>
        </row>
      </sheetData>
      <sheetData sheetId="509">
        <row r="3">
          <cell r="BC3" t="str">
            <v>QUOTATION  NO.   :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3">
          <cell r="BC3" t="str">
            <v>QUOTATION  NO.   :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3">
          <cell r="BC3" t="str">
            <v>QUOTATION  NO.   :</v>
          </cell>
        </row>
      </sheetData>
      <sheetData sheetId="540" refreshError="1"/>
      <sheetData sheetId="541" refreshError="1"/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 refreshError="1"/>
      <sheetData sheetId="555" refreshError="1"/>
      <sheetData sheetId="556">
        <row r="3">
          <cell r="BC3" t="str">
            <v>QUOTATION  NO.   :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 refreshError="1"/>
      <sheetData sheetId="565">
        <row r="3">
          <cell r="BC3" t="str">
            <v>QUOTATION  NO.   :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sandd"/>
      <sheetName val="sales"/>
      <sheetName val="prodn"/>
      <sheetName val="Inventory"/>
      <sheetName val="Rebat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BS3"/>
      <sheetName val="INDEX"/>
      <sheetName val="present"/>
      <sheetName val="capacity"/>
      <sheetName val="HL"/>
      <sheetName val="MKT"/>
      <sheetName val="COM-SALES"/>
      <sheetName val="PS-96"/>
      <sheetName val="SALES"/>
      <sheetName val="OTHER"/>
      <sheetName val="PS-@-95"/>
      <sheetName val="CAP"/>
      <sheetName val="ASSCAP"/>
      <sheetName val="detail"/>
      <sheetName val="UPC_SKU"/>
      <sheetName val="MasterList"/>
      <sheetName val="DropdownList"/>
      <sheetName val="4.1CAPEX_Additional"/>
      <sheetName val="Drop Down"/>
      <sheetName val="SCG group"/>
      <sheetName val="novOL2014"/>
      <sheetName val="dropdown"/>
      <sheetName val="data"/>
      <sheetName val="Function"/>
      <sheetName val="Comapny Name"/>
      <sheetName val="List"/>
      <sheetName val="Emplyee Record"/>
      <sheetName val="Master1"/>
      <sheetName val="BLUE"/>
      <sheetName val="Sheet1"/>
      <sheetName val="sales3level"/>
      <sheetName val="703105"/>
      <sheetName val="Est. Budget"/>
      <sheetName val="Sheet4"/>
      <sheetName val="4_1CAPEX_Additional"/>
      <sheetName val="Drop_Down"/>
      <sheetName val="SCG_group"/>
      <sheetName val="Comapny_Name"/>
      <sheetName val="Emplyee_Record"/>
      <sheetName val="Est__Budget"/>
      <sheetName val="MyWork"/>
      <sheetName val="SCG Chemicals group"/>
      <sheetName val="Merter"/>
      <sheetName val="Dropdown list "/>
      <sheetName val="2019"/>
      <sheetName val="4_1CAPEX_Additional1"/>
      <sheetName val="Drop_Down1"/>
      <sheetName val="SCG_group1"/>
      <sheetName val="Comapny_Name1"/>
      <sheetName val="Emplyee_Record1"/>
      <sheetName val="Est__Budget1"/>
      <sheetName val="SCG_Chemicals_group"/>
      <sheetName val="Dropdown_list_"/>
      <sheetName val="List of Note"/>
      <sheetName val="4_1CAPEX_Additional2"/>
      <sheetName val="Drop_Down2"/>
      <sheetName val="SCG_group2"/>
      <sheetName val="Comapny_Name2"/>
      <sheetName val="Emplyee_Record2"/>
      <sheetName val="Est__Budget2"/>
      <sheetName val="SCG_Chemicals_group1"/>
      <sheetName val="Dropdown_list_1"/>
      <sheetName val="List_of_Note"/>
      <sheetName val="การแจ้งเรียกเก็บ"/>
      <sheetName val="Note5_RelatedParties"/>
      <sheetName val="summary"/>
      <sheetName val="LCF"/>
      <sheetName val="1.Form2554"/>
      <sheetName val="2.รายการประกอบ54"/>
      <sheetName val="1.Form2555"/>
      <sheetName val="2.รายการประกอบ55"/>
      <sheetName val="TMFC"/>
      <sheetName val="Export"/>
      <sheetName val="Choose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Note30_Effect Tax Rate Recon"/>
      <sheetName val="4_1CAPEX_Additional3"/>
      <sheetName val="Drop_Down3"/>
      <sheetName val="SCG_group3"/>
      <sheetName val="Comapny_Name3"/>
      <sheetName val="Emplyee_Record3"/>
      <sheetName val="Est__Budget3"/>
      <sheetName val="SCG_Chemicals_group2"/>
      <sheetName val="Dropdown_list_2"/>
      <sheetName val="List_of_Note1"/>
      <sheetName val="1_Form2554"/>
      <sheetName val="2_รายการประกอบ54"/>
      <sheetName val="1_Form2555"/>
      <sheetName val="2_รายการประกอบ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xxxxx"/>
      <sheetName val="64xxxx"/>
      <sheetName val="total"/>
      <sheetName val="12.31.01"/>
      <sheetName val="#REF"/>
      <sheetName val="PLANBS3"/>
      <sheetName val="12_31_01"/>
      <sheetName val="5. Product Attribute"/>
      <sheetName val="คำชี้แจง"/>
      <sheetName val="Code 2"/>
      <sheetName val="Master"/>
      <sheetName val="Sheet1"/>
      <sheetName val="Nov"/>
      <sheetName val="Master1"/>
      <sheetName val="Sheet2"/>
      <sheetName val="S-Plant"/>
      <sheetName val="Wkgs_BS Lead"/>
      <sheetName val="vat"/>
      <sheetName val="OP2020 SSW"/>
      <sheetName val="OP2020 SSW DOM"/>
      <sheetName val="OP2020 SSW EXP"/>
      <sheetName val="W-D"/>
      <sheetName val="W-E"/>
      <sheetName val="20182019"/>
      <sheetName val="Net Mkt"/>
      <sheetName val="W OP1 DOM"/>
      <sheetName val="W EST4M DOM"/>
      <sheetName val="W OP2 EXP"/>
      <sheetName val="W EST4M EXP"/>
      <sheetName val="Cus Group"/>
      <sheetName val="Currency"/>
      <sheetName val="Revised_Base_MTP2020-24"/>
      <sheetName val="note"/>
      <sheetName val="GL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Sheet3"/>
      <sheetName val="Monthly Rev."/>
      <sheetName val="Monthly Prod."/>
      <sheetName val="DIL"/>
      <sheetName val="Tongke"/>
      <sheetName val="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"/>
      <sheetName val="Read first"/>
      <sheetName val="Tổng hợp"/>
      <sheetName val="Các option"/>
      <sheetName val="Phân tích"/>
      <sheetName val="Sheet7"/>
      <sheetName val="Dự báo"/>
      <sheetName val="Dropdown list"/>
      <sheetName val="Products-PET"/>
      <sheetName val="Products-HD"/>
      <sheetName val="Products-PP"/>
      <sheetName val="Sheet2"/>
      <sheetName val="Sheet4"/>
      <sheetName val="Phân tích AM (2)"/>
      <sheetName val="Phân tích 12 tháng"/>
      <sheetName val="Dự báo bán hàng 2025"/>
      <sheetName val="Dashboad"/>
      <sheetName val="Phân tích AM"/>
      <sheetName val="Data so sánh"/>
      <sheetName val="Dòng sản phẩm"/>
      <sheetName val="Phân tích PP"/>
      <sheetName val="Phân tích HD"/>
      <sheetName val="Phân tích P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_Sub"/>
      <sheetName val="OH_DUYTAN"/>
      <sheetName val="OH_DUCHOA"/>
      <sheetName val="OH_CLF BD"/>
      <sheetName val="OH_TANDO"/>
      <sheetName val="lailo"/>
      <sheetName val="8118"/>
      <sheetName val="P&amp;L_Subgroup"/>
      <sheetName val="P&amp;L_DUYTAN_CP"/>
      <sheetName val="P&amp;L_DUCHOA"/>
      <sheetName val="P&amp;L_CLFBD"/>
      <sheetName val="P&amp;L_TANDO"/>
      <sheetName val="NS2015_DUCHOA"/>
      <sheetName val="P&amp;L_CLF NS"/>
      <sheetName val="P&amp;L DUC HOA"/>
      <sheetName val="CLFVN"/>
      <sheetName val="LONGAN"/>
      <sheetName val="Chart"/>
      <sheetName val="sosanh"/>
      <sheetName val="Giai trinh-LK"/>
      <sheetName val="Giai trinh-vs T6"/>
      <sheetName val="Linh"/>
      <sheetName val="KM-DUC HOA"/>
      <sheetName val="KM-B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0">
          <cell r="BC10">
            <v>421.42313899999999</v>
          </cell>
        </row>
      </sheetData>
      <sheetData sheetId="8">
        <row r="10">
          <cell r="BC10">
            <v>421.42313899999999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tqua"/>
      <sheetName val="Giaitrinh"/>
    </sheetNames>
    <sheetDataSet>
      <sheetData sheetId="0">
        <row r="4">
          <cell r="I4">
            <v>1</v>
          </cell>
          <cell r="J4">
            <v>2</v>
          </cell>
          <cell r="K4">
            <v>3</v>
          </cell>
          <cell r="L4">
            <v>4</v>
          </cell>
          <cell r="M4">
            <v>5</v>
          </cell>
          <cell r="N4">
            <v>6</v>
          </cell>
          <cell r="O4">
            <v>7</v>
          </cell>
          <cell r="P4">
            <v>8</v>
          </cell>
          <cell r="Q4">
            <v>9</v>
          </cell>
          <cell r="R4">
            <v>10</v>
          </cell>
          <cell r="S4">
            <v>11</v>
          </cell>
          <cell r="T4">
            <v>12</v>
          </cell>
          <cell r="U4">
            <v>12</v>
          </cell>
        </row>
        <row r="8">
          <cell r="I8">
            <v>0.30509570947575776</v>
          </cell>
          <cell r="J8">
            <v>0.17494118195736</v>
          </cell>
          <cell r="K8">
            <v>0.17937770828223368</v>
          </cell>
          <cell r="L8">
            <v>0.20976547998515047</v>
          </cell>
          <cell r="M8">
            <v>0.20976543426513672</v>
          </cell>
          <cell r="N8">
            <v>0.20976543426513672</v>
          </cell>
          <cell r="O8">
            <v>0.20976543426513672</v>
          </cell>
          <cell r="P8">
            <v>0.20976543426513672</v>
          </cell>
          <cell r="Q8">
            <v>0.20976543426513672</v>
          </cell>
          <cell r="R8">
            <v>0.20976543426513672</v>
          </cell>
          <cell r="S8">
            <v>0.20976543426513672</v>
          </cell>
          <cell r="T8">
            <v>0.20976543426513672</v>
          </cell>
          <cell r="U8">
            <v>0.20319999999999999</v>
          </cell>
          <cell r="V8">
            <v>0.20319998264312744</v>
          </cell>
          <cell r="W8">
            <v>0.20319998264312744</v>
          </cell>
          <cell r="X8">
            <v>0.20319998264312744</v>
          </cell>
          <cell r="Y8">
            <v>0.20319998264312744</v>
          </cell>
          <cell r="Z8">
            <v>0.20319998264312744</v>
          </cell>
          <cell r="AA8">
            <v>0.20319998264312744</v>
          </cell>
          <cell r="AB8">
            <v>0.20319998264312744</v>
          </cell>
          <cell r="AC8">
            <v>0.20319998264312744</v>
          </cell>
          <cell r="AD8">
            <v>0.20319998264312744</v>
          </cell>
          <cell r="AE8">
            <v>0.20319998264312744</v>
          </cell>
          <cell r="AF8">
            <v>0.20319998264312744</v>
          </cell>
          <cell r="AG8">
            <v>0.20319998264312744</v>
          </cell>
          <cell r="AH8">
            <v>0.20319998264312744</v>
          </cell>
          <cell r="AI8">
            <v>0.20319998264312744</v>
          </cell>
          <cell r="AJ8">
            <v>0.20319998264312744</v>
          </cell>
        </row>
        <row r="9">
          <cell r="I9">
            <v>0.21529697402733283</v>
          </cell>
          <cell r="J9">
            <v>0.22578675784213065</v>
          </cell>
          <cell r="K9">
            <v>0.17095967075561469</v>
          </cell>
          <cell r="L9">
            <v>0.18478708120854356</v>
          </cell>
          <cell r="M9">
            <v>0.18478703498840332</v>
          </cell>
          <cell r="N9">
            <v>0.18478703498840332</v>
          </cell>
          <cell r="O9">
            <v>0.18478703498840332</v>
          </cell>
          <cell r="P9">
            <v>0.18478703498840332</v>
          </cell>
          <cell r="Q9">
            <v>0.18478703498840332</v>
          </cell>
          <cell r="R9">
            <v>0.18478703498840332</v>
          </cell>
          <cell r="S9">
            <v>0.18478703498840332</v>
          </cell>
          <cell r="T9">
            <v>0.18478703498840332</v>
          </cell>
          <cell r="U9">
            <v>0.19670000000000001</v>
          </cell>
          <cell r="V9">
            <v>0.19669997692108154</v>
          </cell>
          <cell r="W9">
            <v>0.19669997692108154</v>
          </cell>
          <cell r="X9">
            <v>0.19669997692108154</v>
          </cell>
          <cell r="Y9">
            <v>0.19669997692108154</v>
          </cell>
          <cell r="Z9">
            <v>0.19669997692108154</v>
          </cell>
          <cell r="AA9">
            <v>0.19669997692108154</v>
          </cell>
          <cell r="AB9">
            <v>0.19669997692108154</v>
          </cell>
          <cell r="AC9">
            <v>0.19669997692108154</v>
          </cell>
          <cell r="AD9">
            <v>0.19669997692108154</v>
          </cell>
          <cell r="AE9">
            <v>0.19669997692108154</v>
          </cell>
          <cell r="AF9">
            <v>0.19669997692108154</v>
          </cell>
          <cell r="AG9">
            <v>0.19669997692108154</v>
          </cell>
          <cell r="AH9">
            <v>0.19669997692108154</v>
          </cell>
          <cell r="AI9">
            <v>0.19669997692108154</v>
          </cell>
          <cell r="AJ9">
            <v>0.19669997692108154</v>
          </cell>
        </row>
        <row r="10"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>
            <v>0.19669997692108154</v>
          </cell>
          <cell r="N10">
            <v>0.19669997692108154</v>
          </cell>
          <cell r="O10">
            <v>0.19669997692108154</v>
          </cell>
          <cell r="P10">
            <v>0.19669997692108154</v>
          </cell>
          <cell r="Q10">
            <v>0.19669997692108154</v>
          </cell>
          <cell r="R10">
            <v>0.19669997692108154</v>
          </cell>
          <cell r="S10">
            <v>0.19669997692108154</v>
          </cell>
          <cell r="T10">
            <v>0.19669997692108154</v>
          </cell>
          <cell r="U10">
            <v>0.19669997692108154</v>
          </cell>
          <cell r="V10">
            <v>0.19669997692108154</v>
          </cell>
          <cell r="W10">
            <v>0.19669997692108154</v>
          </cell>
          <cell r="X10">
            <v>0.19669997692108154</v>
          </cell>
          <cell r="Y10">
            <v>0.19669997692108154</v>
          </cell>
          <cell r="Z10">
            <v>0.19669997692108154</v>
          </cell>
          <cell r="AA10">
            <v>0.19669997692108154</v>
          </cell>
          <cell r="AB10">
            <v>0.19669997692108154</v>
          </cell>
          <cell r="AC10">
            <v>0.19669997692108154</v>
          </cell>
          <cell r="AD10">
            <v>0.19669997692108154</v>
          </cell>
          <cell r="AE10">
            <v>0.19669997692108154</v>
          </cell>
          <cell r="AF10">
            <v>0.19669997692108154</v>
          </cell>
          <cell r="AG10">
            <v>0.19669997692108154</v>
          </cell>
          <cell r="AH10">
            <v>0.19669997692108154</v>
          </cell>
          <cell r="AI10">
            <v>0.19669997692108154</v>
          </cell>
          <cell r="AJ10">
            <v>0.19669997692108154</v>
          </cell>
        </row>
        <row r="11">
          <cell r="I11">
            <v>0.19669997692108154</v>
          </cell>
          <cell r="J11">
            <v>0.19669997692108154</v>
          </cell>
          <cell r="K11">
            <v>0.19669997692108154</v>
          </cell>
          <cell r="L11">
            <v>0.19669997692108154</v>
          </cell>
          <cell r="M11">
            <v>0.19669997692108154</v>
          </cell>
          <cell r="N11">
            <v>0.19669997692108154</v>
          </cell>
          <cell r="O11">
            <v>0.19669997692108154</v>
          </cell>
          <cell r="P11">
            <v>0.19669997692108154</v>
          </cell>
          <cell r="Q11">
            <v>0.19669997692108154</v>
          </cell>
          <cell r="R11">
            <v>0.19669997692108154</v>
          </cell>
          <cell r="S11">
            <v>0.19669997692108154</v>
          </cell>
          <cell r="T11">
            <v>91</v>
          </cell>
          <cell r="U11">
            <v>91</v>
          </cell>
          <cell r="V11">
            <v>91</v>
          </cell>
          <cell r="W11">
            <v>91</v>
          </cell>
          <cell r="X11">
            <v>91</v>
          </cell>
          <cell r="Y11">
            <v>91</v>
          </cell>
          <cell r="Z11">
            <v>91</v>
          </cell>
          <cell r="AA11">
            <v>91</v>
          </cell>
          <cell r="AB11">
            <v>91</v>
          </cell>
          <cell r="AC11">
            <v>91</v>
          </cell>
          <cell r="AD11">
            <v>91</v>
          </cell>
          <cell r="AE11">
            <v>91</v>
          </cell>
          <cell r="AF11">
            <v>91</v>
          </cell>
          <cell r="AG11">
            <v>91</v>
          </cell>
          <cell r="AH11">
            <v>91</v>
          </cell>
          <cell r="AI11">
            <v>91</v>
          </cell>
          <cell r="AJ11">
            <v>91</v>
          </cell>
        </row>
        <row r="12">
          <cell r="I12">
            <v>0</v>
          </cell>
          <cell r="J12">
            <v>1</v>
          </cell>
          <cell r="K12">
            <v>2</v>
          </cell>
          <cell r="L12">
            <v>5</v>
          </cell>
          <cell r="M12">
            <v>5</v>
          </cell>
          <cell r="N12">
            <v>5</v>
          </cell>
          <cell r="O12">
            <v>5</v>
          </cell>
          <cell r="P12">
            <v>5</v>
          </cell>
          <cell r="Q12">
            <v>5</v>
          </cell>
          <cell r="R12">
            <v>5</v>
          </cell>
          <cell r="S12">
            <v>5</v>
          </cell>
          <cell r="T12">
            <v>5</v>
          </cell>
          <cell r="U12">
            <v>3</v>
          </cell>
          <cell r="V12">
            <v>2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>
            <v>2</v>
          </cell>
          <cell r="AH12">
            <v>2</v>
          </cell>
          <cell r="AI12">
            <v>2</v>
          </cell>
          <cell r="AJ12">
            <v>2</v>
          </cell>
        </row>
        <row r="13">
          <cell r="I13">
            <v>2</v>
          </cell>
          <cell r="J13">
            <v>2</v>
          </cell>
          <cell r="K13">
            <v>3</v>
          </cell>
          <cell r="L13">
            <v>5</v>
          </cell>
          <cell r="M13">
            <v>8</v>
          </cell>
          <cell r="N13">
            <v>9</v>
          </cell>
          <cell r="O13">
            <v>12</v>
          </cell>
          <cell r="P13">
            <v>13</v>
          </cell>
          <cell r="Q13">
            <v>14</v>
          </cell>
          <cell r="R13">
            <v>15</v>
          </cell>
          <cell r="S13">
            <v>15</v>
          </cell>
          <cell r="T13">
            <v>15</v>
          </cell>
          <cell r="U13">
            <v>5</v>
          </cell>
          <cell r="V13">
            <v>5</v>
          </cell>
          <cell r="W13">
            <v>5</v>
          </cell>
          <cell r="X13">
            <v>5</v>
          </cell>
          <cell r="Y13">
            <v>5</v>
          </cell>
          <cell r="Z13">
            <v>5</v>
          </cell>
          <cell r="AA13">
            <v>5</v>
          </cell>
          <cell r="AB13">
            <v>5</v>
          </cell>
          <cell r="AC13">
            <v>5</v>
          </cell>
          <cell r="AD13">
            <v>5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5</v>
          </cell>
          <cell r="AJ13">
            <v>5</v>
          </cell>
        </row>
        <row r="14"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>
            <v>5</v>
          </cell>
          <cell r="N14">
            <v>5</v>
          </cell>
          <cell r="O14">
            <v>5</v>
          </cell>
          <cell r="P14">
            <v>5</v>
          </cell>
          <cell r="Q14">
            <v>5</v>
          </cell>
          <cell r="R14">
            <v>5</v>
          </cell>
          <cell r="S14">
            <v>5</v>
          </cell>
          <cell r="T14">
            <v>5</v>
          </cell>
          <cell r="U14">
            <v>5</v>
          </cell>
          <cell r="V14">
            <v>5</v>
          </cell>
          <cell r="W14">
            <v>5</v>
          </cell>
          <cell r="X14">
            <v>5</v>
          </cell>
          <cell r="Y14">
            <v>5</v>
          </cell>
          <cell r="Z14">
            <v>5</v>
          </cell>
          <cell r="AA14">
            <v>5</v>
          </cell>
          <cell r="AB14">
            <v>5</v>
          </cell>
          <cell r="AC14">
            <v>5</v>
          </cell>
          <cell r="AD14">
            <v>5</v>
          </cell>
          <cell r="AE14">
            <v>5</v>
          </cell>
          <cell r="AF14">
            <v>5</v>
          </cell>
          <cell r="AG14">
            <v>5</v>
          </cell>
          <cell r="AH14">
            <v>5</v>
          </cell>
          <cell r="AI14">
            <v>5</v>
          </cell>
          <cell r="AJ14">
            <v>5</v>
          </cell>
        </row>
        <row r="15">
          <cell r="I15">
            <v>5</v>
          </cell>
          <cell r="J15">
            <v>5</v>
          </cell>
          <cell r="K15">
            <v>5</v>
          </cell>
          <cell r="L15">
            <v>5</v>
          </cell>
          <cell r="M15">
            <v>0.9</v>
          </cell>
          <cell r="N15">
            <v>0.9</v>
          </cell>
          <cell r="O15">
            <v>0.9</v>
          </cell>
          <cell r="P15">
            <v>0.9</v>
          </cell>
          <cell r="Q15">
            <v>0.9</v>
          </cell>
          <cell r="R15">
            <v>0.9</v>
          </cell>
          <cell r="S15">
            <v>0.9</v>
          </cell>
          <cell r="T15">
            <v>0.9</v>
          </cell>
          <cell r="U15">
            <v>0.89999961853027344</v>
          </cell>
          <cell r="V15">
            <v>0.89999961853027344</v>
          </cell>
          <cell r="W15">
            <v>0.89999961853027344</v>
          </cell>
          <cell r="X15">
            <v>0.89999961853027344</v>
          </cell>
          <cell r="Y15">
            <v>0.89999961853027344</v>
          </cell>
          <cell r="Z15">
            <v>0.89999961853027344</v>
          </cell>
          <cell r="AA15">
            <v>0.89999961853027344</v>
          </cell>
          <cell r="AB15">
            <v>0.89999961853027344</v>
          </cell>
          <cell r="AC15">
            <v>0.89999961853027344</v>
          </cell>
          <cell r="AD15">
            <v>0.89999961853027344</v>
          </cell>
          <cell r="AE15">
            <v>0.89999961853027344</v>
          </cell>
          <cell r="AF15">
            <v>0.89999961853027344</v>
          </cell>
          <cell r="AG15">
            <v>0.89999961853027344</v>
          </cell>
          <cell r="AH15">
            <v>0.89999961853027344</v>
          </cell>
          <cell r="AI15">
            <v>0.89999961853027344</v>
          </cell>
          <cell r="AJ15">
            <v>0.89999961853027344</v>
          </cell>
        </row>
        <row r="16"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>
            <v>0.89999961853027344</v>
          </cell>
          <cell r="N16">
            <v>0.89999961853027344</v>
          </cell>
          <cell r="O16">
            <v>0.89999961853027344</v>
          </cell>
          <cell r="P16">
            <v>0.89999961853027344</v>
          </cell>
          <cell r="Q16">
            <v>0.89999961853027344</v>
          </cell>
          <cell r="R16">
            <v>0.89999961853027344</v>
          </cell>
          <cell r="S16">
            <v>0.89999961853027344</v>
          </cell>
          <cell r="T16">
            <v>0.89999961853027344</v>
          </cell>
          <cell r="U16">
            <v>0.89999961853027344</v>
          </cell>
          <cell r="V16">
            <v>0.89999961853027344</v>
          </cell>
          <cell r="W16">
            <v>0.89999961853027344</v>
          </cell>
          <cell r="X16">
            <v>0.89999961853027344</v>
          </cell>
          <cell r="Y16">
            <v>0.89999961853027344</v>
          </cell>
          <cell r="Z16">
            <v>0.89999961853027344</v>
          </cell>
          <cell r="AA16">
            <v>0.89999961853027344</v>
          </cell>
          <cell r="AB16">
            <v>0.89999961853027344</v>
          </cell>
          <cell r="AC16">
            <v>0.89999961853027344</v>
          </cell>
          <cell r="AD16">
            <v>0.89999961853027344</v>
          </cell>
          <cell r="AE16">
            <v>0.89999961853027344</v>
          </cell>
          <cell r="AF16">
            <v>0.89999961853027344</v>
          </cell>
          <cell r="AG16">
            <v>0.89999961853027344</v>
          </cell>
          <cell r="AH16">
            <v>0.89999961853027344</v>
          </cell>
          <cell r="AI16">
            <v>0.89999961853027344</v>
          </cell>
          <cell r="AJ16">
            <v>0.89999961853027344</v>
          </cell>
        </row>
        <row r="17">
          <cell r="I17">
            <v>0.9</v>
          </cell>
          <cell r="J17">
            <v>0.9</v>
          </cell>
          <cell r="K17">
            <v>0.9</v>
          </cell>
          <cell r="L17">
            <v>0.9</v>
          </cell>
          <cell r="M17">
            <v>0.9</v>
          </cell>
          <cell r="N17">
            <v>0.9</v>
          </cell>
          <cell r="O17">
            <v>0.9</v>
          </cell>
          <cell r="P17">
            <v>0.9</v>
          </cell>
          <cell r="Q17">
            <v>0.9</v>
          </cell>
          <cell r="R17">
            <v>0.9</v>
          </cell>
          <cell r="S17">
            <v>0.9</v>
          </cell>
          <cell r="T17">
            <v>0.9</v>
          </cell>
          <cell r="U17">
            <v>0.89999961853027344</v>
          </cell>
          <cell r="V17">
            <v>0.89999961853027344</v>
          </cell>
          <cell r="W17">
            <v>0.89999961853027344</v>
          </cell>
          <cell r="X17">
            <v>0.89999961853027344</v>
          </cell>
          <cell r="Y17">
            <v>0.89999961853027344</v>
          </cell>
          <cell r="Z17">
            <v>0.89999961853027344</v>
          </cell>
          <cell r="AA17">
            <v>0.89999961853027344</v>
          </cell>
          <cell r="AB17">
            <v>0.89999961853027344</v>
          </cell>
          <cell r="AC17">
            <v>0.89999961853027344</v>
          </cell>
          <cell r="AD17">
            <v>0.89999961853027344</v>
          </cell>
          <cell r="AE17">
            <v>0.89999961853027344</v>
          </cell>
          <cell r="AF17">
            <v>0.89999961853027344</v>
          </cell>
          <cell r="AG17">
            <v>0.89999961853027344</v>
          </cell>
          <cell r="AH17">
            <v>0.89999961853027344</v>
          </cell>
          <cell r="AI17">
            <v>0.89999961853027344</v>
          </cell>
          <cell r="AJ17">
            <v>0.89999961853027344</v>
          </cell>
        </row>
        <row r="18"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>
            <v>0.89999961853027344</v>
          </cell>
          <cell r="N18">
            <v>0.89999961853027344</v>
          </cell>
          <cell r="O18">
            <v>0.89999961853027344</v>
          </cell>
          <cell r="P18">
            <v>0.89999961853027344</v>
          </cell>
          <cell r="Q18">
            <v>0.89999961853027344</v>
          </cell>
          <cell r="R18">
            <v>0.89999961853027344</v>
          </cell>
          <cell r="S18">
            <v>0.89999961853027344</v>
          </cell>
          <cell r="T18">
            <v>0.89999961853027344</v>
          </cell>
          <cell r="U18">
            <v>0.89999961853027344</v>
          </cell>
          <cell r="V18">
            <v>0.89999961853027344</v>
          </cell>
          <cell r="W18">
            <v>0.89999961853027344</v>
          </cell>
          <cell r="X18">
            <v>0.89999961853027344</v>
          </cell>
          <cell r="Y18">
            <v>0.89999961853027344</v>
          </cell>
          <cell r="Z18">
            <v>0.89999961853027344</v>
          </cell>
          <cell r="AA18">
            <v>0.89999961853027344</v>
          </cell>
          <cell r="AB18">
            <v>0.89999961853027344</v>
          </cell>
          <cell r="AC18">
            <v>0.89999961853027344</v>
          </cell>
          <cell r="AD18">
            <v>0.89999961853027344</v>
          </cell>
          <cell r="AE18">
            <v>0.89999961853027344</v>
          </cell>
          <cell r="AF18">
            <v>0.89999961853027344</v>
          </cell>
          <cell r="AG18">
            <v>0.89999961853027344</v>
          </cell>
          <cell r="AH18">
            <v>0.89999961853027344</v>
          </cell>
          <cell r="AI18">
            <v>0.89999961853027344</v>
          </cell>
          <cell r="AJ18">
            <v>0.89999961853027344</v>
          </cell>
        </row>
        <row r="19">
          <cell r="I19">
            <v>0.89999961853027344</v>
          </cell>
          <cell r="J19">
            <v>0.89999961853027344</v>
          </cell>
          <cell r="K19">
            <v>0.89999961853027344</v>
          </cell>
          <cell r="L19">
            <v>0.89999961853027344</v>
          </cell>
          <cell r="M19">
            <v>0.89999961853027344</v>
          </cell>
          <cell r="N19">
            <v>0.2</v>
          </cell>
          <cell r="O19">
            <v>0.19999992847442627</v>
          </cell>
          <cell r="P19">
            <v>0.19999992847442627</v>
          </cell>
          <cell r="Q19">
            <v>0.4</v>
          </cell>
          <cell r="R19">
            <v>0.39999985694885254</v>
          </cell>
          <cell r="S19">
            <v>0.39999985694885254</v>
          </cell>
          <cell r="T19">
            <v>0.5</v>
          </cell>
          <cell r="U19">
            <v>0.5</v>
          </cell>
          <cell r="V19">
            <v>0.5</v>
          </cell>
          <cell r="W19">
            <v>0.5</v>
          </cell>
          <cell r="X19">
            <v>0.5</v>
          </cell>
          <cell r="Y19">
            <v>0.5</v>
          </cell>
          <cell r="Z19">
            <v>0.5</v>
          </cell>
          <cell r="AA19">
            <v>0.5</v>
          </cell>
          <cell r="AB19">
            <v>0.5</v>
          </cell>
          <cell r="AC19">
            <v>0.5</v>
          </cell>
          <cell r="AD19">
            <v>0.5</v>
          </cell>
          <cell r="AE19">
            <v>0.5</v>
          </cell>
          <cell r="AF19">
            <v>0.5</v>
          </cell>
          <cell r="AG19">
            <v>0.5</v>
          </cell>
          <cell r="AH19">
            <v>0.5</v>
          </cell>
          <cell r="AI19">
            <v>0.5</v>
          </cell>
          <cell r="AJ19">
            <v>0.5</v>
          </cell>
        </row>
        <row r="20"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>
            <v>0.5</v>
          </cell>
          <cell r="N20">
            <v>0.5</v>
          </cell>
          <cell r="O20">
            <v>0.5</v>
          </cell>
          <cell r="P20">
            <v>0.5</v>
          </cell>
          <cell r="Q20">
            <v>0.5</v>
          </cell>
          <cell r="R20">
            <v>0.5</v>
          </cell>
          <cell r="S20">
            <v>0.5</v>
          </cell>
          <cell r="T20">
            <v>0.5</v>
          </cell>
          <cell r="U20">
            <v>0.5</v>
          </cell>
          <cell r="V20">
            <v>0.5</v>
          </cell>
          <cell r="W20">
            <v>0.5</v>
          </cell>
          <cell r="X20">
            <v>0.5</v>
          </cell>
          <cell r="Y20">
            <v>0.5</v>
          </cell>
          <cell r="Z20">
            <v>0.5</v>
          </cell>
          <cell r="AA20">
            <v>0.5</v>
          </cell>
          <cell r="AB20">
            <v>0.5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0.5</v>
          </cell>
          <cell r="AI20">
            <v>0.5</v>
          </cell>
          <cell r="AJ20">
            <v>0.5</v>
          </cell>
        </row>
        <row r="21">
          <cell r="I21">
            <v>0.5</v>
          </cell>
          <cell r="J21">
            <v>0.5</v>
          </cell>
          <cell r="K21">
            <v>0.5</v>
          </cell>
          <cell r="L21">
            <v>0.5</v>
          </cell>
          <cell r="M21">
            <v>0.5</v>
          </cell>
          <cell r="N21">
            <v>0.3</v>
          </cell>
          <cell r="O21">
            <v>0.29999995231628418</v>
          </cell>
          <cell r="P21">
            <v>0.29999995231628418</v>
          </cell>
          <cell r="Q21">
            <v>0.3</v>
          </cell>
          <cell r="R21">
            <v>0.29999995231628418</v>
          </cell>
          <cell r="S21">
            <v>0.29999995231628418</v>
          </cell>
          <cell r="T21">
            <v>0.2</v>
          </cell>
          <cell r="U21">
            <v>0.19999992847442627</v>
          </cell>
          <cell r="V21">
            <v>0.19999992847442627</v>
          </cell>
          <cell r="W21">
            <v>0.19999992847442627</v>
          </cell>
          <cell r="X21">
            <v>0.19999992847442627</v>
          </cell>
          <cell r="Y21">
            <v>0.19999992847442627</v>
          </cell>
          <cell r="Z21">
            <v>0.19999992847442627</v>
          </cell>
          <cell r="AA21">
            <v>0.19999992847442627</v>
          </cell>
          <cell r="AB21">
            <v>0.19999992847442627</v>
          </cell>
          <cell r="AC21">
            <v>0.19999992847442627</v>
          </cell>
          <cell r="AD21">
            <v>0.19999992847442627</v>
          </cell>
          <cell r="AE21">
            <v>0.19999992847442627</v>
          </cell>
          <cell r="AF21">
            <v>0.19999992847442627</v>
          </cell>
          <cell r="AG21">
            <v>0.19999992847442627</v>
          </cell>
          <cell r="AH21">
            <v>0.19999992847442627</v>
          </cell>
          <cell r="AI21">
            <v>0.19999992847442627</v>
          </cell>
          <cell r="AJ21">
            <v>0.19999992847442627</v>
          </cell>
        </row>
        <row r="22"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>
            <v>0.19999992847442627</v>
          </cell>
          <cell r="N22">
            <v>0.19999992847442627</v>
          </cell>
          <cell r="O22">
            <v>0.19999992847442627</v>
          </cell>
          <cell r="P22">
            <v>0.19999992847442627</v>
          </cell>
          <cell r="Q22">
            <v>0.19999992847442627</v>
          </cell>
          <cell r="R22">
            <v>0.19999992847442627</v>
          </cell>
          <cell r="S22">
            <v>0.19999992847442627</v>
          </cell>
          <cell r="T22">
            <v>0.19999992847442627</v>
          </cell>
          <cell r="U22">
            <v>0.19999992847442627</v>
          </cell>
          <cell r="V22">
            <v>0.19999992847442627</v>
          </cell>
          <cell r="W22">
            <v>0.19999992847442627</v>
          </cell>
          <cell r="X22">
            <v>0.19999992847442627</v>
          </cell>
          <cell r="Y22">
            <v>0.19999992847442627</v>
          </cell>
          <cell r="Z22">
            <v>0.19999992847442627</v>
          </cell>
          <cell r="AA22">
            <v>0.19999992847442627</v>
          </cell>
          <cell r="AB22">
            <v>0.19999992847442627</v>
          </cell>
          <cell r="AC22">
            <v>0.19999992847442627</v>
          </cell>
          <cell r="AD22">
            <v>0.19999992847442627</v>
          </cell>
          <cell r="AE22">
            <v>0.19999992847442627</v>
          </cell>
          <cell r="AF22">
            <v>0.19999992847442627</v>
          </cell>
          <cell r="AG22">
            <v>0.19999992847442627</v>
          </cell>
          <cell r="AH22">
            <v>0.19999992847442627</v>
          </cell>
          <cell r="AI22">
            <v>0.19999992847442627</v>
          </cell>
          <cell r="AJ22">
            <v>0.19999992847442627</v>
          </cell>
        </row>
        <row r="23">
          <cell r="I23">
            <v>0.19999992847442627</v>
          </cell>
          <cell r="J23">
            <v>0.19999992847442627</v>
          </cell>
          <cell r="K23">
            <v>0.19999992847442627</v>
          </cell>
          <cell r="L23">
            <v>0.19999992847442627</v>
          </cell>
          <cell r="M23">
            <v>0.19999992847442627</v>
          </cell>
          <cell r="N23">
            <v>0.65</v>
          </cell>
          <cell r="O23">
            <v>0.64999961853027344</v>
          </cell>
          <cell r="P23">
            <v>0.64999961853027344</v>
          </cell>
          <cell r="Q23">
            <v>0.64999961853027344</v>
          </cell>
          <cell r="R23">
            <v>0.64999961853027344</v>
          </cell>
          <cell r="S23">
            <v>0.64999961853027344</v>
          </cell>
          <cell r="T23">
            <v>0.65</v>
          </cell>
          <cell r="U23">
            <v>0.64999961853027344</v>
          </cell>
          <cell r="V23">
            <v>0.64999961853027344</v>
          </cell>
          <cell r="W23">
            <v>0.64999961853027344</v>
          </cell>
          <cell r="X23">
            <v>0.64999961853027344</v>
          </cell>
          <cell r="Y23">
            <v>0.64999961853027344</v>
          </cell>
          <cell r="Z23">
            <v>0.64999961853027344</v>
          </cell>
          <cell r="AA23">
            <v>0.64999961853027344</v>
          </cell>
          <cell r="AB23">
            <v>0.64999961853027344</v>
          </cell>
          <cell r="AC23">
            <v>0.64999961853027344</v>
          </cell>
          <cell r="AD23">
            <v>0.64999961853027344</v>
          </cell>
          <cell r="AE23">
            <v>0.64999961853027344</v>
          </cell>
          <cell r="AF23">
            <v>0.64999961853027344</v>
          </cell>
          <cell r="AG23">
            <v>0.64999961853027344</v>
          </cell>
          <cell r="AH23">
            <v>0.64999961853027344</v>
          </cell>
          <cell r="AI23">
            <v>0.64999961853027344</v>
          </cell>
          <cell r="AJ23">
            <v>0.64999961853027344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Ketqua"/>
      <sheetName val="Giaitrinh"/>
      <sheetName val="Kehoachchitiet"/>
      <sheetName val="Dulieu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1. HR Scorecard"/>
      <sheetName val="2. Scorecard ca nhan- da ky"/>
      <sheetName val="Scorecard cá nhân"/>
      <sheetName val="Ketqua"/>
      <sheetName val="Giaitrinh"/>
      <sheetName val="KHHD- M1K2"/>
      <sheetName val="KHHD- M4K1"/>
      <sheetName val="KHHD- M5K1"/>
      <sheetName val="KHHD- M5K2"/>
      <sheetName val="PDA m1k2"/>
      <sheetName val="PDA m3k2"/>
      <sheetName val="PDA m5k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"/>
      <sheetName val="CompanyCode"/>
      <sheetName val="DivisionCode"/>
      <sheetName val="DeptCode"/>
      <sheetName val="SectionCode"/>
      <sheetName val="JobTileCode"/>
      <sheetName val="Sheet2"/>
      <sheetName val="Sheet3"/>
    </sheetNames>
    <sheetDataSet>
      <sheetData sheetId="0"/>
      <sheetData sheetId="1">
        <row r="2">
          <cell r="A2" t="str">
            <v>CT01</v>
          </cell>
        </row>
        <row r="3">
          <cell r="A3" t="str">
            <v>CT04</v>
          </cell>
        </row>
        <row r="4">
          <cell r="A4" t="str">
            <v>CT05</v>
          </cell>
        </row>
        <row r="5">
          <cell r="A5" t="str">
            <v>CT03</v>
          </cell>
        </row>
      </sheetData>
      <sheetData sheetId="2">
        <row r="2">
          <cell r="A2" t="str">
            <v>DTLA</v>
          </cell>
        </row>
      </sheetData>
      <sheetData sheetId="3">
        <row r="2">
          <cell r="A2" t="str">
            <v>BGD</v>
          </cell>
        </row>
      </sheetData>
      <sheetData sheetId="4">
        <row r="2">
          <cell r="A2" t="str">
            <v>DTLA-HNS-BV</v>
          </cell>
        </row>
      </sheetData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CTY"/>
      <sheetName val="1.HUONGDAN"/>
      <sheetName val="2.GIADINH"/>
      <sheetName val="3.BCKQKD (2)"/>
      <sheetName val="3.BCKQKD"/>
      <sheetName val="Hoa von"/>
      <sheetName val="4.CAPEX"/>
      <sheetName val="5.NHANSU"/>
      <sheetName val="4.DOANH THU"/>
      <sheetName val="5.1.1.CPVNL"/>
      <sheetName val="5.1.2-1.3.CPSX"/>
      <sheetName val="1.Doanh thu "/>
      <sheetName val="CP NVL"/>
      <sheetName val="6.CPBH"/>
      <sheetName val="7.CPQL"/>
      <sheetName val="8.CPLAIVAY"/>
      <sheetName val="9. DTTAICHINH"/>
      <sheetName val="10.12.24"/>
      <sheetName val="09.12.24"/>
      <sheetName val="BANG TINH LUONG THOI VU"/>
      <sheetName val="CP SXC 2023"/>
      <sheetName val="CP SXC 10.2024"/>
      <sheetName val="CPSX 2025"/>
      <sheetName val="Gia mua - GB"/>
      <sheetName val="BOM"/>
      <sheetName val="CP THEO SL"/>
      <sheetName val="CP LUONG"/>
      <sheetName val="PBO 214"/>
      <sheetName val="PBO 242 2024"/>
      <sheetName val="TONG HOP HD"/>
    </sheetNames>
    <sheetDataSet>
      <sheetData sheetId="0">
        <row r="6">
          <cell r="D6" t="str">
            <v>Tên Công ty</v>
          </cell>
        </row>
        <row r="7">
          <cell r="D7" t="str">
            <v>MIDA</v>
          </cell>
        </row>
        <row r="8">
          <cell r="D8" t="str">
            <v>DUY PHONG</v>
          </cell>
        </row>
        <row r="9">
          <cell r="D9" t="str">
            <v>NATEC</v>
          </cell>
        </row>
        <row r="10">
          <cell r="D10" t="str">
            <v>PLENMA</v>
          </cell>
        </row>
        <row r="11">
          <cell r="D11" t="str">
            <v>PLASCENE</v>
          </cell>
        </row>
        <row r="12">
          <cell r="D12" t="str">
            <v>TNHH NHỰA DUY TÂN</v>
          </cell>
        </row>
        <row r="13">
          <cell r="D13" t="str">
            <v>TNHH DUYTAN</v>
          </cell>
        </row>
        <row r="14">
          <cell r="D14" t="str">
            <v>DTG</v>
          </cell>
        </row>
        <row r="15">
          <cell r="D15" t="str">
            <v>ABC VN</v>
          </cell>
        </row>
        <row r="16">
          <cell r="D16" t="str">
            <v>DUYTAN TÁI CHẾ</v>
          </cell>
        </row>
        <row r="17">
          <cell r="D17" t="str">
            <v>ĐẠI LỘC</v>
          </cell>
        </row>
        <row r="18">
          <cell r="D18" t="str">
            <v>KHÁNH NGA</v>
          </cell>
        </row>
        <row r="19">
          <cell r="D19" t="str">
            <v>ĐỒNG LÂM</v>
          </cell>
        </row>
        <row r="20">
          <cell r="D20" t="str">
            <v>TÂN ĐẠI PHÁT</v>
          </cell>
        </row>
        <row r="21">
          <cell r="D21" t="str">
            <v>TÂN LỢI PHÁT</v>
          </cell>
        </row>
        <row r="22">
          <cell r="D22" t="str">
            <v>CÁT VÂN</v>
          </cell>
        </row>
        <row r="23">
          <cell r="D23" t="str">
            <v>THẠNH PHÁT</v>
          </cell>
        </row>
        <row r="24">
          <cell r="D24" t="str">
            <v>TAN BÌNH GROUP</v>
          </cell>
        </row>
        <row r="25">
          <cell r="D25" t="str">
            <v>BV ĐÀ NẴNG</v>
          </cell>
        </row>
        <row r="26">
          <cell r="D26" t="str">
            <v>YẾN NHẤT VƯƠNG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hecklist"/>
      <sheetName val="Handbook"/>
    </sheetNames>
    <definedNames>
      <definedName name="Data.Top.Left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  <sheetName val="About JaxWorks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even Analysis"/>
      <sheetName val="P&amp;L"/>
      <sheetName val="P&amp;L Old"/>
      <sheetName val="P&amp;L (2)"/>
      <sheetName val="Sheet2"/>
      <sheetName val="Showroom"/>
    </sheetNames>
    <sheetDataSet>
      <sheetData sheetId="0">
        <row r="4">
          <cell r="F4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gle Measure Analysis"/>
    </sheetNames>
    <sheetDataSet>
      <sheetData sheetId="0">
        <row r="22">
          <cell r="P22" t="str">
            <v>%.%</v>
          </cell>
        </row>
        <row r="29">
          <cell r="B29">
            <v>0.9539249146757679</v>
          </cell>
          <cell r="C29">
            <v>0.93386243386243384</v>
          </cell>
          <cell r="D29">
            <v>0.88349514563106801</v>
          </cell>
          <cell r="E29">
            <v>0.72990654205607475</v>
          </cell>
          <cell r="F29">
            <v>0.75763962065331925</v>
          </cell>
          <cell r="G29">
            <v>0.80712625871417509</v>
          </cell>
          <cell r="H29">
            <v>0.9043956043956044</v>
          </cell>
          <cell r="I29">
            <v>0.9033189033189033</v>
          </cell>
          <cell r="J29">
            <v>0.93020134228187923</v>
          </cell>
          <cell r="K29">
            <v>0.79852941176470593</v>
          </cell>
          <cell r="L29">
            <v>0.69285714285714284</v>
          </cell>
          <cell r="M29">
            <v>0.88</v>
          </cell>
        </row>
        <row r="30">
          <cell r="B30">
            <v>0.9</v>
          </cell>
          <cell r="C30">
            <v>0.9</v>
          </cell>
          <cell r="D30">
            <v>0.9</v>
          </cell>
          <cell r="E30">
            <v>0.9</v>
          </cell>
          <cell r="F30">
            <v>0.9</v>
          </cell>
          <cell r="G30">
            <v>0.9</v>
          </cell>
          <cell r="H30">
            <v>0.9</v>
          </cell>
          <cell r="I30">
            <v>0.9</v>
          </cell>
          <cell r="J30">
            <v>0.9</v>
          </cell>
          <cell r="K30">
            <v>0.9</v>
          </cell>
          <cell r="L30">
            <v>0.9</v>
          </cell>
          <cell r="M30">
            <v>0.9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Hướng dẫn"/>
      <sheetName val="2. Giả định"/>
      <sheetName val="3. KPI"/>
      <sheetName val="1.1 Revenue_Manufacturing"/>
      <sheetName val="1.2 Revenue_Dropship"/>
      <sheetName val="Dep_Simulation 2023"/>
      <sheetName val="Dep_Simulation 2024"/>
      <sheetName val="Commission"/>
      <sheetName val="2.1Raw material_details"/>
      <sheetName val="Quickbook_Data 2023"/>
      <sheetName val="99.02Expense_23Jan-Apr pivot"/>
      <sheetName val="99.02Expense_23Jan-Apr_details"/>
      <sheetName val="99.03Expense_2022_details"/>
      <sheetName val="99.01Expense_23.May-Oct_pivot"/>
      <sheetName val="99.01Expense_23.May-Oct_details"/>
      <sheetName val="01. Cashflow"/>
      <sheetName val="02. PnL"/>
      <sheetName val="CS"/>
      <sheetName val="1. Revenue"/>
      <sheetName val="TT 22-23"/>
      <sheetName val="2. Cost of raw material"/>
      <sheetName val="11.02Payrolls details"/>
      <sheetName val="3. Production expense"/>
      <sheetName val="00.01TONG_HOP"/>
      <sheetName val="10. Capex"/>
      <sheetName val="11. Selling expense"/>
      <sheetName val="12. Admin expense"/>
      <sheetName val="3.1Allocated expense"/>
      <sheetName val="11.1 Selling expense_Details"/>
      <sheetName val="11.2 Tradeshow 2024"/>
      <sheetName val="10.1Capex details"/>
      <sheetName val="11.Payrolls"/>
      <sheetName val="13.14. Other income &amp; expense"/>
      <sheetName val="11.01Headcount"/>
      <sheetName val="11.03Payroll change_gửi cThủy"/>
      <sheetName val="11.04Payroll_Oct 2023"/>
      <sheetName val="11.05Lương TNHH 2024"/>
      <sheetName val="11.06Lương TNHH_2023"/>
      <sheetName val="Drop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 t="str">
            <v>PLASCENE INC.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Sheet1"/>
      <sheetName val="Tro giup"/>
      <sheetName val="THDZ0,4"/>
      <sheetName val="TH DZ35"/>
      <sheetName val="THTram"/>
      <sheetName val="SILICATE"/>
      <sheetName val="조명시설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VL,NC,MTC"/>
      <sheetName val="#REF"/>
      <sheetName val="DG"/>
      <sheetName val="공통가설"/>
      <sheetName val="물량표S"/>
      <sheetName val="DATA"/>
      <sheetName val="Customize Your Purchase Order"/>
      <sheetName val="Don gia"/>
      <sheetName val="Don gia chi tiet"/>
      <sheetName val="DC"/>
      <sheetName val="NL"/>
      <sheetName val="DON GIA TRAM (3)"/>
      <sheetName val="dongia"/>
      <sheetName val="JP_List"/>
      <sheetName val="SUBS"/>
      <sheetName val="Feeds"/>
      <sheetName val="final list 2005"/>
      <sheetName val="PU_ITALY_"/>
      <sheetName val="final_list_2005"/>
      <sheetName val="WORKINGS"/>
      <sheetName val="DON GIA CAN THO"/>
      <sheetName val="LV data"/>
      <sheetName val="SL"/>
      <sheetName val="TONGKE-HT"/>
      <sheetName val="Control"/>
      <sheetName val="THVATTU"/>
      <sheetName val="So doi chieu LC"/>
      <sheetName val="gvl"/>
      <sheetName val="7606 DZ"/>
      <sheetName val="phuluc1"/>
      <sheetName val="S-curve "/>
      <sheetName val="내역서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XT_Buoc 3"/>
      <sheetName val="DONVIBAN"/>
      <sheetName val="NGUON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TinhGiaMTC"/>
      <sheetName val="TinhGiaNC"/>
      <sheetName val="DON_GIA_CAN_THO"/>
      <sheetName val="PU_ITALY_1"/>
      <sheetName val="TH_DZ351"/>
      <sheetName val="Tro_giup1"/>
      <sheetName val="DON_GIA_CAN_THO1"/>
      <sheetName val="DGTH"/>
      <sheetName val="HĐ ngoài"/>
      <sheetName val="dongia (2)"/>
      <sheetName val="Mall"/>
      <sheetName val="Du_lieu"/>
      <sheetName val="CTG"/>
      <sheetName val="실행철강하도"/>
      <sheetName val="dnc4"/>
      <sheetName val="project management"/>
      <sheetName val="SITE-E"/>
      <sheetName val="침하계"/>
      <sheetName val="BETON"/>
      <sheetName val="갑지"/>
      <sheetName val="24-ACMV"/>
      <sheetName val="chitimc"/>
      <sheetName val="giathanh1"/>
      <sheetName val="Adix A"/>
      <sheetName val="THVT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DLDTLN"/>
      <sheetName val="차액보증"/>
      <sheetName val="Bang KL"/>
      <sheetName val="DG-VL"/>
      <sheetName val="PTDGCT"/>
      <sheetName val="TONG HOP VL-NC"/>
      <sheetName val="lam-moi"/>
      <sheetName val="ALLOWANCE"/>
      <sheetName val="MH RATE"/>
      <sheetName val="Sheet3"/>
      <sheetName val="TH_CNO"/>
      <sheetName val="NK_CHUNG"/>
      <sheetName val="Config"/>
      <sheetName val="DMCP"/>
      <sheetName val="HS_TDT"/>
      <sheetName val="KPTH-T12"/>
      <sheetName val="Thamgia-T10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damgiua"/>
      <sheetName val="dgct"/>
      <sheetName val="Giá"/>
      <sheetName val="DM1776"/>
      <sheetName val="DM228"/>
      <sheetName val="DM4970"/>
      <sheetName val="Camay_DP"/>
      <sheetName val="DM6061"/>
      <sheetName val="Luong2"/>
      <sheetName val="WT-LIST"/>
      <sheetName val="366"/>
      <sheetName val="Trạm biến áp"/>
      <sheetName val="Đơn Giá 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Sheet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PRI-LS"/>
      <sheetName val="NKC6"/>
      <sheetName val="Cước VC + ĐM CP Tư vấn"/>
      <sheetName val="Hệ số"/>
      <sheetName val="DTXD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KL san lap"/>
      <sheetName val="bridge # 1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DonGiaLD"/>
      <sheetName val="Chi tiet"/>
      <sheetName val="Active"/>
      <sheetName val="PMS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PS-Labour_M"/>
      <sheetName val="Bang 3_Chi tiet phan Dz"/>
      <sheetName val="KHOI LUONG"/>
      <sheetName val="DG7606DZ"/>
      <sheetName val="VND"/>
      <sheetName val="Buy vs. Lease Car"/>
      <sheetName val="___S"/>
      <sheetName val="___"/>
      <sheetName val="__"/>
      <sheetName val="______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daf-3(OK)"/>
      <sheetName val="daf-7(OK)"/>
      <sheetName val="subcon sched"/>
      <sheetName val="NHÀ NHẬP LIỆU"/>
      <sheetName val="MÓNG SILO"/>
      <sheetName val="PRE (E)"/>
      <sheetName val="HVAC.BLOCK B4"/>
      <sheetName val="SourceData"/>
      <sheetName val="SEX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CTEMCOST"/>
      <sheetName val="DongiaVL2"/>
      <sheetName val="1_MV"/>
      <sheetName val="D &amp; W sizes"/>
      <sheetName val="Analisa &amp; Upah"/>
      <sheetName val="Ktmo"/>
      <sheetName val="Unit_Div6"/>
      <sheetName val="Purchase Order"/>
      <sheetName val="Main"/>
      <sheetName val="경비2내역"/>
      <sheetName val="Du lieu"/>
      <sheetName val="Cash2"/>
      <sheetName val="dghn"/>
      <sheetName val="Markup"/>
      <sheetName val="BOQ건축"/>
      <sheetName val="Formwork"/>
      <sheetName val="DETAIL_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lieu dau vao"/>
      <sheetName val="OT"/>
      <sheetName val="外気負荷"/>
      <sheetName val="BANCO (2)"/>
      <sheetName val="MT DPin (2)"/>
      <sheetName val="CHI PHI"/>
      <sheetName val="MDA"/>
      <sheetName val="MKH"/>
      <sheetName val="DMNV"/>
      <sheetName val="DMNCC"/>
      <sheetName val="MHH"/>
      <sheetName val="TK chi tiet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BẢNG_KHỐI_LƯỢNG_TỔNG_HỢP"/>
      <sheetName val="CP_Khac_cuoc_VC"/>
      <sheetName val="Budget_Code"/>
      <sheetName val="CTKL_KTX_HT"/>
      <sheetName val="2_Chiet_tinh"/>
      <sheetName val="NHÀ_NHẬP_LIỆU"/>
      <sheetName val="MÓNG_SILO"/>
      <sheetName val="CDTK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B NẶNG"/>
      <sheetName val="Du tru CP-Bieu 01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MTL(AG)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Ma don vi"/>
      <sheetName val="bang cc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Brick"/>
      <sheetName val="Bill 2-Road HR2"/>
      <sheetName val="Bill 3 - Softscape HR2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gui BKCT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VT190111"/>
      <sheetName val="DG 1426"/>
      <sheetName val="물량표"/>
      <sheetName val="0. Input"/>
      <sheetName val="유림콘도"/>
      <sheetName val="유림골조"/>
      <sheetName val="Btra"/>
      <sheetName val="Door_and_window1"/>
      <sheetName val="Ma_don_vi"/>
      <sheetName val="bang_cc"/>
      <sheetName val="Chi tiet -tong 9 thang"/>
      <sheetName val="BangMa"/>
      <sheetName val="Don gia chi tiet DIEN 2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7606(TT01)"/>
      <sheetName val="7606TBA(TT01)"/>
      <sheetName val="DG7606TBA"/>
      <sheetName val="CTTN"/>
      <sheetName val="Luong_Cnhan"/>
      <sheetName val="DMTN"/>
      <sheetName val="VatTU"/>
      <sheetName val="Thongtin"/>
      <sheetName val="Dongia7606new"/>
      <sheetName val="Theo doi Doanh thu 2017"/>
      <sheetName val="Gia vat lieu"/>
      <sheetName val="Precios unitarios AXH"/>
      <sheetName val=""/>
      <sheetName val="INF"/>
      <sheetName val="lam_moi"/>
      <sheetName val="MTO REV.2(ARMOR)"/>
      <sheetName val="ReadFirst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NHAP"/>
      <sheetName val="3. CNT"/>
      <sheetName val="unit price list(M)"/>
      <sheetName val="Rate1"/>
      <sheetName val="TH VL, NC, DDHT Thanhphuoc"/>
      <sheetName val="전기"/>
      <sheetName val="DMCT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i so"/>
      <sheetName val="Notes"/>
      <sheetName val="1.2 Staff Schedule"/>
      <sheetName val="SPEC"/>
      <sheetName val="VO-PS02-XD"/>
      <sheetName val="Danh mục"/>
      <sheetName val="Q.A01.2-Sh"/>
      <sheetName val="PNT_QUOT__3"/>
      <sheetName val="COAT_WRAP_QIOT__3"/>
      <sheetName val="125x125"/>
      <sheetName val="Bảng đo bóc KL OLK-09"/>
      <sheetName val="6.3 CHI TIET OLK-09"/>
      <sheetName val="PV Graph Data"/>
      <sheetName val="GJ_06"/>
      <sheetName val="Classification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KHOI LUONG15-4"/>
      <sheetName val="HS"/>
      <sheetName val="Dot 4"/>
      <sheetName val="BTK-Dai Hoc Kien Giang"/>
      <sheetName val="cuocbd"/>
      <sheetName val="CUOC"/>
      <sheetName val="#REF!"/>
      <sheetName val="dgtn"/>
      <sheetName val="DM_336cai tao"/>
      <sheetName val="HRG BHN"/>
      <sheetName val="CĂN ĐH"/>
      <sheetName val="doanh thu"/>
      <sheetName val="Dutoan K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K_chi_tiet1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TH các CC"/>
      <sheetName val="DLDT"/>
      <sheetName val="Dgia vat tu"/>
      <sheetName val="Don gia_III"/>
      <sheetName val="D÷ liÖu"/>
      <sheetName val="Chi phi van chuyen"/>
      <sheetName val="Div26 - Elect"/>
      <sheetName val="DT hợp đồng"/>
      <sheetName val="Bảng KL đợt 1"/>
      <sheetName val="2.CDPS"/>
      <sheetName val="개산공사비"/>
      <sheetName val="Gld"/>
      <sheetName val="Gxd"/>
      <sheetName val="Duthau"/>
      <sheetName val="7.Khau tru "/>
      <sheetName val="4 CĂN"/>
      <sheetName val="Calculation"/>
      <sheetName val="DMSC"/>
      <sheetName val="Heso DZ"/>
      <sheetName val="DGiaDZ"/>
      <sheetName val="gtrinh"/>
      <sheetName val="A6,MAY"/>
      <sheetName val="DG_BINH THUAN"/>
      <sheetName val="Method_BouyancyFactor"/>
      <sheetName val="Method_PressureArea"/>
      <sheetName val="InputData"/>
      <sheetName val="B-2  (DPP)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Financ. Overview"/>
      <sheetName val="Toolbox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Inputs_Sens"/>
      <sheetName val="IS_Sum_CM"/>
      <sheetName val="gia vt,nc,may"/>
      <sheetName val="TINH GIA - SAN XUAT Vertico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Bieu gia HD"/>
      <sheetName val="Huong dan"/>
      <sheetName val="Kyhieuloptratsonba"/>
      <sheetName val="BANRA"/>
      <sheetName val="KCCP"/>
      <sheetName val="Danh mục khối"/>
      <sheetName val="Danh mục đơn vị -phòng chức năn"/>
      <sheetName val="MB.DT.02"/>
      <sheetName val="01-&gt;12"/>
      <sheetName val="Article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5.2.1 Đo bóc KL OLK-06"/>
      <sheetName val="DZ 22KV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Tổng hợp KPHM"/>
      <sheetName val="Cong"/>
      <sheetName val="Dinh muc"/>
      <sheetName val="TDTKP"/>
      <sheetName val="DK-KH"/>
      <sheetName val="Annual_CFs_Asset"/>
      <sheetName val="현장별"/>
      <sheetName val="Contents"/>
      <sheetName val="Factor_sheet"/>
      <sheetName val="Labour Summary"/>
      <sheetName val="CWN_Consol"/>
      <sheetName val="Labour_Summary"/>
      <sheetName val="PU_ITALY_9"/>
      <sheetName val="final_list_20059"/>
      <sheetName val="final_list_20056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Cash Flow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PTVT"/>
      <sheetName val="GIÁ DỰ THẦU 30 CĂN"/>
      <sheetName val="datatt"/>
      <sheetName val="Painting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Electrical Works"/>
      <sheetName val="H_T_ INCOMING SYSTEM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DI_ESTI"/>
      <sheetName val="CTDZTA(5)"/>
      <sheetName val="THONG SO"/>
      <sheetName val="Đơn giá chi tiết TN 39"/>
      <sheetName val="ABUT수량-A1"/>
      <sheetName val="THKP957"/>
      <sheetName val="Tính giá NC"/>
      <sheetName val="Tiên lượng"/>
      <sheetName val="SL cước"/>
      <sheetName val="Thuyết minh"/>
      <sheetName val="Đơn giá máy"/>
      <sheetName val="EQT-ESTN"/>
      <sheetName val="4.2.1 Đo bóc KL OLK-06"/>
      <sheetName val="4.1.1 CHI TIET OLK-06"/>
      <sheetName val="Yield"/>
      <sheetName val="Items"/>
      <sheetName val="Detail"/>
      <sheetName val="¥ "/>
      <sheetName val="KLall"/>
      <sheetName val="DCQ"/>
      <sheetName val="DCS"/>
      <sheetName val="DD"/>
      <sheetName val="係数"/>
      <sheetName val="8521"/>
      <sheetName val="Package1"/>
      <sheetName val="dulieumong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SGC RATE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BID"/>
      <sheetName val="112016"/>
      <sheetName val="Bán đợt 1 trang"/>
      <sheetName val="Chiet tinh dz35"/>
      <sheetName val="DG3285"/>
      <sheetName val="說明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tuong"/>
      <sheetName val="Tien Luong"/>
      <sheetName val="Bù giá CM"/>
      <sheetName val="Links"/>
      <sheetName val="Lead"/>
      <sheetName val="Breakdown (B)"/>
      <sheetName val="U.P_Breakdown"/>
      <sheetName val="기안"/>
      <sheetName val="갑지(추정)"/>
      <sheetName val="Unit price(Updateting)"/>
      <sheetName val="基本"/>
      <sheetName val="149-2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LX -TT05"/>
      <sheetName val="NC Moi TT05"/>
      <sheetName val="IMF Code"/>
      <sheetName val="Main_Mech"/>
      <sheetName val="Sub_Mech"/>
      <sheetName val="dats"/>
      <sheetName val="CHITIET VL-NCHT1 (2)"/>
      <sheetName val="COAT&amp;WRAP-QIOT-#3"/>
      <sheetName val="CashFlows"/>
      <sheetName val="tifico"/>
      <sheetName val="BC chi tiết TT"/>
      <sheetName val="DT san XD-So lieu cu"/>
      <sheetName val="Share Price 2002"/>
      <sheetName val="Case"/>
      <sheetName val="SumVal"/>
      <sheetName val="Tabela1"/>
      <sheetName val="STATC"/>
      <sheetName val="FF-2 (1)"/>
      <sheetName val="FSA"/>
      <sheetName val="Menu"/>
      <sheetName val="DSKH"/>
      <sheetName val="표지"/>
      <sheetName val="직종인원"/>
      <sheetName val="총원dB"/>
      <sheetName val="Chao gia T12_RE"/>
      <sheetName val="ThongtinDN"/>
      <sheetName val="DM DU AN"/>
      <sheetName val="DM TP."/>
      <sheetName val="File Chi tiet"/>
      <sheetName val="Bangia"/>
      <sheetName val="D+W"/>
      <sheetName val="chitiet"/>
      <sheetName val="kl3p"/>
      <sheetName val="kl3pct"/>
      <sheetName val="kl3pcto"/>
      <sheetName val="주식"/>
      <sheetName val="Cau tao gia xay to"/>
      <sheetName val="Subsidiary Calculatio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don gia 1426"/>
      <sheetName val="ERECIN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Abutment"/>
      <sheetName val="inputcua"/>
      <sheetName val="Phu Bai Bridge"/>
      <sheetName val="beam"/>
      <sheetName val="DSNV"/>
      <sheetName val="BILL 34Āᐁë"/>
      <sheetName val="BILL 34Āᐁë_x0000__x0000__x0001__x0000__x0000__x0000_ HẦM"/>
      <sheetName val="THPDMoi  (2)"/>
      <sheetName val="thao-go"/>
      <sheetName val="t-h HA THE"/>
      <sheetName val="TH XL"/>
      <sheetName val="Tiepdia"/>
      <sheetName val="CHITIET VL-NC"/>
      <sheetName val="BẢNG DIỄN GIẢI KL (7)"/>
      <sheetName val="w't table"/>
      <sheetName val="변경내역"/>
      <sheetName val="내역"/>
      <sheetName val="Takeoff"/>
      <sheetName val="Chu dau tu"/>
      <sheetName val="Bia lot"/>
      <sheetName val="NTCV1"/>
      <sheetName val="THÔNG TIN"/>
      <sheetName val="COST_ACC"/>
      <sheetName val="Probbl - Production"/>
      <sheetName val="toyota"/>
      <sheetName val="CTGS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Solieu"/>
      <sheetName val="Backup"/>
      <sheetName val="CHI PHÍ NHÔM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TABLE-A"/>
      <sheetName val="Dashboard - BQL - VHL"/>
      <sheetName val="Dinh Muc Vat Tu"/>
      <sheetName val="mã "/>
      <sheetName val="DG05new"/>
      <sheetName val="CauHinh"/>
      <sheetName val="DLTA"/>
      <sheetName val="Cot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 BBNT KLHT"/>
      <sheetName val="Bordereau"/>
      <sheetName val="SucChiuTaiCuaCoc"/>
      <sheetName val="KEILA TP 2020-07"/>
      <sheetName val="lookups"/>
      <sheetName val="B3A-APARTMENT"/>
      <sheetName val="CFA (ME)"/>
      <sheetName val="MEP Building"/>
      <sheetName val="Breakdown"/>
      <sheetName val="DTCT"/>
      <sheetName val="TKXM"/>
      <sheetName val="BANGTRA"/>
      <sheetName val="CHITIET VL-NC-TT1p"/>
      <sheetName val="CFS3"/>
      <sheetName val="AASHTO92"/>
      <sheetName val="재료비단가(VALVE)"/>
      <sheetName val="BOM-13.11-Other(PS1+PS2)"/>
      <sheetName val="Tra_thep"/>
      <sheetName val="PAINT_SPEC"/>
      <sheetName val="SCHEDUL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TAX"/>
      <sheetName val="Aging Sept"/>
      <sheetName val="Invoice"/>
      <sheetName val="Aging_Sept"/>
      <sheetName val="DT_san_XD-So_lieu_cu"/>
      <sheetName val="CFA"/>
      <sheetName val="TKLD"/>
      <sheetName val="NHOM KINH"/>
      <sheetName val="LUONG SCL"/>
      <sheetName val="QSUM"/>
      <sheetName val="BP"/>
      <sheetName val="Gia-VL"/>
      <sheetName val="chitietCS"/>
      <sheetName val="chitietTD"/>
      <sheetName val="PL02"/>
      <sheetName val="Chênh lệch máy thi công"/>
      <sheetName val="Chênh lệch nhân công"/>
      <sheetName val="Chênh lệch vật liệu"/>
      <sheetName val="Charts"/>
      <sheetName val="XREF"/>
      <sheetName val="Fixed asset register"/>
      <sheetName val="YTD"/>
      <sheetName val="Input List"/>
      <sheetName val="SYSTEMS"/>
      <sheetName val="DBASE"/>
      <sheetName val="Valid data revised"/>
      <sheetName val="BUDGET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BS-DET"/>
      <sheetName val="Table"/>
      <sheetName val="Sch 18 Bank"/>
      <sheetName val="Stock details"/>
      <sheetName val="Part A General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BP DECLINE IT"/>
      <sheetName val="Bank Rev"/>
      <sheetName val="dlvoid"/>
      <sheetName val="DATAENTRY"/>
      <sheetName val="Merit &amp; Market Grid"/>
      <sheetName val="EXPENSES"/>
      <sheetName val="DETAIL MIX % REPORT"/>
      <sheetName val="LBO"/>
      <sheetName val="Fill this out first..."/>
      <sheetName val="DoanhNghiệp"/>
      <sheetName val="ThôngTin"/>
      <sheetName val=" "/>
      <sheetName val="seido_BS"/>
      <sheetName val="DMKH"/>
      <sheetName val="MSB-DB"/>
      <sheetName val="SLabs"/>
      <sheetName val="KUNGDEVI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行动跟踪"/>
      <sheetName val="g-vl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Auto Monthly Inputs "/>
      <sheetName val="Don gia XD"/>
      <sheetName val="tra-vat-lieu"/>
      <sheetName val="Luong_BN"/>
      <sheetName val="Luong_TB"/>
      <sheetName val="Ca_may_TB"/>
      <sheetName val="Ca_máy_BN"/>
      <sheetName val="Vật_liệu"/>
      <sheetName val="Gia NC theo TT05"/>
      <sheetName val="CTtr"/>
      <sheetName val="caocot"/>
      <sheetName val="Bia1"/>
      <sheetName val="Land Dev't. Ph-1"/>
      <sheetName val="Hac.Lots"/>
      <sheetName val="4-Lane bridge"/>
      <sheetName val="Res.Lots"/>
      <sheetName val="Spine Road"/>
      <sheetName val="TienLuong"/>
      <sheetName val="Para"/>
      <sheetName val="PNTEXT"/>
      <sheetName val="DFA"/>
      <sheetName val="DSV6 Summ"/>
      <sheetName val="NTKL"/>
      <sheetName val="Luong (TP Việt Trì)"/>
      <sheetName val="DG "/>
      <sheetName val="기본DATA"/>
      <sheetName val="datta"/>
      <sheetName val="GIAVLIEU"/>
      <sheetName val="BTH"/>
      <sheetName val="sortÔ"/>
      <sheetName val="ChiTietDZ"/>
      <sheetName val="VuaBT"/>
      <sheetName val="264"/>
      <sheetName val="CaiDat"/>
      <sheetName val="CPK"/>
      <sheetName val="BAG-2"/>
      <sheetName val="COPING"/>
      <sheetName val="Elemental Breakdown+20%"/>
      <sheetName val="PHẦN KIẾN TRÚC"/>
      <sheetName val="DS_GioiTinh"/>
      <sheetName val="DS_LoaiNhanVien"/>
      <sheetName val="DS_QuocTich"/>
      <sheetName val="DS_TinhTrangGiaDinh"/>
      <sheetName val="DS_TonGiao"/>
      <sheetName val="CTG-PRECHEx1_4ꀋ"/>
      <sheetName val="BangQuiDoi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TH_DZ351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Boc KL DAT+CAT+BT"/>
      <sheetName val="Boc KL thép"/>
      <sheetName val="Bieu do nhan luc"/>
      <sheetName val="B1_HT"/>
      <sheetName val="DGKL_TRỤC NGOAI NHA"/>
      <sheetName val="5.2.1 Đo bóc KL OLK-07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0.Data"/>
      <sheetName val="0.Data_new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CONSOIDATE 4"/>
      <sheetName val="CONSOIDATE 2"/>
      <sheetName val="1CT-CAUTHANG-TT-T13(TRIU)&lt;16&gt;16"/>
      <sheetName val="3,CT-CAUTHANG-T23-24&gt;50"/>
      <sheetName val="공사개요-C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Khoi luong kenh dan"/>
      <sheetName val="Thep_Be TN(tai_C10)"/>
      <sheetName val="GGBC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比率"/>
      <sheetName val="数据库"/>
      <sheetName val="CF -Update 31Jul06"/>
      <sheetName val="Executive Summary"/>
      <sheetName val="XL4Poppy (2)"/>
      <sheetName val="XL4Poppy_(2)"/>
      <sheetName val="NPCPP-70-DS-017"/>
      <sheetName val="1.설계조건"/>
      <sheetName val="Input - Facilities"/>
      <sheetName val="Norms"/>
      <sheetName val="BP CAPEX MoD-100% Area 4 USD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THDT_goi_thauџTB2"/>
      <sheetName val="Define finishing"/>
      <sheetName val="THONG SO KICH THUOC"/>
      <sheetName val="sales current month"/>
      <sheetName val="View Variance"/>
      <sheetName val="Gia giao VL den HT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CDPS SAU KC"/>
      <sheetName val="FORM-16"/>
      <sheetName val="Division"/>
      <sheetName val="DNDN"/>
      <sheetName val="DO AM DT"/>
      <sheetName val="he so dong thoi"/>
      <sheetName val="Cuoc "/>
      <sheetName val="gia chao"/>
      <sheetName val="Vat lieu BTN"/>
      <sheetName val="MTO REV.0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토목주소"/>
      <sheetName val="프랜트면허"/>
      <sheetName val="PTdam"/>
      <sheetName val="CAU"/>
      <sheetName val="MD"/>
      <sheetName val="So sanh gia"/>
      <sheetName val="Luong 2622EVN"/>
      <sheetName val="CT -THVLNC"/>
      <sheetName val="Hs_TMDT"/>
      <sheetName val="TMDT"/>
      <sheetName val="02. PHAN TICH"/>
      <sheetName val="03. NGAN SACH"/>
      <sheetName val="ADJ 2011"/>
      <sheetName val="NOVA MEDIC"/>
      <sheetName val="DGKL MEDIC"/>
      <sheetName val="cable, lighting, switch"/>
      <sheetName val="ĐỢT 1"/>
      <sheetName val="INNOVA"/>
      <sheetName val="begin"/>
      <sheetName val="01. Nha xuong"/>
      <sheetName val="data-ma2"/>
      <sheetName val="pt10Èn"/>
      <sheetName val="Request"/>
      <sheetName val="mahang"/>
      <sheetName val="MAHANG BHLD"/>
      <sheetName val="LUONGKHOAN"/>
      <sheetName val="CHITIETHOADON.TT"/>
      <sheetName val="mahang chinh sua moi nhat"/>
      <sheetName val="Da xay dung"/>
      <sheetName val="TCVN 1651-2008"/>
      <sheetName val="QMCT"/>
      <sheetName val="Technal"/>
      <sheetName val="DNTT"/>
      <sheetName val="Product"/>
      <sheetName val="BCC_4054-05"/>
      <sheetName val="Tra1"/>
      <sheetName val="SLTh.ke"/>
      <sheetName val="0,SO LIEU DAU VAO"/>
      <sheetName val="chi tiet TS theo so lieu ktoan"/>
      <sheetName val="LinerWt"/>
      <sheetName val="Bldg Brkdown"/>
      <sheetName val="ca_máy6"/>
      <sheetName val="DG VL KS"/>
      <sheetName val="Price"/>
      <sheetName val="KL T16 BÀN GIAO 19.4"/>
      <sheetName val="proj"/>
      <sheetName val="Thang 01"/>
      <sheetName val="Thống kê"/>
      <sheetName val="BAN IN"/>
      <sheetName val="Noise insl"/>
      <sheetName val="Hot-Piping"/>
      <sheetName val="DTXL( 270)"/>
      <sheetName val="ThiNghiemDZ04"/>
      <sheetName val="OVER VIEW"/>
      <sheetName val="Data (2)"/>
      <sheetName val="Char"/>
      <sheetName val="Book 1 Summary"/>
      <sheetName val="dsnt"/>
      <sheetName val="dat"/>
      <sheetName val="TonDau"/>
      <sheetName val="DG_"/>
      <sheetName val="DG_1"/>
      <sheetName val="DS Cty"/>
      <sheetName val="THÁNG 05"/>
      <sheetName val="TONGKE3p "/>
      <sheetName val="TNHCHINH"/>
      <sheetName val="VCV-BE-TONG"/>
      <sheetName val="NKCT"/>
      <sheetName val="Civil"/>
      <sheetName val="1-Backfilling"/>
      <sheetName val="SCOPE OF WORK"/>
      <sheetName val="4)유동표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Merit_&amp;_Market_Grid"/>
      <sheetName val="Scraps"/>
      <sheetName val="Mth-Vana"/>
      <sheetName val="DUMP"/>
      <sheetName val="AN 2000"/>
      <sheetName val="Utilization"/>
      <sheetName val="PREV_RICAVI"/>
      <sheetName val="Khaibao"/>
      <sheetName val="List of Staff"/>
      <sheetName val="_ QUOTATION.xlsx"/>
      <sheetName val="2.5.Ducts (2)"/>
      <sheetName val="S N"/>
      <sheetName val="Dynamic Ranges"/>
      <sheetName val="THCP thiet bi"/>
      <sheetName val="Piano Montaggio PO-02 bozza2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a may"/>
      <sheetName val="DIEN TICH"/>
      <sheetName val="Cal"/>
      <sheetName val="공문"/>
      <sheetName val="PTcphoi"/>
      <sheetName val="Giahientruong"/>
      <sheetName val="Ten"/>
      <sheetName val="GIA NC, CM"/>
      <sheetName val="GIA VL"/>
      <sheetName val="13.Luong"/>
      <sheetName val="Eq. Mobilization"/>
      <sheetName val="Link HG"/>
      <sheetName val="입찰내역 발주처 양식"/>
      <sheetName val="DINH_MUCџTHI_NGHIEM3"/>
      <sheetName val="DSCTEMP"/>
      <sheetName val="Shape"/>
      <sheetName val="Beam reinfocement schedule"/>
      <sheetName val="Thong so dam"/>
      <sheetName val="Wall Block C"/>
      <sheetName val="General Schedule"/>
      <sheetName val="02. THONG_TIN_CHUNG"/>
      <sheetName val="07. DINH_MUC HBC"/>
      <sheetName val="CDSPS"/>
      <sheetName val="NH-KY"/>
      <sheetName val="MTP"/>
      <sheetName val="H.Satuan"/>
      <sheetName val="4.3 Scope of work "/>
      <sheetName val="DanhSach11"/>
      <sheetName val="Danhsach 12"/>
      <sheetName val="DB FEE"/>
      <sheetName val="BHYT Tự Nguyện - Vinschool-Mau "/>
      <sheetName val="merger"/>
      <sheetName val="27850"/>
      <sheetName val="Criteri"/>
      <sheetName val="Income Statement1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TK SX"/>
      <sheetName val="ma-pt"/>
      <sheetName val="6.9 DM CTP"/>
      <sheetName val="Aging_Sept1"/>
      <sheetName val="ADJ - RATE"/>
      <sheetName val="BXLDL"/>
      <sheetName val="Bill rekap"/>
      <sheetName val="Cash Flow bulanan"/>
      <sheetName val="PTDG-CL"/>
      <sheetName val="GVL-tuyến"/>
      <sheetName val="GVL-BTN"/>
      <sheetName val="PhaDoMong"/>
      <sheetName val="bdkdt"/>
      <sheetName val="CươcVC tinh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on vi"/>
      <sheetName val="PTDM"/>
      <sheetName val="Don gia vung III"/>
      <sheetName val="Don gia III"/>
      <sheetName val="Don gia CT"/>
      <sheetName val="Tra_bang"/>
      <sheetName val="Loại cọc P2"/>
      <sheetName val="TT04"/>
      <sheetName val="TTPTai"/>
      <sheetName val="DLC DIEN AP"/>
      <sheetName val="SL dau tien"/>
      <sheetName val="HSKVUC"/>
      <sheetName val="TLR"/>
      <sheetName val="Rate Analysis"/>
      <sheetName val="Work-Condition"/>
      <sheetName val="PNT-QUOT-#3"/>
      <sheetName val="Tonghop theo Vendor"/>
      <sheetName val="Tu dien"/>
      <sheetName val="T.kê"/>
      <sheetName val="sat"/>
      <sheetName val="dulieu cot"/>
      <sheetName val="Luong TT05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M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XPRODUCT"/>
      <sheetName val="Rebate"/>
      <sheetName val="项目计划表"/>
      <sheetName val="零购计划表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BASE GRAPHE"/>
      <sheetName val="KL CHI TIẾT (2)"/>
      <sheetName val="SPS"/>
      <sheetName val="MTL__INTER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2. Summary-cash"/>
      <sheetName val="inputs"/>
      <sheetName val="Be tong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L1"/>
      <sheetName val="DL2"/>
      <sheetName val="MHSCT"/>
      <sheetName val="3.공통공사대비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Vat lieu cat song rac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CẤP_THO_x0000__x0000__x0000__x0000__x0000__x0000__x0000_"/>
      <sheetName val="Giai trinh"/>
      <sheetName val="CBR"/>
      <sheetName val="dssoi_dieutra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G4970"/>
      <sheetName val="DVao"/>
      <sheetName val="DM_1781"/>
      <sheetName val="DM_228"/>
      <sheetName val="DG-VLIEU"/>
      <sheetName val="model"/>
      <sheetName val="Assignment Schedule"/>
      <sheetName val="Vendor"/>
      <sheetName val="共機計算"/>
      <sheetName val="共機J"/>
      <sheetName val="VINYL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Total"/>
      <sheetName val="BILL 34Āᐁë_x0000__x0000__x0001_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ALL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QG"/>
      <sheetName val="Dot_1"/>
      <sheetName val="Dot_2"/>
      <sheetName val="Dot_3"/>
      <sheetName val="KL_Tke"/>
      <sheetName val="Dot_1&gt;4"/>
      <sheetName val="5.Gia"/>
      <sheetName val="Danh sach KV2"/>
      <sheetName val="Danh sach doan KT"/>
      <sheetName val="Giacuoc"/>
      <sheetName val="CP NC-MTC XD"/>
      <sheetName val="GOC"/>
      <sheetName val="TTTram"/>
      <sheetName val="SPL4"/>
      <sheetName val="SDDK"/>
      <sheetName val="Kien truc"/>
      <sheetName val="DMTL"/>
      <sheetName val="Gia HĐ"/>
      <sheetName val="unit weight"/>
      <sheetName val="U0030S03"/>
      <sheetName val="EQFRM2"/>
      <sheetName val="금액내역서"/>
      <sheetName val="Factor F Data"/>
      <sheetName val="Dgia_vat_tŵ7"/>
      <sheetName val="TÍNH TOÁN KHỐI LƯỢNG P6"/>
      <sheetName val="COG"/>
      <sheetName val="1.INPUT"/>
      <sheetName val="Phan tich vat tu"/>
      <sheetName val="Bảng dung trọng"/>
      <sheetName val="Du thau dau noi"/>
      <sheetName val="Du Thau"/>
      <sheetName val="Du thau PSBS"/>
      <sheetName val="DG theo HD PSBS"/>
      <sheetName val="Du thau TC11"/>
      <sheetName val="TongHopKL"/>
      <sheetName val="Ã«ÀûÂÊ·ÖÎö±í"/>
      <sheetName val="JUly97"/>
      <sheetName val="P301"/>
      <sheetName val="R"/>
      <sheetName val="FA list"/>
      <sheetName val="Summary - Budget"/>
      <sheetName val=" Payroll Empl (Wkng)"/>
      <sheetName val="DPT-PW"/>
      <sheetName val="ING"/>
      <sheetName val="43B"/>
      <sheetName val="1. Questionnaire"/>
      <sheetName val="Anx 10"/>
      <sheetName val="DataValidation"/>
      <sheetName val="Chiet tinh dz22"/>
      <sheetName val="Sheet5"/>
      <sheetName val="DIV_INC1"/>
      <sheetName val="A1_-_Income_Statement1"/>
      <sheetName val="concil"/>
      <sheetName val="PetroConsultants"/>
      <sheetName val="DG THIET BI"/>
      <sheetName val="DG vat lieu"/>
      <sheetName val="Template"/>
      <sheetName val="SPC-OC"/>
      <sheetName val="Book details"/>
      <sheetName val="YOEMAGUM"/>
      <sheetName val="MAT"/>
      <sheetName val="Power &amp; Fuel (S)"/>
      <sheetName val="Simulator Detail"/>
      <sheetName val="Trnf to Reimb."/>
      <sheetName val="3.NGAN_SACH"/>
      <sheetName val="2.PHAN_TICH"/>
      <sheetName val="TB Worksheet"/>
      <sheetName val="DG1426NEW"/>
      <sheetName val="BB(ACT08)"/>
      <sheetName val="BB Contribution by store_T  "/>
      <sheetName val="BB(ACT09)"/>
      <sheetName val="客户(基本资料)"/>
      <sheetName val="银行(基本资料)"/>
      <sheetName val="Summary Page_VDF"/>
      <sheetName val="Invested capital_VDF"/>
      <sheetName val="Norm"/>
      <sheetName val="KLR-GAS"/>
      <sheetName val="DmChitiet"/>
      <sheetName val="Cost center"/>
      <sheetName val="Gia "/>
      <sheetName val="DSR"/>
      <sheetName val="FX"/>
      <sheetName val="Details Sales (local)"/>
      <sheetName val="Details_Sales_(local)"/>
      <sheetName val="ReservePayout"/>
      <sheetName val="Enc 3A"/>
      <sheetName val="712"/>
      <sheetName val="Resort1"/>
      <sheetName val="Anx-IV"/>
      <sheetName val="Fixed Prof Fees"/>
      <sheetName val="PDN"/>
      <sheetName val="BS, PL, Sch 5 to 9"/>
      <sheetName val="301 RTI"/>
      <sheetName val="Excise on RM"/>
      <sheetName val="Insight 28-6-00"/>
      <sheetName val="DL codes"/>
      <sheetName val="July 06-Mar 07"/>
      <sheetName val="DCF"/>
      <sheetName val="drs"/>
      <sheetName val="RscList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UC"/>
      <sheetName val="HidePriceList"/>
      <sheetName val="Bearing Capacity"/>
      <sheetName val="List Danh mục nghiệm thu"/>
      <sheetName val="TTL"/>
      <sheetName val="FINANCIAL (FLR)"/>
      <sheetName val="D"/>
      <sheetName val="CTG (GIAM)"/>
      <sheetName val="Beam _2_"/>
      <sheetName val="TS_Rep"/>
      <sheetName val="mep"/>
      <sheetName val="Du thau 03xd"/>
      <sheetName val="bang 1 NCXD"/>
      <sheetName val="bang 1 NCXD (V.I)"/>
      <sheetName val="dg_tonghop"/>
      <sheetName val="Loại 2"/>
      <sheetName val="dm7606tba"/>
      <sheetName val="Chi tiet VL-NC-MTC"/>
      <sheetName val="TT35"/>
      <sheetName val="Temp"/>
      <sheetName val="VL-NC-M"/>
      <sheetName val="May Goc (QD2436)"/>
      <sheetName val="VC theo cuoc tinh"/>
      <sheetName val="BCVC ."/>
      <sheetName val="PTCT"/>
      <sheetName val="Full 2012"/>
      <sheetName val="PL"/>
      <sheetName val="Competitors"/>
      <sheetName val="Tong Luong Thep"/>
      <sheetName val="營業額"/>
      <sheetName val="DG_VL_KS"/>
      <sheetName val="GIA_NC,_CM"/>
      <sheetName val="GIA_VL"/>
      <sheetName val="13_Luong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Data-SỔ KHO"/>
      <sheetName val="SỔ KHO"/>
      <sheetName val="finishing"/>
      <sheetName val="Ctiet Cthe"/>
      <sheetName val="khongin"/>
      <sheetName val="TK22kV"/>
      <sheetName val="Chuong I"/>
      <sheetName val="D.Trong"/>
      <sheetName val="Du lieu TKT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bang tien luong"/>
      <sheetName val="PPT"/>
      <sheetName val="TBGIA"/>
      <sheetName val="DETAIL PROGRESS CLAIM"/>
      <sheetName val="factory area"/>
      <sheetName val="Floor area"/>
      <sheetName val="SNMOI"/>
      <sheetName val="NDK16X20"/>
      <sheetName val="OPY"/>
      <sheetName val="PT-OPY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KL Chi tiết BV dự thầu"/>
      <sheetName val="KL chi tiết BV thi công"/>
      <sheetName val="dgctqn"/>
      <sheetName val="물량표(신)"/>
      <sheetName val="Window Door schedule"/>
      <sheetName val="을"/>
      <sheetName val="EstData"/>
      <sheetName val="DW ok"/>
      <sheetName val="calc_menu_déroulant"/>
      <sheetName val="AU_BS"/>
      <sheetName val="EQ_an"/>
      <sheetName val="TinhToan"/>
      <sheetName val="BSD (2)"/>
      <sheetName val="01-BM"/>
      <sheetName val="Varible"/>
      <sheetName val="B-B"/>
      <sheetName val="Analysis"/>
      <sheetName val="C-C"/>
      <sheetName val="D-D"/>
      <sheetName val="Đơn trọng"/>
      <sheetName val="DTCT -XL.4"/>
      <sheetName val="8"/>
      <sheetName val="LS"/>
      <sheetName val="Phan tich don gia de xuat - cau"/>
      <sheetName val="CIM"/>
      <sheetName val="DG SUA CHUA"/>
      <sheetName val="DGTBA"/>
      <sheetName val="TAM TINH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Z 35"/>
      <sheetName val="Cto"/>
      <sheetName val="NC HY"/>
      <sheetName val="NC HN"/>
      <sheetName val="TOT"/>
      <sheetName val="CDPS"/>
      <sheetName val="Tổng hợp Z"/>
      <sheetName val="SL.DT 2011so sanh"/>
      <sheetName val="1.Staffing"/>
      <sheetName val="TOWN"/>
      <sheetName val="Floor area "/>
      <sheetName val="TEST1"/>
      <sheetName val="6. Pig walk way (have roof GOC)"/>
      <sheetName val="Company"/>
      <sheetName val="Binderies"/>
      <sheetName val="Bang khoi luong"/>
      <sheetName val="Quotation"/>
      <sheetName val="토공분석표"/>
      <sheetName val="luong"/>
      <sheetName val="DP TRUOT GIA"/>
      <sheetName val="VL-NC-M."/>
      <sheetName val="VL+NC+M"/>
      <sheetName val="VH"/>
      <sheetName val="Ban Qua do"/>
      <sheetName val="Dự kiến SL-NT 2013"/>
      <sheetName val="SL.HM-T1.2014"/>
      <sheetName val="PTCM"/>
      <sheetName val="1651-2008"/>
      <sheetName val="VL.NC.M"/>
      <sheetName val="BK04"/>
      <sheetName val="BQD"/>
      <sheetName val="Tra Cứu"/>
      <sheetName val="간접비 총괄표"/>
      <sheetName val="FD"/>
      <sheetName val="EE (3)"/>
      <sheetName val="PAVEMENT"/>
      <sheetName val="TRAFFIC"/>
      <sheetName val="A1.8"/>
      <sheetName val="DGChung"/>
      <sheetName val="TT 16-2019"/>
      <sheetName val="DSQL"/>
      <sheetName val="FF"/>
      <sheetName val="Record CR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NP"/>
      <sheetName val="대비표"/>
      <sheetName val="PNT"/>
      <sheetName val="실행기성 갑지"/>
      <sheetName val="242-3 summaryOPC"/>
      <sheetName val="ConversionNames"/>
      <sheetName val="Interdependent CAT"/>
      <sheetName val="Tro_giup29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final_list_200530"/>
      <sheetName val="TH_DZ3518"/>
      <sheetName val="RAB_AR&amp;STR16"/>
      <sheetName val="chi_tiet_TBA16"/>
      <sheetName val="chi_tiet_C16"/>
      <sheetName val="Don_gia16"/>
      <sheetName val="Customize_Your_Purchase_Order16"/>
      <sheetName val="CHITIET_VL-NC-TT_-1p16"/>
      <sheetName val="CHITIET_VL-NC-TT-3p15"/>
      <sheetName val="TONG_HOP_VL-NC_TT16"/>
      <sheetName val="KPVC-BD_16"/>
      <sheetName val="DON_GIA_TRAM_(3)16"/>
      <sheetName val="DON_GIA_CAN_THO18"/>
      <sheetName val="HĐ_ngoài15"/>
      <sheetName val="XT_Buoc_315"/>
      <sheetName val="dongia_(2)15"/>
      <sheetName val="Don_gia_chi_tiet16"/>
      <sheetName val="7606_DZ16"/>
      <sheetName val="So_doi_chieu_LC15"/>
      <sheetName val="S-curve_15"/>
      <sheetName val="project_management15"/>
      <sheetName val="Adix_A15"/>
      <sheetName val="REINF_15"/>
      <sheetName val="Rates_200915"/>
      <sheetName val="Du_toan15"/>
      <sheetName val="MAIN_GATE_HOUSE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Bang_KL15"/>
      <sheetName val="TONG_HOP_VL-NC15"/>
      <sheetName val="MH_RATE15"/>
      <sheetName val="Lcau_-_Lxuc15"/>
      <sheetName val="DM_606115"/>
      <sheetName val="DG_thep_ma_kem15"/>
      <sheetName val="CT_vat_lieu15"/>
      <sheetName val="Equip_14"/>
      <sheetName val="A1_CN14"/>
      <sheetName val="Đầu_vào14"/>
      <sheetName val="Chi_tiet_XD_TBA14"/>
      <sheetName val="LV_data14"/>
      <sheetName val="sochitiettaikhoan_13"/>
      <sheetName val="TK_chi_tiet11"/>
      <sheetName val="DG_DZ15"/>
      <sheetName val="DG_TBA15"/>
      <sheetName val="Data_Input15"/>
      <sheetName val="DM_6714"/>
      <sheetName val="Trạm_biến_áp14"/>
      <sheetName val="Gia_vat_tu14"/>
      <sheetName val="Elect_(3)14"/>
      <sheetName val="plan&amp;section_of_foundation14"/>
      <sheetName val="design_criteria14"/>
      <sheetName val="Bond_수수료_계산_포맷14"/>
      <sheetName val="ITB_COST14"/>
      <sheetName val="Đơn_Giá_14"/>
      <sheetName val="Chenh_lech_vat_tu14"/>
      <sheetName val="Diện_tích14"/>
      <sheetName val="1_Khái_toán14"/>
      <sheetName val="TONG_HOP_T5_199814"/>
      <sheetName val="CT-0_4KV14"/>
      <sheetName val="HÐ_ngoài15"/>
      <sheetName val="Bill_1_Quy_dinh_chung14"/>
      <sheetName val="1_R18_BF14"/>
      <sheetName val="6_External_works-R1814"/>
      <sheetName val="6PILE__(돌출)14"/>
      <sheetName val="EIRR&gt;_214"/>
      <sheetName val="DETAIL_14"/>
      <sheetName val="rate_material14"/>
      <sheetName val="KL_Chi_tiết_Xây_tô14"/>
      <sheetName val="Project_Data14"/>
      <sheetName val="Phan_khai_KLuong14"/>
      <sheetName val="04_-_XUONG_DET_B14"/>
      <sheetName val="07Base_Cost14"/>
      <sheetName val="Chi_tiet_KL14"/>
      <sheetName val="Tổng_hợp_KL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PAGE_114"/>
      <sheetName val="Measure_130614"/>
      <sheetName val="Share_price_data13"/>
      <sheetName val="Xay_lapduongR314"/>
      <sheetName val="Đầu_tư14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gia_cong_tac14"/>
      <sheetName val="Cước_VC_+_ĐM_CP_Tư_vấn14"/>
      <sheetName val="Hệ_số14"/>
      <sheetName val="Door_and_window8"/>
      <sheetName val="GV1-D13_(Casement_door)14"/>
      <sheetName val="ESTI_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KL_san_lap14"/>
      <sheetName val="Chi_tiet14"/>
      <sheetName val="Chenh_lech_ca_may14"/>
      <sheetName val="TLg_CN&amp;Laixe14"/>
      <sheetName val="TLg_CN&amp;Laixe_(2)14"/>
      <sheetName val="TLg_Laitau14"/>
      <sheetName val="TLg_Laitau_(2)14"/>
      <sheetName val="Equipment_list_(PAC)14"/>
      <sheetName val="TINH_KHOI_LUONG14"/>
      <sheetName val="DATA_BASE14"/>
      <sheetName val="Buy_vs__Lease_Car14"/>
      <sheetName val="Bang_3_Chi_tiet_phan_Dz14"/>
      <sheetName val="KHOI_LUONG14"/>
      <sheetName val="BẢNG_KHỐI_LƯỢNG_TỔNG_HỢP13"/>
      <sheetName val="CP_Khac_cuoc_VC13"/>
      <sheetName val="Budget_Code13"/>
      <sheetName val="CTKL_KTX_HT13"/>
      <sheetName val="2_Chiet_tinh13"/>
      <sheetName val="subcon_sched14"/>
      <sheetName val="NHÀ_NHẬP_LIỆU13"/>
      <sheetName val="MÓNG_SILO13"/>
      <sheetName val="PRE_(E)14"/>
      <sheetName val="HVAC_BLOCK_B414"/>
      <sheetName val="Tong_du_toan13"/>
      <sheetName val="Bill_2_-_ketcau13"/>
      <sheetName val="13-Cốt_thép_(10mm&lt;D≤18mm)_FO113"/>
      <sheetName val="du_lieu_du_toan13"/>
      <sheetName val="Chi_tiet_lan_can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Dlieu_dau_vao13"/>
      <sheetName val="BANCO_(2)13"/>
      <sheetName val="MT_DPin_(2)13"/>
      <sheetName val="CHI_PHI11"/>
      <sheetName val="02__PTDG13"/>
      <sheetName val="Chiết_tính13"/>
      <sheetName val="DK1_Don_gia13"/>
      <sheetName val="Income_Statement13"/>
      <sheetName val="Shareholders'_Equity13"/>
      <sheetName val="VC_xd11"/>
      <sheetName val="Gia_VLTB11"/>
      <sheetName val="B_Luong11"/>
      <sheetName val="C_May11"/>
      <sheetName val="Don_gia_(khong_in)13"/>
      <sheetName val="1_MONG_1-213"/>
      <sheetName val="TB_NẶNG11"/>
      <sheetName val="Du_tru_CP-Bieu_0111"/>
      <sheetName val="dm_36611"/>
      <sheetName val="DM_606011"/>
      <sheetName val="Dự_thầu11"/>
      <sheetName val="Nhap_VT_oto11"/>
      <sheetName val="TH_TN11"/>
      <sheetName val="Bill_No_3_-_Prov__Sum_(Ph2&amp;3)11"/>
      <sheetName val="Hao_phí11"/>
      <sheetName val="Structure_data11"/>
      <sheetName val="đọc_số11"/>
      <sheetName val="Ma_don_vi11"/>
      <sheetName val="bang_cc11"/>
      <sheetName val="CP_Du_phong11"/>
      <sheetName val="THCP_Lap_dat11"/>
      <sheetName val="THCP_xay_dung11"/>
      <sheetName val="Tong_hop_kinh_phi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Ｎｏ_1311"/>
      <sheetName val="DGchitiet_11"/>
      <sheetName val="wk_prgs11"/>
      <sheetName val="AG_Pipe_Qty_Analysis11"/>
      <sheetName val="2_1Warehouse_111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Bill_2-Road_HR211"/>
      <sheetName val="Bill_3_-_Softscape_HR211"/>
      <sheetName val="0__Input10"/>
      <sheetName val="CĂN_HỘ_T16-17_11"/>
      <sheetName val="TRỤC_ĐỨNG_THOÁT_BẨN_T15-1711"/>
      <sheetName val="TRỤC_ĐỨNG_TM_T15-1711"/>
      <sheetName val="THEP_TAM11"/>
      <sheetName val="THEP_HÌNH11"/>
      <sheetName val="THEP_HINH11"/>
      <sheetName val="XA_GO11"/>
      <sheetName val="BANG_TRA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Móng,_nền_11"/>
      <sheetName val="1_Requisition(E)11"/>
      <sheetName val="So_lieu_chung10"/>
      <sheetName val="MTO_REV_2(ARMOR)10"/>
      <sheetName val="Data_Wall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DG_142610"/>
      <sheetName val="Don_gia_chi_tiet_DIEN_210"/>
      <sheetName val="Theo_doi_Doanh_thu_201710"/>
      <sheetName val="Chi_tiet_cong_no11"/>
      <sheetName val="Chi_tiet_-tong_9_thang10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3__CNT10"/>
      <sheetName val="unit_price_list(M)10"/>
      <sheetName val="Gia_vat_lieu10"/>
      <sheetName val="Precios_unitarios_AXH10"/>
      <sheetName val="TH_VL,_NC,_DDHT_Thanhphuoc10"/>
      <sheetName val="KL_THEP__GIAM_DO_DUNG_COUPLER10"/>
      <sheetName val="01_KL_THÉP_NHẬP_VỀ10"/>
      <sheetName val="2__NT_VLDV10"/>
      <sheetName val="GHI_CHU10"/>
      <sheetName val="1_BB_LMHT10"/>
      <sheetName val="B3A_-_TOWER_A10"/>
      <sheetName val="Annex_B10"/>
      <sheetName val="Doi_so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Cotthep_NPT10"/>
      <sheetName val="vl_nc_mtc10"/>
      <sheetName val="1__Office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1_Civil_(Org)10"/>
      <sheetName val="Bill_Prelim-CDT10"/>
      <sheetName val="Bill_BPTC-CDT10"/>
      <sheetName val="Chi_tiết_BPTC10"/>
      <sheetName val="Bill_BPTC-CDT_(PA_MCT_CDT)10"/>
      <sheetName val="Chi_tiết_BPTC_(PA_MCT_CDT)10"/>
      <sheetName val="DM-VNT_ko_sd10"/>
      <sheetName val="Bê_tông_bảo_vệ10"/>
      <sheetName val="01__Data10"/>
      <sheetName val="Neo,_nối_cốt_thép_dầm,_cột10"/>
      <sheetName val="Uốn_móc_cốt_thép10"/>
      <sheetName val="Tiêu_chuẩn_cốt_thép10"/>
      <sheetName val="Bảng_đo_bóc_KL_OLK-0910"/>
      <sheetName val="6_3_CHI_TIET_OLK-0910"/>
      <sheetName val="KL_thep_lam_sat10"/>
      <sheetName val="Tien_Thuong10"/>
      <sheetName val="NC_XL_6T_cuoi_01_CTy10"/>
      <sheetName val="Data_-6T_dau10"/>
      <sheetName val="Cong_6T10"/>
      <sheetName val="Q_A01_2-Sh10"/>
      <sheetName val="Danh_mục9"/>
      <sheetName val="PV_Graph_Data9"/>
      <sheetName val="TLG_Type10"/>
      <sheetName val="1_San_10"/>
      <sheetName val="Tong_hop_vat_tu10"/>
      <sheetName val="KHOI_LUONG15-410"/>
      <sheetName val="Dot_410"/>
      <sheetName val="BTK-Dai_Hoc_Kien_Giang9"/>
      <sheetName val="DM_336cai_tao10"/>
      <sheetName val="HRG_BHN10"/>
      <sheetName val="CĂN_ĐH10"/>
      <sheetName val="doanh_thu9"/>
      <sheetName val="Dutoan_KL9"/>
      <sheetName val="MB_DT_029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2_CDPS10"/>
      <sheetName val="Chi_phi_van_chuyen10"/>
      <sheetName val="Dgia_vat_tu10"/>
      <sheetName val="Don_gia_III10"/>
      <sheetName val="D÷_liÖu10"/>
      <sheetName val="TH_các_CC10"/>
      <sheetName val="Heso_DZ10"/>
      <sheetName val="DG_BINH_THUAN10"/>
      <sheetName val="7_Khau_tru_10"/>
      <sheetName val="4_CĂN10"/>
      <sheetName val="B-2__(DPP)10"/>
      <sheetName val="Financ__Overview9"/>
      <sheetName val="Div26_-_Elect10"/>
      <sheetName val="DT_hợp_đồng9"/>
      <sheetName val="Bảng_KL_đợt_1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Don_gia_NC10"/>
      <sheetName val="gia_vt,nc,may9"/>
      <sheetName val="TINH_GIA_-_SAN_XUAT_Vertico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ieu_gia_HD9"/>
      <sheetName val="Huong_da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DZ_22KV9"/>
      <sheetName val="5_2_1_Đo_bóc_KL_OLK-069"/>
      <sheetName val="KS_tuyen9"/>
      <sheetName val="Bang_chiet_tinh_TBA9"/>
      <sheetName val="GIÁ_DỰ_THẦU_30_CĂN9"/>
      <sheetName val="So_sanh9"/>
      <sheetName val="DT__NHA_XUONG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BU_LONG9"/>
      <sheetName val="Electrical_Works9"/>
      <sheetName val="H_T__INCOMING_SYSTEM9"/>
      <sheetName val="Cash_Flow9"/>
      <sheetName val="THONG_SO9"/>
      <sheetName val="Đơn_giá_chi_tiết_TN_399"/>
      <sheetName val="Gia_VT-TB9"/>
      <sheetName val="noi_suy_xa9"/>
      <sheetName val="noi_suy_xa_thu_hoi9"/>
      <sheetName val="Tính_giá_NC9"/>
      <sheetName val="Tiên_lượng9"/>
      <sheetName val="SL_cước9"/>
      <sheetName val="Thuyết_minh9"/>
      <sheetName val="Đơn_giá_máy9"/>
      <sheetName val="¥_9"/>
      <sheetName val="Bill_No_1_69"/>
      <sheetName val="Bill_No_1_109"/>
      <sheetName val="Bill_No_3_39"/>
      <sheetName val="Bill_No_1_49"/>
      <sheetName val="Bill_No_1_79"/>
      <sheetName val="Summary_Bill_No__39"/>
      <sheetName val="Tong_DT8"/>
      <sheetName val="phan_tich_don_gia8"/>
      <sheetName val="Bù_giá_CM8"/>
      <sheetName val="Tien_Luong8"/>
      <sheetName val="Bán_đợt_1_trang8"/>
      <sheetName val="Unit_price8"/>
      <sheetName val="3__KC_-_PODIUM8"/>
      <sheetName val="Chiet_tinh_dz358"/>
      <sheetName val="Breakdown_(B)8"/>
      <sheetName val="U_P_Breakdown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CHITIET_VL-NCHT1_(2)8"/>
      <sheetName val="IMF_Code8"/>
      <sheetName val="Subsidiary_Calculation8"/>
      <sheetName val="5_2_1_Đo_bóc_KL_OLK-108"/>
      <sheetName val="Bia_lot8"/>
      <sheetName val="DT_san_XD-So_lieu_cu8"/>
      <sheetName val="don_gia_14268"/>
      <sheetName val="Cau_tao_gia_xay_to4"/>
      <sheetName val="Phu_Bai_Bridge8"/>
      <sheetName val="Chu_dau_tu4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THÔNG_TIN4"/>
      <sheetName val="BẢNG_DIỄN_GIẢI_KL_(7)8"/>
      <sheetName val="THPDMoi__(2)4"/>
      <sheetName val="t-h_HA_THE4"/>
      <sheetName val="TH_XL4"/>
      <sheetName val="CHITIET_VL-NC4"/>
      <sheetName val="0_Data1"/>
      <sheetName val="0_Data_new1"/>
      <sheetName val="Aging_Sept2"/>
      <sheetName val="Bank_Rev1"/>
      <sheetName val="BP_DECLINE_IT1"/>
      <sheetName val="Input_List1"/>
      <sheetName val="Valid_data_revised1"/>
      <sheetName val="DETAIL_MIX_%_REPORT1"/>
      <sheetName val="Fill_this_out_first___1"/>
      <sheetName val="Interdependent_CAT"/>
      <sheetName val="BANG TONGHOP"/>
      <sheetName val="SUMMARY QUANTITIES"/>
      <sheetName val="PHÁT_SINH_TẦNG_290"/>
      <sheetName val="IV.1.Lkdt"/>
      <sheetName val="III.2.dah"/>
      <sheetName val="II.2.dn"/>
      <sheetName val="IV.2.Lkdd"/>
      <sheetName val="III.1.tai"/>
      <sheetName val="S - Sugar production"/>
      <sheetName val="KL thanh toan-Xuan Dao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PU_ITALY_46"/>
      <sheetName val="SGC_RATE3"/>
      <sheetName val="DM_DU_AN3"/>
      <sheetName val="DM_TP_3"/>
      <sheetName val="File_Chi_tiet3"/>
      <sheetName val="2__BBNT_KLHT3"/>
      <sheetName val="Dashboard_-_BQL_-_VHL3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Share_Price_20022"/>
      <sheetName val="Danh_mục_khối3"/>
      <sheetName val="Danh_mục_đơn_vị_-phòng_chức_nă3"/>
      <sheetName val="Currency_Rate3"/>
      <sheetName val="Probbl_-_Production3"/>
      <sheetName val="w't_table3"/>
      <sheetName val="BILL_34Āᐁë3"/>
      <sheetName val="LUONG_SCL3"/>
      <sheetName val="KEILA_TP_2020-073"/>
      <sheetName val="CHI_PHÍ_NHÔM3"/>
      <sheetName val="CHITIET_VL-NC-TT1p3"/>
      <sheetName val="NHOM_KINH2"/>
      <sheetName val="CFA_(ME)3"/>
      <sheetName val="MEP_Building3"/>
      <sheetName val="BOM-13_11-Other(PS1+PS2)3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Chao_gia_T12_RE2"/>
      <sheetName val="Chênh_lệch_máy_thi_công2"/>
      <sheetName val="Chênh_lệch_nhân_công2"/>
      <sheetName val="Chênh_lệch_vật_liệu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Merit_&amp;_Market_Grid2"/>
      <sheetName val="BC_chi_tiết_TT1"/>
      <sheetName val="Nhập_liệu1"/>
      <sheetName val="Boc_KL_DAT+CAT+BT1"/>
      <sheetName val="Boc_KL_thép1"/>
      <sheetName val="Bieu_do_nhan_luc1"/>
      <sheetName val="Piano_Montaggio_PO-02_bozza2"/>
      <sheetName val="sales_current_month46"/>
      <sheetName val="View_Variance46"/>
      <sheetName val="Don_gia_X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5_2_1_Đo_bóc_KL_OLK-071"/>
      <sheetName val="Define_finishing1"/>
      <sheetName val="DGKL_TRỤC_NGOAI_NHA1"/>
      <sheetName val="Sum_ELE__CAP_S1-4__1"/>
      <sheetName val="Luong_(TP_Việt_Trì)1"/>
      <sheetName val="So_sanh_gia1"/>
      <sheetName val="Luong_2622EVN1"/>
      <sheetName val="Cuoc_1"/>
      <sheetName val="gia_chao1"/>
      <sheetName val="Vat_lieu_BTN1"/>
      <sheetName val="Dai_tu1"/>
      <sheetName val="DSV6_Summ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PHẦN_KIẾN_TRÚC1"/>
      <sheetName val="CONSOIDATE_41"/>
      <sheetName val="CONSOIDATE_21"/>
      <sheetName val="Input_-_Facilities1"/>
      <sheetName val="BP_CAPEX_MoD-100%_Area_4_USD1"/>
      <sheetName val="Danhsach_12"/>
      <sheetName val="Elemental_Breakdown+20%1"/>
      <sheetName val="DB_FEE"/>
      <sheetName val="BHYT_Tự_Nguyện_-_Vinschool-Mau_"/>
      <sheetName val="NC_CU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Cước_CG1"/>
      <sheetName val="MTO_REV_01"/>
      <sheetName val="242_3_summaryOPC1"/>
      <sheetName val="1_1General1"/>
      <sheetName val="6__Scope_of_work_1"/>
      <sheetName val="4_6_Phân_tích_nhân_sự_1"/>
      <sheetName val="4_5_Mức_độ_tham_gia_dự_án1"/>
      <sheetName val="DO_AM_DT1"/>
      <sheetName val="0,SO_LIEU_DAU_VAO1"/>
      <sheetName val="Adj_entries_"/>
      <sheetName val="Annexure_1"/>
      <sheetName val="Annexure_2"/>
      <sheetName val="Updated_2018_COA"/>
      <sheetName val="IC_Listing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02__PHAN_TICH1"/>
      <sheetName val="03__NGAN_SACH1"/>
      <sheetName val="Da_xay_dung1"/>
      <sheetName val="6_9_DM_CTP"/>
      <sheetName val="01__Nha_xuong1"/>
      <sheetName val="SCB_-_Annexure_A1"/>
      <sheetName val="PL6-Revenue_Bridge1"/>
      <sheetName val="Inventory_data46"/>
      <sheetName val="FORECAST_x_FAMILIA43"/>
      <sheetName val="Space_Analysis43"/>
      <sheetName val="CADE_DETAIL19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Loại_cọc_P2"/>
      <sheetName val="DLC_DIEN_AP"/>
      <sheetName val="SL_dau_tien"/>
      <sheetName val="BASE_GRAPHE"/>
      <sheetName val="ADJ_-_RATE"/>
      <sheetName val="Bill_rekap"/>
      <sheetName val="Cash_Flow_bulanan"/>
      <sheetName val="CươcVC_tinh"/>
      <sheetName val="Don_vi"/>
      <sheetName val="Don_gia_vung_III"/>
      <sheetName val="Don_gia_III11"/>
      <sheetName val="Don_gia_CT"/>
      <sheetName val="입찰내역_발주처_양식"/>
      <sheetName val="3_공통공사대비"/>
      <sheetName val="PLHD_doi_cot_ham_0101-04"/>
      <sheetName val="KL_CHI_TIẾT_(2)"/>
      <sheetName val="Ca_may"/>
      <sheetName val="PRB_Expense_Q4_201316"/>
      <sheetName val="P&amp;L_by_Month1"/>
      <sheetName val="Tonghop_theo_Vendor"/>
      <sheetName val="Tu_dien"/>
      <sheetName val="T_kê"/>
      <sheetName val="dulieu_cot"/>
      <sheetName val="Luong_TT05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2__Summary-cash"/>
      <sheetName val="Beam_reinfocement_schedule"/>
      <sheetName val="Thong_so_dam"/>
      <sheetName val="Wall_Block_C"/>
      <sheetName val="General_Schedule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주주명부&lt;끝&gt;"/>
      <sheetName val="GDLQ"/>
      <sheetName val="Currency Codes"/>
      <sheetName val="Scoping"/>
      <sheetName val="Expectation"/>
      <sheetName val="Variance threshold"/>
      <sheetName val="VIKAR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9">
          <cell r="A9" t="str">
            <v>A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9">
          <cell r="A9" t="str">
            <v>A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>
        <row r="9">
          <cell r="A9" t="str">
            <v>A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>
        <row r="9">
          <cell r="A9" t="str">
            <v>A</v>
          </cell>
        </row>
      </sheetData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>
        <row r="9">
          <cell r="A9" t="str">
            <v>A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 refreshError="1"/>
      <sheetData sheetId="1345" refreshError="1"/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 refreshError="1"/>
      <sheetData sheetId="1352" refreshError="1"/>
      <sheetData sheetId="1353" refreshError="1"/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 refreshError="1"/>
      <sheetData sheetId="1417" refreshError="1"/>
      <sheetData sheetId="1418" refreshError="1"/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 refreshError="1"/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>
        <row r="9">
          <cell r="A9" t="str">
            <v>A</v>
          </cell>
        </row>
      </sheetData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 refreshError="1"/>
      <sheetData sheetId="1926" refreshError="1"/>
      <sheetData sheetId="1927" refreshError="1"/>
      <sheetData sheetId="1928">
        <row r="9">
          <cell r="A9" t="str">
            <v>A</v>
          </cell>
        </row>
      </sheetData>
      <sheetData sheetId="1929" refreshError="1"/>
      <sheetData sheetId="1930">
        <row r="9">
          <cell r="A9" t="str">
            <v>A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9">
          <cell r="A9" t="str">
            <v>A</v>
          </cell>
        </row>
      </sheetData>
      <sheetData sheetId="1941"/>
      <sheetData sheetId="1942">
        <row r="9">
          <cell r="A9" t="str">
            <v>A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 refreshError="1"/>
      <sheetData sheetId="2480" refreshError="1"/>
      <sheetData sheetId="2481" refreshError="1"/>
      <sheetData sheetId="2482" refreshError="1"/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>
        <row r="9">
          <cell r="A9" t="str">
            <v>A</v>
          </cell>
        </row>
      </sheetData>
      <sheetData sheetId="2493"/>
      <sheetData sheetId="2494"/>
      <sheetData sheetId="2495"/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/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/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/>
      <sheetData sheetId="2533"/>
      <sheetData sheetId="2534"/>
      <sheetData sheetId="2535">
        <row r="9">
          <cell r="A9" t="str">
            <v>A</v>
          </cell>
        </row>
      </sheetData>
      <sheetData sheetId="2536" refreshError="1"/>
      <sheetData sheetId="2537">
        <row r="9">
          <cell r="A9" t="str">
            <v>A</v>
          </cell>
        </row>
      </sheetData>
      <sheetData sheetId="2538" refreshError="1"/>
      <sheetData sheetId="2539" refreshError="1"/>
      <sheetData sheetId="2540"/>
      <sheetData sheetId="2541"/>
      <sheetData sheetId="2542">
        <row r="9">
          <cell r="A9" t="str">
            <v>A</v>
          </cell>
        </row>
      </sheetData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>
        <row r="9">
          <cell r="A9" t="str">
            <v>A</v>
          </cell>
        </row>
      </sheetData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>
        <row r="9">
          <cell r="A9" t="str">
            <v>A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 refreshError="1"/>
      <sheetData sheetId="3250" refreshError="1"/>
      <sheetData sheetId="3251">
        <row r="9">
          <cell r="A9" t="str">
            <v>A</v>
          </cell>
        </row>
      </sheetData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>
        <row r="9">
          <cell r="A9" t="str">
            <v>A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/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>
        <row r="9">
          <cell r="A9" t="str">
            <v>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 refreshError="1"/>
      <sheetData sheetId="4006" refreshError="1"/>
      <sheetData sheetId="4007" refreshError="1"/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9">
          <cell r="A9" t="str">
            <v>A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9">
          <cell r="A9" t="str">
            <v>A</v>
          </cell>
        </row>
      </sheetData>
      <sheetData sheetId="4051">
        <row r="9">
          <cell r="A9" t="str">
            <v>A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9">
          <cell r="A9" t="str">
            <v>A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9">
          <cell r="A9" t="str">
            <v>A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9">
          <cell r="A9" t="str">
            <v>A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9">
          <cell r="A9" t="str">
            <v>A</v>
          </cell>
        </row>
      </sheetData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/>
      <sheetData sheetId="4117">
        <row r="9">
          <cell r="A9" t="str">
            <v>A</v>
          </cell>
        </row>
      </sheetData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4">
          <cell r="A4" t="str">
            <v>BẢNG TÍNH TOÁN, ĐO BÓC KHỐI LƯỢNG HOÀN THÀNH ĐƯA VÀO QUYẾT TOÁN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9">
          <cell r="A9" t="str">
            <v>A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9">
          <cell r="A9" t="str">
            <v>A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9">
          <cell r="A9" t="str">
            <v>A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9">
          <cell r="A9" t="str">
            <v>A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9">
          <cell r="A9" t="str">
            <v>A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9">
          <cell r="A9" t="str">
            <v>A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9">
          <cell r="A9" t="str">
            <v>A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9">
          <cell r="A9" t="str">
            <v>A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9">
          <cell r="A9" t="str">
            <v>A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9">
          <cell r="A9" t="str">
            <v>A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9">
          <cell r="A9" t="str">
            <v>A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9">
          <cell r="A9" t="str">
            <v>A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9">
          <cell r="A9" t="str">
            <v>A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9">
          <cell r="A9" t="str">
            <v>A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9">
          <cell r="A9" t="str">
            <v>A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9">
          <cell r="A9" t="str">
            <v>A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9">
          <cell r="A9" t="str">
            <v>A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9">
          <cell r="A9" t="str">
            <v>A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9">
          <cell r="A9" t="str">
            <v>A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9">
          <cell r="A9" t="str">
            <v>A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9">
          <cell r="A9" t="str">
            <v>A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9">
          <cell r="A9" t="str">
            <v>A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9">
          <cell r="A9" t="str">
            <v>A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9">
          <cell r="A9" t="str">
            <v>A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9">
          <cell r="A9" t="str">
            <v>A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9">
          <cell r="A9" t="str">
            <v>A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9">
          <cell r="A9" t="str">
            <v>A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9">
          <cell r="A9" t="str">
            <v>A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9">
          <cell r="A9" t="str">
            <v>A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9">
          <cell r="A9" t="str">
            <v>A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9">
          <cell r="A9" t="str">
            <v>A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9">
          <cell r="A9" t="str">
            <v>A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>
        <row r="4">
          <cell r="A4" t="str">
            <v>BẢNG TÍNH TOÁN, ĐO BÓC KHỐI LƯỢNG HOÀN THÀNH ĐƯA VÀO QUYẾT TOÁN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4">
          <cell r="A4" t="str">
            <v>BẢNG TÍNH TOÁN, ĐO BÓC KHỐI LƯỢNG HOÀN THÀNH ĐƯA VÀO QUYẾT TOÁN</v>
          </cell>
        </row>
      </sheetData>
      <sheetData sheetId="4846">
        <row r="9">
          <cell r="A9" t="str">
            <v>A</v>
          </cell>
        </row>
      </sheetData>
      <sheetData sheetId="4847">
        <row r="4">
          <cell r="A4" t="str">
            <v>BẢNG TÍNH TOÁN, ĐO BÓC KHỐI LƯỢNG HOÀN THÀNH ĐƯA VÀO QUYẾT TOÁN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9">
          <cell r="A9" t="str">
            <v>A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9">
          <cell r="A9" t="str">
            <v>A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9">
          <cell r="A9" t="str">
            <v>A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9">
          <cell r="A9" t="str">
            <v>A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9">
          <cell r="A9" t="str">
            <v>A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9">
          <cell r="A9" t="str">
            <v>A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9">
          <cell r="A9" t="str">
            <v>A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9">
          <cell r="A9" t="str">
            <v>A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9">
          <cell r="A9" t="str">
            <v>A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9">
          <cell r="A9" t="str">
            <v>A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9">
          <cell r="A9" t="str">
            <v>A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9">
          <cell r="A9" t="str">
            <v>A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9">
          <cell r="A9" t="str">
            <v>A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9">
          <cell r="A9" t="str">
            <v>A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9">
          <cell r="A9" t="str">
            <v>A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9">
          <cell r="A9" t="str">
            <v>A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9">
          <cell r="A9" t="str">
            <v>A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9">
          <cell r="A9" t="str">
            <v>A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9">
          <cell r="A9" t="str">
            <v>A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9">
          <cell r="A9" t="str">
            <v>A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9">
          <cell r="A9" t="str">
            <v>A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9">
          <cell r="A9" t="str">
            <v>A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9">
          <cell r="A9" t="str">
            <v>A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9">
          <cell r="A9" t="str">
            <v>A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9">
          <cell r="A9" t="str">
            <v>A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9">
          <cell r="A9" t="str">
            <v>A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9">
          <cell r="A9" t="str">
            <v>A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9">
          <cell r="A9" t="str">
            <v>A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9">
          <cell r="A9" t="str">
            <v>A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9">
          <cell r="A9" t="str">
            <v>A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9">
          <cell r="A9" t="str">
            <v>A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9">
          <cell r="A9" t="str">
            <v>A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9">
          <cell r="A9" t="str">
            <v>A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9">
          <cell r="A9" t="str">
            <v>A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9">
          <cell r="A9" t="str">
            <v>A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9">
          <cell r="A9" t="str">
            <v>A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9">
          <cell r="A9" t="str">
            <v>A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9">
          <cell r="A9" t="str">
            <v>A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9">
          <cell r="A9" t="str">
            <v>A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9">
          <cell r="A9" t="str">
            <v>A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9">
          <cell r="A9" t="str">
            <v>A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9">
          <cell r="A9" t="str">
            <v>A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9">
          <cell r="A9" t="str">
            <v>A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9">
          <cell r="A9" t="str">
            <v>A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9">
          <cell r="A9" t="str">
            <v>A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9">
          <cell r="A9" t="str">
            <v>A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9">
          <cell r="A9" t="str">
            <v>A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9">
          <cell r="A9" t="str">
            <v>A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9">
          <cell r="A9" t="str">
            <v>A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9">
          <cell r="A9" t="str">
            <v>A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9">
          <cell r="A9" t="str">
            <v>A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9">
          <cell r="A9" t="str">
            <v>A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9">
          <cell r="A9" t="str">
            <v>A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9">
          <cell r="A9" t="str">
            <v>A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9">
          <cell r="A9" t="str">
            <v>A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9">
          <cell r="A9" t="str">
            <v>A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9">
          <cell r="A9" t="str">
            <v>A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9">
          <cell r="A9" t="str">
            <v>A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9">
          <cell r="A9" t="str">
            <v>A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9">
          <cell r="A9" t="str">
            <v>A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9">
          <cell r="A9" t="str">
            <v>A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9">
          <cell r="A9" t="str">
            <v>A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9">
          <cell r="A9" t="str">
            <v>A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9">
          <cell r="A9" t="str">
            <v>A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9">
          <cell r="A9" t="str">
            <v>A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9">
          <cell r="A9" t="str">
            <v>A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9">
          <cell r="A9" t="str">
            <v>A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9">
          <cell r="A9" t="str">
            <v>A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9">
          <cell r="A9" t="str">
            <v>A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9">
          <cell r="A9" t="str">
            <v>A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9">
          <cell r="A9" t="str">
            <v>A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9">
          <cell r="A9" t="str">
            <v>A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9">
          <cell r="A9" t="str">
            <v>A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9">
          <cell r="A9" t="str">
            <v>A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9">
          <cell r="A9" t="str">
            <v>A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9">
          <cell r="A9" t="str">
            <v>A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9">
          <cell r="A9" t="str">
            <v>A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9">
          <cell r="A9" t="str">
            <v>A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9">
          <cell r="A9" t="str">
            <v>A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9">
          <cell r="A9" t="str">
            <v>A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9">
          <cell r="A9" t="str">
            <v>A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9">
          <cell r="A9" t="str">
            <v>A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9">
          <cell r="A9" t="str">
            <v>A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9">
          <cell r="A9" t="str">
            <v>A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9">
          <cell r="A9" t="str">
            <v>A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9">
          <cell r="A9" t="str">
            <v>A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9">
          <cell r="A9" t="str">
            <v>A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9">
          <cell r="A9" t="str">
            <v>A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9">
          <cell r="A9" t="str">
            <v>A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9">
          <cell r="A9" t="str">
            <v>A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9">
          <cell r="A9" t="str">
            <v>A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9">
          <cell r="A9" t="str">
            <v>A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9">
          <cell r="A9" t="str">
            <v>A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9">
          <cell r="A9" t="str">
            <v>A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9">
          <cell r="A9" t="str">
            <v>A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9">
          <cell r="A9" t="str">
            <v>A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9">
          <cell r="A9" t="str">
            <v>A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9">
          <cell r="A9" t="str">
            <v>A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9">
          <cell r="A9" t="str">
            <v>A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9">
          <cell r="A9" t="str">
            <v>A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9">
          <cell r="A9" t="str">
            <v>A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9">
          <cell r="A9" t="str">
            <v>A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9">
          <cell r="A9" t="str">
            <v>A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9">
          <cell r="A9" t="str">
            <v>A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9">
          <cell r="A9" t="str">
            <v>A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9">
          <cell r="A9" t="str">
            <v>A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9">
          <cell r="A9" t="str">
            <v>A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9">
          <cell r="A9" t="str">
            <v>A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9">
          <cell r="A9" t="str">
            <v>A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9">
          <cell r="A9" t="str">
            <v>A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9">
          <cell r="A9" t="str">
            <v>A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9">
          <cell r="A9" t="str">
            <v>A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9">
          <cell r="A9" t="str">
            <v>A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9">
          <cell r="A9" t="str">
            <v>A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9">
          <cell r="A9" t="str">
            <v>A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>
        <row r="9">
          <cell r="A9" t="str">
            <v>A</v>
          </cell>
        </row>
      </sheetData>
      <sheetData sheetId="8020">
        <row r="9">
          <cell r="A9" t="str">
            <v>A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/>
      <sheetData sheetId="8029"/>
      <sheetData sheetId="8030">
        <row r="9">
          <cell r="A9" t="str">
            <v>A</v>
          </cell>
        </row>
      </sheetData>
      <sheetData sheetId="8031"/>
      <sheetData sheetId="8032">
        <row r="9">
          <cell r="A9" t="str">
            <v>A</v>
          </cell>
        </row>
      </sheetData>
      <sheetData sheetId="8033"/>
      <sheetData sheetId="8034"/>
      <sheetData sheetId="8035">
        <row r="9">
          <cell r="A9" t="str">
            <v>A</v>
          </cell>
        </row>
      </sheetData>
      <sheetData sheetId="8036">
        <row r="9">
          <cell r="A9" t="str">
            <v>A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>
        <row r="4">
          <cell r="A4" t="str">
            <v>BẢNG TÍNH TOÁN, ĐO BÓC KHỐI LƯỢNG HOÀN THÀNH ĐƯA VÀO QUYẾT TOÁN</v>
          </cell>
        </row>
      </sheetData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>
        <row r="9">
          <cell r="A9" t="str">
            <v>A</v>
          </cell>
        </row>
      </sheetData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4">
          <cell r="A4" t="str">
            <v>BẢNG TÍNH TOÁN, ĐO BÓC KHỐI LƯỢNG HOÀN THÀNH ĐƯA VÀO QUYẾT TOÁN</v>
          </cell>
        </row>
      </sheetData>
      <sheetData sheetId="8190">
        <row r="4">
          <cell r="A4" t="str">
            <v>BẢNG TÍNH TOÁN, ĐO BÓC KHỐI LƯỢNG HOÀN THÀNH ĐƯA VÀO QUYẾT TOÁN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>
        <row r="4">
          <cell r="A4" t="str">
            <v>BẢNG TÍNH TOÁN, ĐO BÓC KHỐI LƯỢNG HOÀN THÀNH ĐƯA VÀO QUYẾT TOÁN</v>
          </cell>
        </row>
      </sheetData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4">
          <cell r="A4" t="str">
            <v>BẢNG TÍNH TOÁN, ĐO BÓC KHỐI LƯỢNG HOÀN THÀNH ĐƯA VÀO QUYẾT TOÁN</v>
          </cell>
        </row>
      </sheetData>
      <sheetData sheetId="8256" refreshError="1"/>
      <sheetData sheetId="8257" refreshError="1"/>
      <sheetData sheetId="8258" refreshError="1"/>
      <sheetData sheetId="8259" refreshError="1"/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4">
          <cell r="A4" t="str">
            <v>BẢNG TÍNH TOÁN, ĐO BÓC KHỐI LƯỢNG HOÀN THÀNH ĐƯA VÀO QUYẾT TOÁN</v>
          </cell>
        </row>
      </sheetData>
      <sheetData sheetId="8263" refreshError="1"/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/>
      <sheetData sheetId="8274"/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4">
          <cell r="A4" t="str">
            <v>BẢNG TÍNH TOÁN, ĐO BÓC KHỐI LƯỢNG HOÀN THÀNH ĐƯA VÀO QUYẾT TOÁN</v>
          </cell>
        </row>
      </sheetData>
      <sheetData sheetId="8302">
        <row r="4">
          <cell r="A4" t="str">
            <v>BẢNG TÍNH TOÁN, ĐO BÓC KHỐI LƯỢNG HOÀN THÀNH ĐƯA VÀO QUYẾT TOÁN</v>
          </cell>
        </row>
      </sheetData>
      <sheetData sheetId="8303">
        <row r="4">
          <cell r="A4" t="str">
            <v>BẢNG TÍNH TOÁN, ĐO BÓC KHỐI LƯỢNG HOÀN THÀNH ĐƯA VÀO QUYẾT TOÁN</v>
          </cell>
        </row>
      </sheetData>
      <sheetData sheetId="8304">
        <row r="9">
          <cell r="A9" t="str">
            <v>A</v>
          </cell>
        </row>
      </sheetData>
      <sheetData sheetId="8305"/>
      <sheetData sheetId="8306"/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/>
      <sheetData sheetId="8314"/>
      <sheetData sheetId="8315"/>
      <sheetData sheetId="8316"/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/>
      <sheetData sheetId="8321"/>
      <sheetData sheetId="8322"/>
      <sheetData sheetId="8323"/>
      <sheetData sheetId="8324"/>
      <sheetData sheetId="8325">
        <row r="4">
          <cell r="A4" t="str">
            <v>BẢNG TÍNH TOÁN, ĐO BÓC KHỐI LƯỢNG HOÀN THÀNH ĐƯA VÀO QUYẾT TOÁN</v>
          </cell>
        </row>
      </sheetData>
      <sheetData sheetId="8326"/>
      <sheetData sheetId="8327"/>
      <sheetData sheetId="8328"/>
      <sheetData sheetId="8329"/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 refreshError="1"/>
      <sheetData sheetId="8340" refreshError="1"/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/>
      <sheetData sheetId="8345">
        <row r="9">
          <cell r="A9" t="str">
            <v>A</v>
          </cell>
        </row>
      </sheetData>
      <sheetData sheetId="8346"/>
      <sheetData sheetId="8347"/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 refreshError="1"/>
      <sheetData sheetId="8377" refreshError="1"/>
      <sheetData sheetId="8378" refreshError="1"/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 refreshError="1"/>
      <sheetData sheetId="8408" refreshError="1"/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>
        <row r="4">
          <cell r="A4" t="str">
            <v>BẢNG TÍNH TOÁN, ĐO BÓC KHỐI LƯỢNG HOÀN THÀNH ĐƯA VÀO QUYẾT TOÁN</v>
          </cell>
        </row>
      </sheetData>
      <sheetData sheetId="8474">
        <row r="4">
          <cell r="A4" t="str">
            <v>BẢNG TÍNH TOÁN, ĐO BÓC KHỐI LƯỢNG HOÀN THÀNH ĐƯA VÀO QUYẾT TOÁN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4">
          <cell r="A4" t="str">
            <v>BẢNG TÍNH TOÁN, ĐO BÓC KHỐI LƯỢNG HOÀN THÀNH ĐƯA VÀO QUYẾT TOÁN</v>
          </cell>
        </row>
      </sheetData>
      <sheetData sheetId="8478">
        <row r="4">
          <cell r="A4" t="str">
            <v>BẢNG TÍNH TOÁN, ĐO BÓC KHỐI LƯỢNG HOÀN THÀNH ĐƯA VÀO QUYẾT TOÁN</v>
          </cell>
        </row>
      </sheetData>
      <sheetData sheetId="8479">
        <row r="4">
          <cell r="A4" t="str">
            <v>BẢNG TÍNH TOÁN, ĐO BÓC KHỐI LƯỢNG HOÀN THÀNH ĐƯA VÀO QUYẾT TOÁN</v>
          </cell>
        </row>
      </sheetData>
      <sheetData sheetId="8480">
        <row r="4">
          <cell r="A4" t="str">
            <v>BẢNG TÍNH TOÁN, ĐO BÓC KHỐI LƯỢNG HOÀN THÀNH ĐƯA VÀO QUYẾT TOÁN</v>
          </cell>
        </row>
      </sheetData>
      <sheetData sheetId="8481">
        <row r="4">
          <cell r="A4" t="str">
            <v>BẢNG TÍNH TOÁN, ĐO BÓC KHỐI LƯỢNG HOÀN THÀNH ĐƯA VÀO QUYẾT TOÁN</v>
          </cell>
        </row>
      </sheetData>
      <sheetData sheetId="8482">
        <row r="4">
          <cell r="A4" t="str">
            <v>BẢNG TÍNH TOÁN, ĐO BÓC KHỐI LƯỢNG HOÀN THÀNH ĐƯA VÀO QUYẾT TOÁN</v>
          </cell>
        </row>
      </sheetData>
      <sheetData sheetId="8483">
        <row r="4">
          <cell r="A4" t="str">
            <v>BẢNG TÍNH TOÁN, ĐO BÓC KHỐI LƯỢNG HOÀN THÀNH ĐƯA VÀO QUYẾT TOÁN</v>
          </cell>
        </row>
      </sheetData>
      <sheetData sheetId="8484">
        <row r="4">
          <cell r="A4" t="str">
            <v>BẢNG TÍNH TOÁN, ĐO BÓC KHỐI LƯỢNG HOÀN THÀNH ĐƯA VÀO QUYẾT TOÁN</v>
          </cell>
        </row>
      </sheetData>
      <sheetData sheetId="8485">
        <row r="4">
          <cell r="A4" t="str">
            <v>BẢNG TÍNH TOÁN, ĐO BÓC KHỐI LƯỢNG HOÀN THÀNH ĐƯA VÀO QUYẾT TOÁN</v>
          </cell>
        </row>
      </sheetData>
      <sheetData sheetId="8486">
        <row r="4">
          <cell r="A4" t="str">
            <v>BẢNG TÍNH TOÁN, ĐO BÓC KHỐI LƯỢNG HOÀN THÀNH ĐƯA VÀO QUYẾT TOÁN</v>
          </cell>
        </row>
      </sheetData>
      <sheetData sheetId="8487">
        <row r="4">
          <cell r="A4" t="str">
            <v>BẢNG TÍNH TOÁN, ĐO BÓC KHỐI LƯỢNG HOÀN THÀNH ĐƯA VÀO QUYẾT TOÁN</v>
          </cell>
        </row>
      </sheetData>
      <sheetData sheetId="8488">
        <row r="4">
          <cell r="A4" t="str">
            <v>BẢNG TÍNH TOÁN, ĐO BÓC KHỐI LƯỢNG HOÀN THÀNH ĐƯA VÀO QUYẾT TOÁN</v>
          </cell>
        </row>
      </sheetData>
      <sheetData sheetId="8489">
        <row r="4">
          <cell r="A4" t="str">
            <v>BẢNG TÍNH TOÁN, ĐO BÓC KHỐI LƯỢNG HOÀN THÀNH ĐƯA VÀO QUYẾT TOÁN</v>
          </cell>
        </row>
      </sheetData>
      <sheetData sheetId="8490">
        <row r="4">
          <cell r="A4" t="str">
            <v>BẢNG TÍNH TOÁN, ĐO BÓC KHỐI LƯỢNG HOÀN THÀNH ĐƯA VÀO QUYẾT TOÁN</v>
          </cell>
        </row>
      </sheetData>
      <sheetData sheetId="8491">
        <row r="4">
          <cell r="A4" t="str">
            <v>BẢNG TÍNH TOÁN, ĐO BÓC KHỐI LƯỢNG HOÀN THÀNH ĐƯA VÀO QUYẾT TOÁN</v>
          </cell>
        </row>
      </sheetData>
      <sheetData sheetId="8492">
        <row r="4">
          <cell r="A4" t="str">
            <v>BẢNG TÍNH TOÁN, ĐO BÓC KHỐI LƯỢNG HOÀN THÀNH ĐƯA VÀO QUYẾT TOÁN</v>
          </cell>
        </row>
      </sheetData>
      <sheetData sheetId="8493">
        <row r="4">
          <cell r="A4" t="str">
            <v>BẢNG TÍNH TOÁN, ĐO BÓC KHỐI LƯỢNG HOÀN THÀNH ĐƯA VÀO QUYẾT TOÁN</v>
          </cell>
        </row>
      </sheetData>
      <sheetData sheetId="8494">
        <row r="4">
          <cell r="A4" t="str">
            <v>BẢNG TÍNH TOÁN, ĐO BÓC KHỐI LƯỢNG HOÀN THÀNH ĐƯA VÀO QUYẾT TOÁN</v>
          </cell>
        </row>
      </sheetData>
      <sheetData sheetId="8495">
        <row r="4">
          <cell r="A4" t="str">
            <v>BẢNG TÍNH TOÁN, ĐO BÓC KHỐI LƯỢNG HOÀN THÀNH ĐƯA VÀO QUYẾT TOÁN</v>
          </cell>
        </row>
      </sheetData>
      <sheetData sheetId="8496">
        <row r="4">
          <cell r="A4" t="str">
            <v>BẢNG TÍNH TOÁN, ĐO BÓC KHỐI LƯỢNG HOÀN THÀNH ĐƯA VÀO QUYẾT TOÁN</v>
          </cell>
        </row>
      </sheetData>
      <sheetData sheetId="8497">
        <row r="4">
          <cell r="A4" t="str">
            <v>BẢNG TÍNH TOÁN, ĐO BÓC KHỐI LƯỢNG HOÀN THÀNH ĐƯA VÀO QUYẾT TOÁN</v>
          </cell>
        </row>
      </sheetData>
      <sheetData sheetId="8498">
        <row r="4">
          <cell r="A4" t="str">
            <v>BẢNG TÍNH TOÁN, ĐO BÓC KHỐI LƯỢNG HOÀN THÀNH ĐƯA VÀO QUYẾT TOÁN</v>
          </cell>
        </row>
      </sheetData>
      <sheetData sheetId="8499">
        <row r="4">
          <cell r="A4" t="str">
            <v>BẢNG TÍNH TOÁN, ĐO BÓC KHỐI LƯỢNG HOÀN THÀNH ĐƯA VÀO QUYẾT TOÁN</v>
          </cell>
        </row>
      </sheetData>
      <sheetData sheetId="8500">
        <row r="4">
          <cell r="A4" t="str">
            <v>BẢNG TÍNH TOÁN, ĐO BÓC KHỐI LƯỢNG HOÀN THÀNH ĐƯA VÀO QUYẾT TOÁN</v>
          </cell>
        </row>
      </sheetData>
      <sheetData sheetId="8501">
        <row r="4">
          <cell r="A4" t="str">
            <v>BẢNG TÍNH TOÁN, ĐO BÓC KHỐI LƯỢNG HOÀN THÀNH ĐƯA VÀO QUYẾT TOÁN</v>
          </cell>
        </row>
      </sheetData>
      <sheetData sheetId="8502">
        <row r="4">
          <cell r="A4" t="str">
            <v>BẢNG TÍNH TOÁN, ĐO BÓC KHỐI LƯỢNG HOÀN THÀNH ĐƯA VÀO QUYẾT TOÁN</v>
          </cell>
        </row>
      </sheetData>
      <sheetData sheetId="8503">
        <row r="4">
          <cell r="A4" t="str">
            <v>BẢNG TÍNH TOÁN, ĐO BÓC KHỐI LƯỢNG HOÀN THÀNH ĐƯA VÀO QUYẾT TOÁN</v>
          </cell>
        </row>
      </sheetData>
      <sheetData sheetId="8504">
        <row r="4">
          <cell r="A4" t="str">
            <v>BẢNG TÍNH TOÁN, ĐO BÓC KHỐI LƯỢNG HOÀN THÀNH ĐƯA VÀO QUYẾT TOÁN</v>
          </cell>
        </row>
      </sheetData>
      <sheetData sheetId="8505">
        <row r="4">
          <cell r="A4" t="str">
            <v>BẢNG TÍNH TOÁN, ĐO BÓC KHỐI LƯỢNG HOÀN THÀNH ĐƯA VÀO QUYẾT TOÁN</v>
          </cell>
        </row>
      </sheetData>
      <sheetData sheetId="8506">
        <row r="4">
          <cell r="A4" t="str">
            <v>BẢNG TÍNH TOÁN, ĐO BÓC KHỐI LƯỢNG HOÀN THÀNH ĐƯA VÀO QUYẾT TOÁN</v>
          </cell>
        </row>
      </sheetData>
      <sheetData sheetId="8507">
        <row r="4">
          <cell r="A4" t="str">
            <v>BẢNG TÍNH TOÁN, ĐO BÓC KHỐI LƯỢNG HOÀN THÀNH ĐƯA VÀO QUYẾT TOÁN</v>
          </cell>
        </row>
      </sheetData>
      <sheetData sheetId="8508">
        <row r="4">
          <cell r="A4" t="str">
            <v>BẢNG TÍNH TOÁN, ĐO BÓC KHỐI LƯỢNG HOÀN THÀNH ĐƯA VÀO QUYẾT TOÁN</v>
          </cell>
        </row>
      </sheetData>
      <sheetData sheetId="8509">
        <row r="4">
          <cell r="A4" t="str">
            <v>BẢNG TÍNH TOÁN, ĐO BÓC KHỐI LƯỢNG HOÀN THÀNH ĐƯA VÀO QUYẾT TOÁN</v>
          </cell>
        </row>
      </sheetData>
      <sheetData sheetId="8510">
        <row r="4">
          <cell r="A4" t="str">
            <v>BẢNG TÍNH TOÁN, ĐO BÓC KHỐI LƯỢNG HOÀN THÀNH ĐƯA VÀO QUYẾT TOÁN</v>
          </cell>
        </row>
      </sheetData>
      <sheetData sheetId="8511">
        <row r="4">
          <cell r="A4" t="str">
            <v>BẢNG TÍNH TOÁN, ĐO BÓC KHỐI LƯỢNG HOÀN THÀNH ĐƯA VÀO QUYẾT TOÁN</v>
          </cell>
        </row>
      </sheetData>
      <sheetData sheetId="8512">
        <row r="4">
          <cell r="A4" t="str">
            <v>BẢNG TÍNH TOÁN, ĐO BÓC KHỐI LƯỢNG HOÀN THÀNH ĐƯA VÀO QUYẾT TOÁN</v>
          </cell>
        </row>
      </sheetData>
      <sheetData sheetId="8513">
        <row r="4">
          <cell r="A4" t="str">
            <v>BẢNG TÍNH TOÁN, ĐO BÓC KHỐI LƯỢNG HOÀN THÀNH ĐƯA VÀO QUYẾT TOÁN</v>
          </cell>
        </row>
      </sheetData>
      <sheetData sheetId="8514">
        <row r="4">
          <cell r="A4" t="str">
            <v>BẢNG TÍNH TOÁN, ĐO BÓC KHỐI LƯỢNG HOÀN THÀNH ĐƯA VÀO QUYẾT TOÁN</v>
          </cell>
        </row>
      </sheetData>
      <sheetData sheetId="8515">
        <row r="4">
          <cell r="A4" t="str">
            <v>BẢNG TÍNH TOÁN, ĐO BÓC KHỐI LƯỢNG HOÀN THÀNH ĐƯA VÀO QUYẾT TOÁN</v>
          </cell>
        </row>
      </sheetData>
      <sheetData sheetId="8516">
        <row r="4">
          <cell r="A4" t="str">
            <v>BẢNG TÍNH TOÁN, ĐO BÓC KHỐI LƯỢNG HOÀN THÀNH ĐƯA VÀO QUYẾT TOÁN</v>
          </cell>
        </row>
      </sheetData>
      <sheetData sheetId="8517">
        <row r="4">
          <cell r="A4" t="str">
            <v>BẢNG TÍNH TOÁN, ĐO BÓC KHỐI LƯỢNG HOÀN THÀNH ĐƯA VÀO QUYẾT TOÁN</v>
          </cell>
        </row>
      </sheetData>
      <sheetData sheetId="8518">
        <row r="4">
          <cell r="A4" t="str">
            <v>BẢNG TÍNH TOÁN, ĐO BÓC KHỐI LƯỢNG HOÀN THÀNH ĐƯA VÀO QUYẾT TOÁN</v>
          </cell>
        </row>
      </sheetData>
      <sheetData sheetId="8519">
        <row r="4">
          <cell r="A4" t="str">
            <v>BẢNG TÍNH TOÁN, ĐO BÓC KHỐI LƯỢNG HOÀN THÀNH ĐƯA VÀO QUYẾT TOÁN</v>
          </cell>
        </row>
      </sheetData>
      <sheetData sheetId="8520">
        <row r="4">
          <cell r="A4" t="str">
            <v>BẢNG TÍNH TOÁN, ĐO BÓC KHỐI LƯỢNG HOÀN THÀNH ĐƯA VÀO QUYẾT TOÁN</v>
          </cell>
        </row>
      </sheetData>
      <sheetData sheetId="8521">
        <row r="4">
          <cell r="A4" t="str">
            <v>BẢNG TÍNH TOÁN, ĐO BÓC KHỐI LƯỢNG HOÀN THÀNH ĐƯA VÀO QUYẾT TOÁN</v>
          </cell>
        </row>
      </sheetData>
      <sheetData sheetId="8522">
        <row r="4">
          <cell r="A4" t="str">
            <v>BẢNG TÍNH TOÁN, ĐO BÓC KHỐI LƯỢNG HOÀN THÀNH ĐƯA VÀO QUYẾT TOÁN</v>
          </cell>
        </row>
      </sheetData>
      <sheetData sheetId="8523">
        <row r="4">
          <cell r="A4" t="str">
            <v>BẢNG TÍNH TOÁN, ĐO BÓC KHỐI LƯỢNG HOÀN THÀNH ĐƯA VÀO QUYẾT TOÁN</v>
          </cell>
        </row>
      </sheetData>
      <sheetData sheetId="8524">
        <row r="4">
          <cell r="A4" t="str">
            <v>BẢNG TÍNH TOÁN, ĐO BÓC KHỐI LƯỢNG HOÀN THÀNH ĐƯA VÀO QUYẾT TOÁN</v>
          </cell>
        </row>
      </sheetData>
      <sheetData sheetId="8525">
        <row r="4">
          <cell r="A4" t="str">
            <v>BẢNG TÍNH TOÁN, ĐO BÓC KHỐI LƯỢNG HOÀN THÀNH ĐƯA VÀO QUYẾT TOÁN</v>
          </cell>
        </row>
      </sheetData>
      <sheetData sheetId="8526">
        <row r="4">
          <cell r="A4" t="str">
            <v>BẢNG TÍNH TOÁN, ĐO BÓC KHỐI LƯỢNG HOÀN THÀNH ĐƯA VÀO QUYẾT TOÁN</v>
          </cell>
        </row>
      </sheetData>
      <sheetData sheetId="8527">
        <row r="4">
          <cell r="A4" t="str">
            <v>BẢNG TÍNH TOÁN, ĐO BÓC KHỐI LƯỢNG HOÀN THÀNH ĐƯA VÀO QUYẾT TOÁN</v>
          </cell>
        </row>
      </sheetData>
      <sheetData sheetId="8528">
        <row r="4">
          <cell r="A4" t="str">
            <v>BẢNG TÍNH TOÁN, ĐO BÓC KHỐI LƯỢNG HOÀN THÀNH ĐƯA VÀO QUYẾT TOÁN</v>
          </cell>
        </row>
      </sheetData>
      <sheetData sheetId="8529">
        <row r="4">
          <cell r="A4" t="str">
            <v>BẢNG TÍNH TOÁN, ĐO BÓC KHỐI LƯỢNG HOÀN THÀNH ĐƯA VÀO QUYẾT TOÁN</v>
          </cell>
        </row>
      </sheetData>
      <sheetData sheetId="8530">
        <row r="4">
          <cell r="A4" t="str">
            <v>BẢNG TÍNH TOÁN, ĐO BÓC KHỐI LƯỢNG HOÀN THÀNH ĐƯA VÀO QUYẾT TOÁN</v>
          </cell>
        </row>
      </sheetData>
      <sheetData sheetId="8531">
        <row r="4">
          <cell r="A4" t="str">
            <v>BẢNG TÍNH TOÁN, ĐO BÓC KHỐI LƯỢNG HOÀN THÀNH ĐƯA VÀO QUYẾT TOÁN</v>
          </cell>
        </row>
      </sheetData>
      <sheetData sheetId="8532">
        <row r="4">
          <cell r="A4" t="str">
            <v>BẢNG TÍNH TOÁN, ĐO BÓC KHỐI LƯỢNG HOÀN THÀNH ĐƯA VÀO QUYẾT TOÁN</v>
          </cell>
        </row>
      </sheetData>
      <sheetData sheetId="8533">
        <row r="4">
          <cell r="A4" t="str">
            <v>BẢNG TÍNH TOÁN, ĐO BÓC KHỐI LƯỢNG HOÀN THÀNH ĐƯA VÀO QUYẾT TOÁN</v>
          </cell>
        </row>
      </sheetData>
      <sheetData sheetId="8534">
        <row r="4">
          <cell r="A4" t="str">
            <v>BẢNG TÍNH TOÁN, ĐO BÓC KHỐI LƯỢNG HOÀN THÀNH ĐƯA VÀO QUYẾT TOÁN</v>
          </cell>
        </row>
      </sheetData>
      <sheetData sheetId="8535">
        <row r="4">
          <cell r="A4" t="str">
            <v>BẢNG TÍNH TOÁN, ĐO BÓC KHỐI LƯỢNG HOÀN THÀNH ĐƯA VÀO QUYẾT TOÁN</v>
          </cell>
        </row>
      </sheetData>
      <sheetData sheetId="8536">
        <row r="4">
          <cell r="A4" t="str">
            <v>BẢNG TÍNH TOÁN, ĐO BÓC KHỐI LƯỢNG HOÀN THÀNH ĐƯA VÀO QUYẾT TOÁN</v>
          </cell>
        </row>
      </sheetData>
      <sheetData sheetId="8537">
        <row r="4">
          <cell r="A4" t="str">
            <v>BẢNG TÍNH TOÁN, ĐO BÓC KHỐI LƯỢNG HOÀN THÀNH ĐƯA VÀO QUYẾT TOÁN</v>
          </cell>
        </row>
      </sheetData>
      <sheetData sheetId="8538">
        <row r="4">
          <cell r="A4" t="str">
            <v>BẢNG TÍNH TOÁN, ĐO BÓC KHỐI LƯỢNG HOÀN THÀNH ĐƯA VÀO QUYẾT TOÁN</v>
          </cell>
        </row>
      </sheetData>
      <sheetData sheetId="8539">
        <row r="4">
          <cell r="A4" t="str">
            <v>BẢNG TÍNH TOÁN, ĐO BÓC KHỐI LƯỢNG HOÀN THÀNH ĐƯA VÀO QUYẾT TOÁN</v>
          </cell>
        </row>
      </sheetData>
      <sheetData sheetId="8540">
        <row r="4">
          <cell r="A4" t="str">
            <v>BẢNG TÍNH TOÁN, ĐO BÓC KHỐI LƯỢNG HOÀN THÀNH ĐƯA VÀO QUYẾT TOÁN</v>
          </cell>
        </row>
      </sheetData>
      <sheetData sheetId="8541">
        <row r="4">
          <cell r="A4" t="str">
            <v>BẢNG TÍNH TOÁN, ĐO BÓC KHỐI LƯỢNG HOÀN THÀNH ĐƯA VÀO QUYẾT TOÁN</v>
          </cell>
        </row>
      </sheetData>
      <sheetData sheetId="8542">
        <row r="4">
          <cell r="A4" t="str">
            <v>BẢNG TÍNH TOÁN, ĐO BÓC KHỐI LƯỢNG HOÀN THÀNH ĐƯA VÀO QUYẾT TOÁN</v>
          </cell>
        </row>
      </sheetData>
      <sheetData sheetId="8543">
        <row r="4">
          <cell r="A4" t="str">
            <v>BẢNG TÍNH TOÁN, ĐO BÓC KHỐI LƯỢNG HOÀN THÀNH ĐƯA VÀO QUYẾT TOÁN</v>
          </cell>
        </row>
      </sheetData>
      <sheetData sheetId="8544">
        <row r="4">
          <cell r="A4" t="str">
            <v>BẢNG TÍNH TOÁN, ĐO BÓC KHỐI LƯỢNG HOÀN THÀNH ĐƯA VÀO QUYẾT TOÁN</v>
          </cell>
        </row>
      </sheetData>
      <sheetData sheetId="8545">
        <row r="4">
          <cell r="A4" t="str">
            <v>BẢNG TÍNH TOÁN, ĐO BÓC KHỐI LƯỢNG HOÀN THÀNH ĐƯA VÀO QUYẾT TOÁN</v>
          </cell>
        </row>
      </sheetData>
      <sheetData sheetId="8546">
        <row r="4">
          <cell r="A4" t="str">
            <v>BẢNG TÍNH TOÁN, ĐO BÓC KHỐI LƯỢNG HOÀN THÀNH ĐƯA VÀO QUYẾT TOÁN</v>
          </cell>
        </row>
      </sheetData>
      <sheetData sheetId="8547">
        <row r="4">
          <cell r="A4" t="str">
            <v>BẢNG TÍNH TOÁN, ĐO BÓC KHỐI LƯỢNG HOÀN THÀNH ĐƯA VÀO QUYẾT TOÁN</v>
          </cell>
        </row>
      </sheetData>
      <sheetData sheetId="8548">
        <row r="4">
          <cell r="A4" t="str">
            <v>BẢNG TÍNH TOÁN, ĐO BÓC KHỐI LƯỢNG HOÀN THÀNH ĐƯA VÀO QUYẾT TOÁN</v>
          </cell>
        </row>
      </sheetData>
      <sheetData sheetId="8549">
        <row r="4">
          <cell r="A4" t="str">
            <v>BẢNG TÍNH TOÁN, ĐO BÓC KHỐI LƯỢNG HOÀN THÀNH ĐƯA VÀO QUYẾT TOÁN</v>
          </cell>
        </row>
      </sheetData>
      <sheetData sheetId="8550">
        <row r="4">
          <cell r="A4" t="str">
            <v>BẢNG TÍNH TOÁN, ĐO BÓC KHỐI LƯỢNG HOÀN THÀNH ĐƯA VÀO QUYẾT TOÁN</v>
          </cell>
        </row>
      </sheetData>
      <sheetData sheetId="8551">
        <row r="4">
          <cell r="A4" t="str">
            <v>BẢNG TÍNH TOÁN, ĐO BÓC KHỐI LƯỢNG HOÀN THÀNH ĐƯA VÀO QUYẾT TOÁN</v>
          </cell>
        </row>
      </sheetData>
      <sheetData sheetId="8552">
        <row r="4">
          <cell r="A4" t="str">
            <v>BẢNG TÍNH TOÁN, ĐO BÓC KHỐI LƯỢNG HOÀN THÀNH ĐƯA VÀO QUYẾT TOÁN</v>
          </cell>
        </row>
      </sheetData>
      <sheetData sheetId="8553">
        <row r="4">
          <cell r="A4" t="str">
            <v>BẢNG TÍNH TOÁN, ĐO BÓC KHỐI LƯỢNG HOÀN THÀNH ĐƯA VÀO QUYẾT TOÁN</v>
          </cell>
        </row>
      </sheetData>
      <sheetData sheetId="8554">
        <row r="4">
          <cell r="A4" t="str">
            <v>BẢNG TÍNH TOÁN, ĐO BÓC KHỐI LƯỢNG HOÀN THÀNH ĐƯA VÀO QUYẾT TOÁN</v>
          </cell>
        </row>
      </sheetData>
      <sheetData sheetId="8555">
        <row r="4">
          <cell r="A4" t="str">
            <v>BẢNG TÍNH TOÁN, ĐO BÓC KHỐI LƯỢNG HOÀN THÀNH ĐƯA VÀO QUYẾT TOÁN</v>
          </cell>
        </row>
      </sheetData>
      <sheetData sheetId="8556">
        <row r="4">
          <cell r="A4" t="str">
            <v>BẢNG TÍNH TOÁN, ĐO BÓC KHỐI LƯỢNG HOÀN THÀNH ĐƯA VÀO QUYẾT TOÁN</v>
          </cell>
        </row>
      </sheetData>
      <sheetData sheetId="8557">
        <row r="4">
          <cell r="A4" t="str">
            <v>BẢNG TÍNH TOÁN, ĐO BÓC KHỐI LƯỢNG HOÀN THÀNH ĐƯA VÀO QUYẾT TOÁN</v>
          </cell>
        </row>
      </sheetData>
      <sheetData sheetId="8558">
        <row r="4">
          <cell r="A4" t="str">
            <v>BẢNG TÍNH TOÁN, ĐO BÓC KHỐI LƯỢNG HOÀN THÀNH ĐƯA VÀO QUYẾT TOÁN</v>
          </cell>
        </row>
      </sheetData>
      <sheetData sheetId="8559">
        <row r="4">
          <cell r="A4" t="str">
            <v>BẢNG TÍNH TOÁN, ĐO BÓC KHỐI LƯỢNG HOÀN THÀNH ĐƯA VÀO QUYẾT TOÁN</v>
          </cell>
        </row>
      </sheetData>
      <sheetData sheetId="8560">
        <row r="4">
          <cell r="A4" t="str">
            <v>BẢNG TÍNH TOÁN, ĐO BÓC KHỐI LƯỢNG HOÀN THÀNH ĐƯA VÀO QUYẾT TOÁN</v>
          </cell>
        </row>
      </sheetData>
      <sheetData sheetId="8561">
        <row r="4">
          <cell r="A4" t="str">
            <v>BẢNG TÍNH TOÁN, ĐO BÓC KHỐI LƯỢNG HOÀN THÀNH ĐƯA VÀO QUYẾT TOÁN</v>
          </cell>
        </row>
      </sheetData>
      <sheetData sheetId="8562">
        <row r="4">
          <cell r="A4" t="str">
            <v>BẢNG TÍNH TOÁN, ĐO BÓC KHỐI LƯỢNG HOÀN THÀNH ĐƯA VÀO QUYẾT TOÁN</v>
          </cell>
        </row>
      </sheetData>
      <sheetData sheetId="8563">
        <row r="4">
          <cell r="A4" t="str">
            <v>BẢNG TÍNH TOÁN, ĐO BÓC KHỐI LƯỢNG HOÀN THÀNH ĐƯA VÀO QUYẾT TOÁN</v>
          </cell>
        </row>
      </sheetData>
      <sheetData sheetId="8564">
        <row r="4">
          <cell r="A4" t="str">
            <v>BẢNG TÍNH TOÁN, ĐO BÓC KHỐI LƯỢNG HOÀN THÀNH ĐƯA VÀO QUYẾT TOÁN</v>
          </cell>
        </row>
      </sheetData>
      <sheetData sheetId="8565">
        <row r="4">
          <cell r="A4" t="str">
            <v>BẢNG TÍNH TOÁN, ĐO BÓC KHỐI LƯỢNG HOÀN THÀNH ĐƯA VÀO QUYẾT TOÁN</v>
          </cell>
        </row>
      </sheetData>
      <sheetData sheetId="8566">
        <row r="4">
          <cell r="A4" t="str">
            <v>BẢNG TÍNH TOÁN, ĐO BÓC KHỐI LƯỢNG HOÀN THÀNH ĐƯA VÀO QUYẾT TOÁN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4">
          <cell r="A4" t="str">
            <v>BẢNG TÍNH TOÁN, ĐO BÓC KHỐI LƯỢNG HOÀN THÀNH ĐƯA VÀO QUYẾT TOÁN</v>
          </cell>
        </row>
      </sheetData>
      <sheetData sheetId="8570">
        <row r="4">
          <cell r="A4" t="str">
            <v>BẢNG TÍNH TOÁN, ĐO BÓC KHỐI LƯỢNG HOÀN THÀNH ĐƯA VÀO QUYẾT TOÁN</v>
          </cell>
        </row>
      </sheetData>
      <sheetData sheetId="8571">
        <row r="4">
          <cell r="A4" t="str">
            <v>BẢNG TÍNH TOÁN, ĐO BÓC KHỐI LƯỢNG HOÀN THÀNH ĐƯA VÀO QUYẾT TOÁN</v>
          </cell>
        </row>
      </sheetData>
      <sheetData sheetId="8572">
        <row r="4">
          <cell r="A4" t="str">
            <v>BẢNG TÍNH TOÁN, ĐO BÓC KHỐI LƯỢNG HOÀN THÀNH ĐƯA VÀO QUYẾT TOÁN</v>
          </cell>
        </row>
      </sheetData>
      <sheetData sheetId="8573">
        <row r="4">
          <cell r="A4" t="str">
            <v>BẢNG TÍNH TOÁN, ĐO BÓC KHỐI LƯỢNG HOÀN THÀNH ĐƯA VÀO QUYẾT TOÁN</v>
          </cell>
        </row>
      </sheetData>
      <sheetData sheetId="8574">
        <row r="4">
          <cell r="A4" t="str">
            <v>BẢNG TÍNH TOÁN, ĐO BÓC KHỐI LƯỢNG HOÀN THÀNH ĐƯA VÀO QUYẾT TOÁN</v>
          </cell>
        </row>
      </sheetData>
      <sheetData sheetId="8575">
        <row r="4">
          <cell r="A4" t="str">
            <v>BẢNG TÍNH TOÁN, ĐO BÓC KHỐI LƯỢNG HOÀN THÀNH ĐƯA VÀO QUYẾT TOÁN</v>
          </cell>
        </row>
      </sheetData>
      <sheetData sheetId="8576">
        <row r="4">
          <cell r="A4" t="str">
            <v>BẢNG TÍNH TOÁN, ĐO BÓC KHỐI LƯỢNG HOÀN THÀNH ĐƯA VÀO QUYẾT TOÁN</v>
          </cell>
        </row>
      </sheetData>
      <sheetData sheetId="8577">
        <row r="4">
          <cell r="A4" t="str">
            <v>BẢNG TÍNH TOÁN, ĐO BÓC KHỐI LƯỢNG HOÀN THÀNH ĐƯA VÀO QUYẾT TOÁN</v>
          </cell>
        </row>
      </sheetData>
      <sheetData sheetId="8578">
        <row r="4">
          <cell r="A4" t="str">
            <v>BẢNG TÍNH TOÁN, ĐO BÓC KHỐI LƯỢNG HOÀN THÀNH ĐƯA VÀO QUYẾT TOÁN</v>
          </cell>
        </row>
      </sheetData>
      <sheetData sheetId="8579">
        <row r="4">
          <cell r="A4" t="str">
            <v>BẢNG TÍNH TOÁN, ĐO BÓC KHỐI LƯỢNG HOÀN THÀNH ĐƯA VÀO QUYẾT TOÁN</v>
          </cell>
        </row>
      </sheetData>
      <sheetData sheetId="8580">
        <row r="4">
          <cell r="A4" t="str">
            <v>BẢNG TÍNH TOÁN, ĐO BÓC KHỐI LƯỢNG HOÀN THÀNH ĐƯA VÀO QUYẾT TOÁN</v>
          </cell>
        </row>
      </sheetData>
      <sheetData sheetId="8581">
        <row r="4">
          <cell r="A4" t="str">
            <v>BẢNG TÍNH TOÁN, ĐO BÓC KHỐI LƯỢNG HOÀN THÀNH ĐƯA VÀO QUYẾT TOÁN</v>
          </cell>
        </row>
      </sheetData>
      <sheetData sheetId="8582">
        <row r="4">
          <cell r="A4" t="str">
            <v>BẢNG TÍNH TOÁN, ĐO BÓC KHỐI LƯỢNG HOÀN THÀNH ĐƯA VÀO QUYẾT TOÁN</v>
          </cell>
        </row>
      </sheetData>
      <sheetData sheetId="8583">
        <row r="4">
          <cell r="A4" t="str">
            <v>BẢNG TÍNH TOÁN, ĐO BÓC KHỐI LƯỢNG HOÀN THÀNH ĐƯA VÀO QUYẾT TOÁN</v>
          </cell>
        </row>
      </sheetData>
      <sheetData sheetId="8584">
        <row r="4">
          <cell r="A4" t="str">
            <v>BẢNG TÍNH TOÁN, ĐO BÓC KHỐI LƯỢNG HOÀN THÀNH ĐƯA VÀO QUYẾT TOÁN</v>
          </cell>
        </row>
      </sheetData>
      <sheetData sheetId="8585">
        <row r="4">
          <cell r="A4" t="str">
            <v>BẢNG TÍNH TOÁN, ĐO BÓC KHỐI LƯỢNG HOÀN THÀNH ĐƯA VÀO QUYẾT TOÁN</v>
          </cell>
        </row>
      </sheetData>
      <sheetData sheetId="8586">
        <row r="4">
          <cell r="A4" t="str">
            <v>BẢNG TÍNH TOÁN, ĐO BÓC KHỐI LƯỢNG HOÀN THÀNH ĐƯA VÀO QUYẾT TOÁN</v>
          </cell>
        </row>
      </sheetData>
      <sheetData sheetId="8587">
        <row r="4">
          <cell r="A4" t="str">
            <v>BẢNG TÍNH TOÁN, ĐO BÓC KHỐI LƯỢNG HOÀN THÀNH ĐƯA VÀO QUYẾT TOÁN</v>
          </cell>
        </row>
      </sheetData>
      <sheetData sheetId="8588">
        <row r="4">
          <cell r="A4" t="str">
            <v>BẢNG TÍNH TOÁN, ĐO BÓC KHỐI LƯỢNG HOÀN THÀNH ĐƯA VÀO QUYẾT TOÁN</v>
          </cell>
        </row>
      </sheetData>
      <sheetData sheetId="8589">
        <row r="4">
          <cell r="A4" t="str">
            <v>BẢNG TÍNH TOÁN, ĐO BÓC KHỐI LƯỢNG HOÀN THÀNH ĐƯA VÀO QUYẾT TOÁN</v>
          </cell>
        </row>
      </sheetData>
      <sheetData sheetId="8590">
        <row r="4">
          <cell r="A4" t="str">
            <v>BẢNG TÍNH TOÁN, ĐO BÓC KHỐI LƯỢNG HOÀN THÀNH ĐƯA VÀO QUYẾT TOÁN</v>
          </cell>
        </row>
      </sheetData>
      <sheetData sheetId="8591">
        <row r="4">
          <cell r="A4" t="str">
            <v>BẢNG TÍNH TOÁN, ĐO BÓC KHỐI LƯỢNG HOÀN THÀNH ĐƯA VÀO QUYẾT TOÁN</v>
          </cell>
        </row>
      </sheetData>
      <sheetData sheetId="8592">
        <row r="4">
          <cell r="A4" t="str">
            <v>BẢNG TÍNH TOÁN, ĐO BÓC KHỐI LƯỢNG HOÀN THÀNH ĐƯA VÀO QUYẾT TOÁN</v>
          </cell>
        </row>
      </sheetData>
      <sheetData sheetId="8593">
        <row r="4">
          <cell r="A4" t="str">
            <v>BẢNG TÍNH TOÁN, ĐO BÓC KHỐI LƯỢNG HOÀN THÀNH ĐƯA VÀO QUYẾT TOÁN</v>
          </cell>
        </row>
      </sheetData>
      <sheetData sheetId="8594">
        <row r="4">
          <cell r="A4" t="str">
            <v>BẢNG TÍNH TOÁN, ĐO BÓC KHỐI LƯỢNG HOÀN THÀNH ĐƯA VÀO QUYẾT TOÁN</v>
          </cell>
        </row>
      </sheetData>
      <sheetData sheetId="8595">
        <row r="4">
          <cell r="A4" t="str">
            <v>BẢNG TÍNH TOÁN, ĐO BÓC KHỐI LƯỢNG HOÀN THÀNH ĐƯA VÀO QUYẾT TOÁN</v>
          </cell>
        </row>
      </sheetData>
      <sheetData sheetId="8596">
        <row r="4">
          <cell r="A4" t="str">
            <v>BẢNG TÍNH TOÁN, ĐO BÓC KHỐI LƯỢNG HOÀN THÀNH ĐƯA VÀO QUYẾT TOÁN</v>
          </cell>
        </row>
      </sheetData>
      <sheetData sheetId="8597">
        <row r="4">
          <cell r="A4" t="str">
            <v>BẢNG TÍNH TOÁN, ĐO BÓC KHỐI LƯỢNG HOÀN THÀNH ĐƯA VÀO QUYẾT TOÁN</v>
          </cell>
        </row>
      </sheetData>
      <sheetData sheetId="8598">
        <row r="4">
          <cell r="A4" t="str">
            <v>BẢNG TÍNH TOÁN, ĐO BÓC KHỐI LƯỢNG HOÀN THÀNH ĐƯA VÀO QUYẾT TOÁN</v>
          </cell>
        </row>
      </sheetData>
      <sheetData sheetId="8599">
        <row r="4">
          <cell r="A4" t="str">
            <v>BẢNG TÍNH TOÁN, ĐO BÓC KHỐI LƯỢNG HOÀN THÀNH ĐƯA VÀO QUYẾT TOÁN</v>
          </cell>
        </row>
      </sheetData>
      <sheetData sheetId="8600">
        <row r="4">
          <cell r="A4" t="str">
            <v>BẢNG TÍNH TOÁN, ĐO BÓC KHỐI LƯỢNG HOÀN THÀNH ĐƯA VÀO QUYẾT TOÁN</v>
          </cell>
        </row>
      </sheetData>
      <sheetData sheetId="8601">
        <row r="4">
          <cell r="A4" t="str">
            <v>BẢNG TÍNH TOÁN, ĐO BÓC KHỐI LƯỢNG HOÀN THÀNH ĐƯA VÀO QUYẾT TOÁN</v>
          </cell>
        </row>
      </sheetData>
      <sheetData sheetId="8602">
        <row r="4">
          <cell r="A4" t="str">
            <v>BẢNG TÍNH TOÁN, ĐO BÓC KHỐI LƯỢNG HOÀN THÀNH ĐƯA VÀO QUYẾT TOÁN</v>
          </cell>
        </row>
      </sheetData>
      <sheetData sheetId="8603">
        <row r="4">
          <cell r="A4" t="str">
            <v>BẢNG TÍNH TOÁN, ĐO BÓC KHỐI LƯỢNG HOÀN THÀNH ĐƯA VÀO QUYẾT TOÁN</v>
          </cell>
        </row>
      </sheetData>
      <sheetData sheetId="8604">
        <row r="4">
          <cell r="A4" t="str">
            <v>BẢNG TÍNH TOÁN, ĐO BÓC KHỐI LƯỢNG HOÀN THÀNH ĐƯA VÀO QUYẾT TOÁN</v>
          </cell>
        </row>
      </sheetData>
      <sheetData sheetId="8605">
        <row r="4">
          <cell r="A4" t="str">
            <v>BẢNG TÍNH TOÁN, ĐO BÓC KHỐI LƯỢNG HOÀN THÀNH ĐƯA VÀO QUYẾT TOÁN</v>
          </cell>
        </row>
      </sheetData>
      <sheetData sheetId="8606">
        <row r="4">
          <cell r="A4" t="str">
            <v>BẢNG TÍNH TOÁN, ĐO BÓC KHỐI LƯỢNG HOÀN THÀNH ĐƯA VÀO QUYẾT TOÁN</v>
          </cell>
        </row>
      </sheetData>
      <sheetData sheetId="8607">
        <row r="4">
          <cell r="A4" t="str">
            <v>BẢNG TÍNH TOÁN, ĐO BÓC KHỐI LƯỢNG HOÀN THÀNH ĐƯA VÀO QUYẾT TOÁN</v>
          </cell>
        </row>
      </sheetData>
      <sheetData sheetId="8608">
        <row r="4">
          <cell r="A4" t="str">
            <v>BẢNG TÍNH TOÁN, ĐO BÓC KHỐI LƯỢNG HOÀN THÀNH ĐƯA VÀO QUYẾT TOÁN</v>
          </cell>
        </row>
      </sheetData>
      <sheetData sheetId="8609">
        <row r="4">
          <cell r="A4" t="str">
            <v>BẢNG TÍNH TOÁN, ĐO BÓC KHỐI LƯỢNG HOÀN THÀNH ĐƯA VÀO QUYẾT TOÁN</v>
          </cell>
        </row>
      </sheetData>
      <sheetData sheetId="8610">
        <row r="4">
          <cell r="A4" t="str">
            <v>BẢNG TÍNH TOÁN, ĐO BÓC KHỐI LƯỢNG HOÀN THÀNH ĐƯA VÀO QUYẾT TOÁN</v>
          </cell>
        </row>
      </sheetData>
      <sheetData sheetId="8611">
        <row r="4">
          <cell r="A4" t="str">
            <v>BẢNG TÍNH TOÁN, ĐO BÓC KHỐI LƯỢNG HOÀN THÀNH ĐƯA VÀO QUYẾT TOÁN</v>
          </cell>
        </row>
      </sheetData>
      <sheetData sheetId="8612">
        <row r="4">
          <cell r="A4" t="str">
            <v>BẢNG TÍNH TOÁN, ĐO BÓC KHỐI LƯỢNG HOÀN THÀNH ĐƯA VÀO QUYẾT TOÁN</v>
          </cell>
        </row>
      </sheetData>
      <sheetData sheetId="8613">
        <row r="4">
          <cell r="A4" t="str">
            <v>BẢNG TÍNH TOÁN, ĐO BÓC KHỐI LƯỢNG HOÀN THÀNH ĐƯA VÀO QUYẾT TOÁN</v>
          </cell>
        </row>
      </sheetData>
      <sheetData sheetId="8614">
        <row r="4">
          <cell r="A4" t="str">
            <v>BẢNG TÍNH TOÁN, ĐO BÓC KHỐI LƯỢNG HOÀN THÀNH ĐƯA VÀO QUYẾT TOÁN</v>
          </cell>
        </row>
      </sheetData>
      <sheetData sheetId="8615">
        <row r="4">
          <cell r="A4" t="str">
            <v>BẢNG TÍNH TOÁN, ĐO BÓC KHỐI LƯỢNG HOÀN THÀNH ĐƯA VÀO QUYẾT TOÁN</v>
          </cell>
        </row>
      </sheetData>
      <sheetData sheetId="8616">
        <row r="4">
          <cell r="A4" t="str">
            <v>BẢNG TÍNH TOÁN, ĐO BÓC KHỐI LƯỢNG HOÀN THÀNH ĐƯA VÀO QUYẾT TOÁN</v>
          </cell>
        </row>
      </sheetData>
      <sheetData sheetId="8617">
        <row r="4">
          <cell r="A4" t="str">
            <v>BẢNG TÍNH TOÁN, ĐO BÓC KHỐI LƯỢNG HOÀN THÀNH ĐƯA VÀO QUYẾT TOÁN</v>
          </cell>
        </row>
      </sheetData>
      <sheetData sheetId="8618">
        <row r="4">
          <cell r="A4" t="str">
            <v>BẢNG TÍNH TOÁN, ĐO BÓC KHỐI LƯỢNG HOÀN THÀNH ĐƯA VÀO QUYẾT TOÁN</v>
          </cell>
        </row>
      </sheetData>
      <sheetData sheetId="8619">
        <row r="4">
          <cell r="A4" t="str">
            <v>BẢNG TÍNH TOÁN, ĐO BÓC KHỐI LƯỢNG HOÀN THÀNH ĐƯA VÀO QUYẾT TOÁN</v>
          </cell>
        </row>
      </sheetData>
      <sheetData sheetId="8620">
        <row r="4">
          <cell r="A4" t="str">
            <v>BẢNG TÍNH TOÁN, ĐO BÓC KHỐI LƯỢNG HOÀN THÀNH ĐƯA VÀO QUYẾT TOÁN</v>
          </cell>
        </row>
      </sheetData>
      <sheetData sheetId="8621">
        <row r="4">
          <cell r="A4" t="str">
            <v>BẢNG TÍNH TOÁN, ĐO BÓC KHỐI LƯỢNG HOÀN THÀNH ĐƯA VÀO QUYẾT TOÁN</v>
          </cell>
        </row>
      </sheetData>
      <sheetData sheetId="8622">
        <row r="4">
          <cell r="A4" t="str">
            <v>BẢNG TÍNH TOÁN, ĐO BÓC KHỐI LƯỢNG HOÀN THÀNH ĐƯA VÀO QUYẾT TOÁN</v>
          </cell>
        </row>
      </sheetData>
      <sheetData sheetId="8623">
        <row r="4">
          <cell r="A4" t="str">
            <v>BẢNG TÍNH TOÁN, ĐO BÓC KHỐI LƯỢNG HOÀN THÀNH ĐƯA VÀO QUYẾT TOÁN</v>
          </cell>
        </row>
      </sheetData>
      <sheetData sheetId="8624">
        <row r="4">
          <cell r="A4" t="str">
            <v>BẢNG TÍNH TOÁN, ĐO BÓC KHỐI LƯỢNG HOÀN THÀNH ĐƯA VÀO QUYẾT TOÁN</v>
          </cell>
        </row>
      </sheetData>
      <sheetData sheetId="8625">
        <row r="4">
          <cell r="A4" t="str">
            <v>BẢNG TÍNH TOÁN, ĐO BÓC KHỐI LƯỢNG HOÀN THÀNH ĐƯA VÀO QUYẾT TOÁN</v>
          </cell>
        </row>
      </sheetData>
      <sheetData sheetId="8626">
        <row r="4">
          <cell r="A4" t="str">
            <v>BẢNG TÍNH TOÁN, ĐO BÓC KHỐI LƯỢNG HOÀN THÀNH ĐƯA VÀO QUYẾT TOÁN</v>
          </cell>
        </row>
      </sheetData>
      <sheetData sheetId="8627">
        <row r="4">
          <cell r="A4" t="str">
            <v>BẢNG TÍNH TOÁN, ĐO BÓC KHỐI LƯỢNG HOÀN THÀNH ĐƯA VÀO QUYẾT TOÁN</v>
          </cell>
        </row>
      </sheetData>
      <sheetData sheetId="8628">
        <row r="4">
          <cell r="A4" t="str">
            <v>BẢNG TÍNH TOÁN, ĐO BÓC KHỐI LƯỢNG HOÀN THÀNH ĐƯA VÀO QUYẾT TOÁN</v>
          </cell>
        </row>
      </sheetData>
      <sheetData sheetId="8629">
        <row r="4">
          <cell r="A4" t="str">
            <v>BẢNG TÍNH TOÁN, ĐO BÓC KHỐI LƯỢNG HOÀN THÀNH ĐƯA VÀO QUYẾT TOÁN</v>
          </cell>
        </row>
      </sheetData>
      <sheetData sheetId="8630">
        <row r="9">
          <cell r="A9" t="str">
            <v>A</v>
          </cell>
        </row>
      </sheetData>
      <sheetData sheetId="8631">
        <row r="4">
          <cell r="A4" t="str">
            <v>BẢNG TÍNH TOÁN, ĐO BÓC KHỐI LƯỢNG HOÀN THÀNH ĐƯA VÀO QUYẾT TOÁN</v>
          </cell>
        </row>
      </sheetData>
      <sheetData sheetId="8632">
        <row r="9">
          <cell r="A9" t="str">
            <v>A</v>
          </cell>
        </row>
      </sheetData>
      <sheetData sheetId="8633">
        <row r="4">
          <cell r="A4" t="str">
            <v>BẢNG TÍNH TOÁN, ĐO BÓC KHỐI LƯỢNG HOÀN THÀNH ĐƯA VÀO QUYẾT TOÁN</v>
          </cell>
        </row>
      </sheetData>
      <sheetData sheetId="8634">
        <row r="9">
          <cell r="A9" t="str">
            <v>A</v>
          </cell>
        </row>
      </sheetData>
      <sheetData sheetId="8635">
        <row r="4">
          <cell r="A4" t="str">
            <v>BẢNG TÍNH TOÁN, ĐO BÓC KHỐI LƯỢNG HOÀN THÀNH ĐƯA VÀO QUYẾT TOÁN</v>
          </cell>
        </row>
      </sheetData>
      <sheetData sheetId="8636">
        <row r="4">
          <cell r="A4" t="str">
            <v>BẢNG TÍNH TOÁN, ĐO BÓC KHỐI LƯỢNG HOÀN THÀNH ĐƯA VÀO QUYẾT TOÁN</v>
          </cell>
        </row>
      </sheetData>
      <sheetData sheetId="8637">
        <row r="4">
          <cell r="A4" t="str">
            <v>BẢNG TÍNH TOÁN, ĐO BÓC KHỐI LƯỢNG HOÀN THÀNH ĐƯA VÀO QUYẾT TOÁN</v>
          </cell>
        </row>
      </sheetData>
      <sheetData sheetId="8638">
        <row r="4">
          <cell r="A4" t="str">
            <v>BẢNG TÍNH TOÁN, ĐO BÓC KHỐI LƯỢNG HOÀN THÀNH ĐƯA VÀO QUYẾT TOÁN</v>
          </cell>
        </row>
      </sheetData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4">
          <cell r="A4" t="str">
            <v>BẢNG TÍNH TOÁN, ĐO BÓC KHỐI LƯỢNG HOÀN THÀNH ĐƯA VÀO QUYẾT TOÁN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>
        <row r="9">
          <cell r="A9" t="str">
            <v>A</v>
          </cell>
        </row>
      </sheetData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 refreshError="1"/>
      <sheetData sheetId="9336"/>
      <sheetData sheetId="9337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 refreshError="1"/>
      <sheetData sheetId="9405" refreshError="1"/>
      <sheetData sheetId="9406" refreshError="1"/>
      <sheetData sheetId="9407" refreshError="1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 refreshError="1"/>
      <sheetData sheetId="9421"/>
      <sheetData sheetId="9422"/>
      <sheetData sheetId="9423"/>
      <sheetData sheetId="9424"/>
      <sheetData sheetId="9425"/>
      <sheetData sheetId="9426"/>
      <sheetData sheetId="9427">
        <row r="9">
          <cell r="A9" t="str">
            <v>A</v>
          </cell>
        </row>
      </sheetData>
      <sheetData sheetId="9428"/>
      <sheetData sheetId="9429">
        <row r="9">
          <cell r="A9" t="str">
            <v>A</v>
          </cell>
        </row>
      </sheetData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/>
      <sheetData sheetId="9488"/>
      <sheetData sheetId="9489"/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/>
      <sheetData sheetId="9495"/>
      <sheetData sheetId="9496"/>
      <sheetData sheetId="9497"/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>
        <row r="9">
          <cell r="A9" t="str">
            <v>A</v>
          </cell>
        </row>
      </sheetData>
      <sheetData sheetId="9521"/>
      <sheetData sheetId="9522"/>
      <sheetData sheetId="9523" refreshError="1"/>
      <sheetData sheetId="9524" refreshError="1"/>
      <sheetData sheetId="9525" refreshError="1"/>
      <sheetData sheetId="9526" refreshError="1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 refreshError="1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>
        <row r="9">
          <cell r="A9" t="str">
            <v>A</v>
          </cell>
        </row>
      </sheetData>
      <sheetData sheetId="9555"/>
      <sheetData sheetId="9556"/>
      <sheetData sheetId="9557"/>
      <sheetData sheetId="9558"/>
      <sheetData sheetId="9559"/>
      <sheetData sheetId="9560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/>
      <sheetData sheetId="9571"/>
      <sheetData sheetId="9572" refreshError="1"/>
      <sheetData sheetId="9573" refreshError="1"/>
      <sheetData sheetId="9574" refreshError="1"/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/>
      <sheetData sheetId="9583"/>
      <sheetData sheetId="9584"/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/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 refreshError="1"/>
      <sheetData sheetId="9592" refreshError="1"/>
      <sheetData sheetId="9593" refreshError="1"/>
      <sheetData sheetId="9594" refreshError="1"/>
      <sheetData sheetId="9595"/>
      <sheetData sheetId="9596"/>
      <sheetData sheetId="9597"/>
      <sheetData sheetId="9598"/>
      <sheetData sheetId="9599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/>
      <sheetData sheetId="9626"/>
      <sheetData sheetId="9627"/>
      <sheetData sheetId="9628"/>
      <sheetData sheetId="9629"/>
      <sheetData sheetId="9630"/>
      <sheetData sheetId="963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>
        <row r="9">
          <cell r="A9" t="str">
            <v>A</v>
          </cell>
        </row>
      </sheetData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/>
      <sheetData sheetId="9831"/>
      <sheetData sheetId="9832"/>
      <sheetData sheetId="9833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/>
      <sheetData sheetId="9843"/>
      <sheetData sheetId="9844"/>
      <sheetData sheetId="9845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/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/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9">
          <cell r="A9" t="str">
            <v>A</v>
          </cell>
        </row>
      </sheetData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>
        <row r="9">
          <cell r="A9" t="str">
            <v>A</v>
          </cell>
        </row>
      </sheetData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>
        <row r="9">
          <cell r="A9" t="str">
            <v>A</v>
          </cell>
        </row>
      </sheetData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/>
      <sheetData sheetId="10281"/>
      <sheetData sheetId="10282"/>
      <sheetData sheetId="10283"/>
      <sheetData sheetId="10284"/>
      <sheetData sheetId="10285"/>
      <sheetData sheetId="10286"/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/>
      <sheetData sheetId="10318"/>
      <sheetData sheetId="10319">
        <row r="9">
          <cell r="A9" t="str">
            <v>A</v>
          </cell>
        </row>
      </sheetData>
      <sheetData sheetId="10320"/>
      <sheetData sheetId="10321"/>
      <sheetData sheetId="10322"/>
      <sheetData sheetId="10323"/>
      <sheetData sheetId="10324"/>
      <sheetData sheetId="10325"/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/>
      <sheetData sheetId="10334"/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/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/>
      <sheetData sheetId="10353">
        <row r="9">
          <cell r="A9" t="str">
            <v>A</v>
          </cell>
        </row>
      </sheetData>
      <sheetData sheetId="10354"/>
      <sheetData sheetId="10355"/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/>
      <sheetData sheetId="10364"/>
      <sheetData sheetId="10365">
        <row r="9">
          <cell r="A9" t="str">
            <v>A</v>
          </cell>
        </row>
      </sheetData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/>
      <sheetData sheetId="10390"/>
      <sheetData sheetId="10391"/>
      <sheetData sheetId="10392"/>
      <sheetData sheetId="10393"/>
      <sheetData sheetId="10394"/>
      <sheetData sheetId="10395">
        <row r="9">
          <cell r="A9" t="str">
            <v>A</v>
          </cell>
        </row>
      </sheetData>
      <sheetData sheetId="10396"/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>
        <row r="9">
          <cell r="A9" t="str">
            <v>A</v>
          </cell>
        </row>
      </sheetData>
      <sheetData sheetId="10410"/>
      <sheetData sheetId="10411">
        <row r="9">
          <cell r="A9" t="str">
            <v>A</v>
          </cell>
        </row>
      </sheetData>
      <sheetData sheetId="10412"/>
      <sheetData sheetId="10413"/>
      <sheetData sheetId="10414"/>
      <sheetData sheetId="10415"/>
      <sheetData sheetId="10416"/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/>
      <sheetData sheetId="10423"/>
      <sheetData sheetId="10424"/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/>
      <sheetData sheetId="10439"/>
      <sheetData sheetId="10440"/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/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/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>
        <row r="9">
          <cell r="A9" t="str">
            <v>A</v>
          </cell>
        </row>
      </sheetData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/>
      <sheetData sheetId="10500"/>
      <sheetData sheetId="10501"/>
      <sheetData sheetId="10502"/>
      <sheetData sheetId="10503"/>
      <sheetData sheetId="10504"/>
      <sheetData sheetId="10505"/>
      <sheetData sheetId="10506">
        <row r="9">
          <cell r="A9" t="str">
            <v>A</v>
          </cell>
        </row>
      </sheetData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>
        <row r="9">
          <cell r="A9" t="str">
            <v>A</v>
          </cell>
        </row>
      </sheetData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/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>
        <row r="9">
          <cell r="A9" t="str">
            <v>A</v>
          </cell>
        </row>
      </sheetData>
      <sheetData sheetId="10586"/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/>
      <sheetData sheetId="10594">
        <row r="9">
          <cell r="A9" t="str">
            <v>A</v>
          </cell>
        </row>
      </sheetData>
      <sheetData sheetId="10595"/>
      <sheetData sheetId="10596"/>
      <sheetData sheetId="10597"/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/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/>
      <sheetData sheetId="10610"/>
      <sheetData sheetId="10611"/>
      <sheetData sheetId="10612">
        <row r="9">
          <cell r="A9" t="str">
            <v>A</v>
          </cell>
        </row>
      </sheetData>
      <sheetData sheetId="10613"/>
      <sheetData sheetId="10614">
        <row r="9">
          <cell r="A9" t="str">
            <v>A</v>
          </cell>
        </row>
      </sheetData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/>
      <sheetData sheetId="10645"/>
      <sheetData sheetId="10646">
        <row r="9">
          <cell r="A9" t="str">
            <v>A</v>
          </cell>
        </row>
      </sheetData>
      <sheetData sheetId="10647"/>
      <sheetData sheetId="10648"/>
      <sheetData sheetId="10649">
        <row r="9">
          <cell r="A9" t="str">
            <v>A</v>
          </cell>
        </row>
      </sheetData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9">
          <cell r="A9" t="str">
            <v>A</v>
          </cell>
        </row>
      </sheetData>
      <sheetData sheetId="10771"/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>
        <row r="9">
          <cell r="A9" t="str">
            <v>A</v>
          </cell>
        </row>
      </sheetData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hi chú"/>
      <sheetName val="Asm."/>
      <sheetName val="CAPEX+XDCB-2026"/>
      <sheetName val="XDCBDD-2025"/>
      <sheetName val="MD"/>
    </sheetNames>
    <sheetDataSet>
      <sheetData sheetId="0"/>
      <sheetData sheetId="1">
        <row r="2">
          <cell r="B2">
            <v>26500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2 P&amp;L"/>
      <sheetName val="FC2 Sales"/>
      <sheetName val="FC2 Adv"/>
      <sheetName val="FC2 Promo"/>
      <sheetName val="FC2 A&amp;P"/>
      <sheetName val="Plan P&amp;L"/>
      <sheetName val="Plan Sales"/>
      <sheetName val="Plan Adv"/>
      <sheetName val="Plan Promo"/>
      <sheetName val="Plan A&amp;P"/>
      <sheetName val="Plan GM"/>
      <sheetName val="Plan BAF"/>
      <sheetName val="Plan CGS"/>
      <sheetName val="Plan Contribution"/>
      <sheetName val="TM1 FC2"/>
      <sheetName val="TM1 Adv"/>
      <sheetName val="TM1 Promo"/>
      <sheetName val="TM1 A&amp;P"/>
      <sheetName val="TM1Plan"/>
      <sheetName val="TM1 Adv Plan"/>
      <sheetName val="TM1 Promo Plan"/>
      <sheetName val="TM1 A&amp;P Plan"/>
      <sheetName val="TM1 GM Plan"/>
      <sheetName val="TM1 Contrib Plan"/>
      <sheetName val="Rolling F'Cast P&amp;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 t="str">
            <v xml:space="preserve"> 4813 INTERNATIONAL (CH)                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 Evolution"/>
      <sheetName val="Sales Evolution"/>
      <sheetName val="YTD YTG Slide"/>
      <sheetName val="FC1 Slide"/>
      <sheetName val="FC2 P&amp;L"/>
      <sheetName val="FC2 Sales"/>
      <sheetName val="FC2 Gross Margin"/>
      <sheetName val="FC2 Adv"/>
      <sheetName val="FC2 Promo"/>
      <sheetName val="FC2 A&amp;P"/>
      <sheetName val="FC2 Brand Contr"/>
      <sheetName val="2008 FY Summary"/>
      <sheetName val="2009 FY Summary"/>
      <sheetName val="2010 FY Summary"/>
      <sheetName val="Plan P&amp;L"/>
      <sheetName val="Plan Sales"/>
      <sheetName val="Plan Adv"/>
      <sheetName val="Plan Promo"/>
      <sheetName val="Plan A&amp;P"/>
      <sheetName val="Plan GM"/>
      <sheetName val="Plan Contribution"/>
      <sheetName val="TM1Plan"/>
      <sheetName val="TM1 Adv Plan"/>
      <sheetName val="TM1 Promo Plan"/>
      <sheetName val="TM1 A&amp;P Plan"/>
      <sheetName val="TM1 GM Plan"/>
      <sheetName val="TM1 Contrib Plan"/>
      <sheetName val="TM1 P&amp;L"/>
      <sheetName val="TM1 Sales"/>
      <sheetName val="TM1 CGS"/>
      <sheetName val="TM1 GM%"/>
      <sheetName val="TM1 Adv"/>
      <sheetName val="TM1 Promo"/>
      <sheetName val="TM1 A&amp;P"/>
      <sheetName val="TM1 Brand Contr"/>
      <sheetName val="Insight"/>
      <sheetName val="TM1 F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  <definedName name="PeriodList" refersTo="='Period'!$B$1:$AW$1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  <cell r="C1" t="str">
            <v>Aug 2002</v>
          </cell>
          <cell r="D1" t="str">
            <v>Sep 2002</v>
          </cell>
          <cell r="E1" t="str">
            <v>Oct 2002</v>
          </cell>
          <cell r="F1" t="str">
            <v>Nov 2002</v>
          </cell>
          <cell r="G1" t="str">
            <v>Dec 2002</v>
          </cell>
          <cell r="H1" t="str">
            <v>Jan 2003</v>
          </cell>
          <cell r="I1" t="str">
            <v>Feb 2003</v>
          </cell>
          <cell r="J1" t="str">
            <v>Mar 2003</v>
          </cell>
          <cell r="K1" t="str">
            <v>Apr 2003</v>
          </cell>
          <cell r="L1" t="str">
            <v>May 2003</v>
          </cell>
          <cell r="M1" t="str">
            <v>Jun 2003</v>
          </cell>
          <cell r="N1" t="str">
            <v>Jul 2003</v>
          </cell>
          <cell r="O1" t="str">
            <v>Aug 2003</v>
          </cell>
          <cell r="P1" t="str">
            <v>Sep 2003</v>
          </cell>
          <cell r="Q1" t="str">
            <v>Oct 2003</v>
          </cell>
          <cell r="R1" t="str">
            <v>Nov 2003</v>
          </cell>
          <cell r="S1" t="str">
            <v>Dec 2003</v>
          </cell>
          <cell r="T1" t="str">
            <v>Jan 2004</v>
          </cell>
          <cell r="U1" t="str">
            <v>Feb 2004</v>
          </cell>
          <cell r="V1" t="str">
            <v>Mar 2004</v>
          </cell>
          <cell r="W1" t="str">
            <v>Apr 2004</v>
          </cell>
          <cell r="X1" t="str">
            <v>May 2004</v>
          </cell>
          <cell r="Y1" t="str">
            <v>Jun 2004</v>
          </cell>
          <cell r="Z1" t="str">
            <v>Jul 2004</v>
          </cell>
          <cell r="AA1" t="str">
            <v>Aug 2004</v>
          </cell>
          <cell r="AB1" t="str">
            <v>Sep 2004</v>
          </cell>
          <cell r="AC1" t="str">
            <v>Oct 2004</v>
          </cell>
          <cell r="AD1" t="str">
            <v>Nov 2004</v>
          </cell>
          <cell r="AE1" t="str">
            <v>Dec 2004</v>
          </cell>
          <cell r="AF1" t="str">
            <v>Jan 2005</v>
          </cell>
          <cell r="AG1" t="str">
            <v>Feb 2005</v>
          </cell>
          <cell r="AH1" t="str">
            <v>Mar 2005</v>
          </cell>
          <cell r="AI1" t="str">
            <v>Apr 2005</v>
          </cell>
          <cell r="AJ1" t="str">
            <v>May 2005</v>
          </cell>
          <cell r="AK1" t="str">
            <v>Jun 2005</v>
          </cell>
          <cell r="AL1" t="str">
            <v>Jul 2005</v>
          </cell>
          <cell r="AM1" t="str">
            <v>Aug 2005</v>
          </cell>
          <cell r="AN1" t="str">
            <v>Sep 2005</v>
          </cell>
          <cell r="AO1" t="str">
            <v>Oct 2005</v>
          </cell>
          <cell r="AP1" t="str">
            <v>Nov 2005</v>
          </cell>
          <cell r="AQ1" t="str">
            <v>Dec 2005</v>
          </cell>
          <cell r="AR1" t="str">
            <v>Jan 2006</v>
          </cell>
          <cell r="AS1" t="str">
            <v>Feb 2006</v>
          </cell>
          <cell r="AT1" t="str">
            <v>Mar 2006</v>
          </cell>
          <cell r="AU1" t="str">
            <v>Apr 2006</v>
          </cell>
          <cell r="AV1" t="str">
            <v>May 2006</v>
          </cell>
          <cell r="AW1" t="str">
            <v>Jun 2006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Highlights for the month"/>
      <sheetName val="Review of Pending Projects"/>
      <sheetName val="Activities for the month"/>
      <sheetName val="WWW of Previous MOR"/>
      <sheetName val="Uptime of Servers"/>
      <sheetName val="Backup Statistics"/>
      <sheetName val="Call Statistics"/>
      <sheetName val="ABAP-Plan"/>
      <sheetName val="ABAP-Summary"/>
      <sheetName val="APO Upgrade Activities"/>
    </sheetNames>
    <sheetDataSet>
      <sheetData sheetId="0">
        <row r="30">
          <cell r="A30">
            <v>37926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report  (2)"/>
      <sheetName val="Summary"/>
      <sheetName val="control road map"/>
      <sheetName val="ERP"/>
      <sheetName val="Fin Accounting"/>
      <sheetName val=" Internal audit activity report"/>
      <sheetName val="Activity report "/>
      <sheetName val="INTERNAL AUDITdetails"/>
      <sheetName val="pending settlement"/>
      <sheetName val="Trust interest MIS"/>
      <sheetName val="India Lif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M_Summary"/>
      <sheetName val="Timeline &amp; PIC"/>
      <sheetName val="Slicer"/>
      <sheetName val="Assumption-Giả định"/>
      <sheetName val="Data"/>
      <sheetName val="Overview-BC Tongquan"/>
      <sheetName val="FS-BCTC"/>
      <sheetName val="Ratios"/>
      <sheetName val="PGM"/>
      <sheetName val="PGM_phasing"/>
      <sheetName val="Net Sales-DTT"/>
      <sheetName val="Other Sales-DTkhac"/>
      <sheetName val="VCOGs-Giavon"/>
      <sheetName val="CapEx"/>
      <sheetName val="OpEx-CPHĐ"/>
      <sheetName val="Salary-CPLuong"/>
      <sheetName val="Direct Selling-CPBH"/>
      <sheetName val="FOH-CPSXC"/>
      <sheetName val="MKT"/>
      <sheetName val="ADM"/>
      <sheetName val="Depreciation-CPKH"/>
      <sheetName val="FIN"/>
      <sheetName val="NWC"/>
      <sheetName val="CIT"/>
      <sheetName val="FCF"/>
      <sheetName val="P&amp;L by Elements"/>
      <sheetName val="Resin price"/>
      <sheetName val="Mapping Account"/>
      <sheetName val="Produce by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VN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 &amp; PIC"/>
      <sheetName val="Thongtin"/>
      <sheetName val="KH hanh dong"/>
      <sheetName val="KQKD Tong hop"/>
      <sheetName val="KQKD PET"/>
      <sheetName val="KQKD HD"/>
      <sheetName val="Cong suat"/>
      <sheetName val="Dinh muc"/>
      <sheetName val="Dinh bien_HCNS"/>
      <sheetName val="LUONG"/>
      <sheetName val="4.Doanh thu"/>
      <sheetName val="1.NVL Chai"/>
      <sheetName val="2.Hao hut &amp; % chai "/>
      <sheetName val="3.Thanh pham"/>
      <sheetName val="CPSX"/>
      <sheetName val="CPBH"/>
      <sheetName val="CPQL"/>
      <sheetName val="CP_HDKD"/>
      <sheetName val="CP_Kg"/>
      <sheetName val="PB_TSCD"/>
      <sheetName val="PB_CPTT"/>
      <sheetName val="Mapping Account"/>
      <sheetName val="DATA Phan bo"/>
      <sheetName val="FORM OH"/>
      <sheetName val="M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7">
          <cell r="G97">
            <v>396000</v>
          </cell>
          <cell r="H97">
            <v>155400</v>
          </cell>
          <cell r="I97">
            <v>243600</v>
          </cell>
          <cell r="J97">
            <v>283500</v>
          </cell>
          <cell r="K97">
            <v>283500</v>
          </cell>
          <cell r="L97">
            <v>294000</v>
          </cell>
          <cell r="M97">
            <v>306600</v>
          </cell>
          <cell r="N97">
            <v>321300</v>
          </cell>
          <cell r="O97">
            <v>273000</v>
          </cell>
          <cell r="P97">
            <v>306600</v>
          </cell>
          <cell r="Q97">
            <v>300300</v>
          </cell>
          <cell r="R97">
            <v>310380</v>
          </cell>
          <cell r="S97">
            <v>3474180</v>
          </cell>
        </row>
        <row r="136">
          <cell r="G136">
            <v>0</v>
          </cell>
          <cell r="H136">
            <v>159988</v>
          </cell>
          <cell r="I136">
            <v>250792</v>
          </cell>
          <cell r="J136">
            <v>291870</v>
          </cell>
          <cell r="K136">
            <v>291870</v>
          </cell>
          <cell r="L136">
            <v>302680</v>
          </cell>
          <cell r="M136">
            <v>315652</v>
          </cell>
          <cell r="N136">
            <v>330786</v>
          </cell>
          <cell r="O136">
            <v>281060</v>
          </cell>
          <cell r="P136">
            <v>315652</v>
          </cell>
          <cell r="Q136">
            <v>309166</v>
          </cell>
          <cell r="R136">
            <v>319543.59999999998</v>
          </cell>
          <cell r="S136">
            <v>3169059.6</v>
          </cell>
        </row>
      </sheetData>
      <sheetData sheetId="14">
        <row r="6">
          <cell r="AK6">
            <v>0</v>
          </cell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</row>
      </sheetData>
      <sheetData sheetId="15">
        <row r="5">
          <cell r="Z5"/>
        </row>
        <row r="6">
          <cell r="AM6"/>
          <cell r="AO6"/>
        </row>
        <row r="12"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M12"/>
          <cell r="AO12"/>
        </row>
      </sheetData>
      <sheetData sheetId="16">
        <row r="5">
          <cell r="Z5"/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M64"/>
          <cell r="AO64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75DB9-B587-413E-A5DD-0AAB079141E5}" name="CAPEX_2025" displayName="CAPEX_2025" ref="A7:AR52" headerRowDxfId="321" dataDxfId="319" totalsRowDxfId="318" headerRowBorderDxfId="320">
  <tableColumns count="44">
    <tableColumn id="1" xr3:uid="{C2B98CAF-6A15-4C1F-B820-CBCB32F378DA}" name="STT" totalsRowLabel="Total" dataDxfId="317" totalsRowDxfId="316" dataCellStyle="Normal 2 2"/>
    <tableColumn id="2" xr3:uid="{DA6DBFEF-9C45-4797-A8DC-6873573FA1DB}" name="Phòng ban yêu cầu" dataDxfId="315" totalsRowDxfId="314" dataCellStyle="Normal 2 2"/>
    <tableColumn id="3" xr3:uid="{4F091650-9AB5-40F3-B6E0-F2AA6D0D3A1A}" name="Bộ phận thực hiện" dataDxfId="313" totalsRowDxfId="312" dataCellStyle="Normal 2 2"/>
    <tableColumn id="30" xr3:uid="{2463624A-D618-4A65-8C02-9B3DB67F7E7D}" name="Loại tài sản" dataDxfId="311" totalsRowDxfId="310" dataCellStyle="Normal 2 2"/>
    <tableColumn id="31" xr3:uid="{B3524241-ED4D-42A2-8815-3D0954F607A3}" name="Mục đích" dataDxfId="309" totalsRowDxfId="308" dataCellStyle="Normal 2 2"/>
    <tableColumn id="5" xr3:uid="{1D432C8A-1968-4361-A0E7-3826BAEFCA45}" name="Dự án cấp 1" dataDxfId="307" totalsRowDxfId="306" dataCellStyle="Normal 2 2"/>
    <tableColumn id="26" xr3:uid="{CDB82DF2-690E-426A-9C2A-A73452F60D1D}" name="Dự án cấp 2" dataDxfId="305" totalsRowDxfId="304" dataCellStyle="Normal 2 2"/>
    <tableColumn id="8" xr3:uid="{3E6927E2-80EC-4D81-9B85-9BF04EC41167}" name="Phân loại_x000a_(Nội địa/_x000a_Nhập khẩu)" dataDxfId="303" totalsRowDxfId="302" dataCellStyle="Normal 2 2"/>
    <tableColumn id="15" xr3:uid="{0A2EC053-BCD3-4FB8-B20B-A22D33695FDD}" name="Nhà cung cấp" dataDxfId="301" totalsRowDxfId="300" dataCellStyle="Normal 2 2"/>
    <tableColumn id="10" xr3:uid="{A6A1C663-4FD4-4C8B-8BF7-48DB85DA4272}" name="Đơn giá ( chưa bao gồm VAT)" dataDxfId="299" totalsRowDxfId="298" dataCellStyle="Normal 2 2"/>
    <tableColumn id="11" xr3:uid="{6F515326-BA58-4913-8C6A-6B6E2947DE18}" name="Số lượng" dataDxfId="297" totalsRowDxfId="296" dataCellStyle="Normal 2 2"/>
    <tableColumn id="12" xr3:uid="{55776A62-C673-4375-9149-4B0BEA18FA1A}" name="Tổng giá trị_x000a_(VND)" dataDxfId="295" totalsRowDxfId="294" dataCellStyle="Normal 2 2">
      <calculatedColumnFormula>CAPEX_2025[[#This Row],[Đơn giá ( chưa bao gồm VAT)]]*CAPEX_2025[[#This Row],[Số lượng]]</calculatedColumnFormula>
    </tableColumn>
    <tableColumn id="13" xr3:uid="{687509CE-8E96-43A2-8453-94B3DC541E23}" name="Tổng giá trị_x000a_(USD)" dataDxfId="293" totalsRowDxfId="292" dataCellStyle="Normal 2 2">
      <calculatedColumnFormula>CAPEX_2025[[#This Row],[Tổng giá trị
(VND)]]/$M$5</calculatedColumnFormula>
    </tableColumn>
    <tableColumn id="19" xr3:uid="{A46AC2BA-128C-4F04-BF13-82DEEEF279A1}" name="Thời điểm đưa vào sử dụng" dataDxfId="291" totalsRowDxfId="290" dataCellStyle="Normal 2 2"/>
    <tableColumn id="20" xr3:uid="{AB9E6C3D-27E6-4175-9C96-92B696E3B290}" name="Thời gian khấu hao_x000a_(tháng)" dataDxfId="289" totalsRowDxfId="288" dataCellStyle="Normal 2 2"/>
    <tableColumn id="21" xr3:uid="{E033AD86-E4F0-4DD1-B67C-EE6253067887}" name="Phân loại tài sản trong BCĐKT" dataDxfId="287" totalsRowDxfId="286" dataCellStyle="Normal 2"/>
    <tableColumn id="22" xr3:uid="{05AA57EE-E4A4-4E9C-97A7-5D9FAF4C4AA3}" name="Tài khoản COA chi phí khấu hao" dataDxfId="285" totalsRowDxfId="284" dataCellStyle="Normal 2"/>
    <tableColumn id="23" xr3:uid="{7685893E-7720-4231-839F-9996CEF9137E}" name="Mã Cost Center" dataDxfId="283" totalsRowDxfId="282" dataCellStyle="Normal 2"/>
    <tableColumn id="24" xr3:uid="{1E3ABE1D-A2D6-41EF-A925-2876CE3CC27D}" name="Tên Cost Center" dataDxfId="281" totalsRowDxfId="280" dataCellStyle="Normal 2"/>
    <tableColumn id="14" xr3:uid="{86AFEBFC-F4B1-452D-9FF1-F114C7C9C870}" name="Hiệu máy" dataDxfId="279" totalsRowDxfId="278" dataCellStyle="Normal 14"/>
    <tableColumn id="16" xr3:uid="{D03AA695-F006-4145-ACA7-63DCC8C2B94E}" name="Lý do đầu tư" dataDxfId="277" totalsRowDxfId="276" dataCellStyle="Normal 2 2"/>
    <tableColumn id="17" xr3:uid="{205AE376-CE8B-4213-87C3-EB8BE66960AE}" name="Khả năng đầu tư (%)" dataDxfId="275" totalsRowDxfId="274" dataCellStyle="Normal 2 2"/>
    <tableColumn id="28" xr3:uid="{4131A325-D7B9-4598-9A91-8C7532B45EFC}" name="Thời điểm ký hợp đồng" dataDxfId="273" totalsRowDxfId="272" dataCellStyle="Normal 2 2"/>
    <tableColumn id="40" xr3:uid="{41188590-ABF8-4142-91E6-13282C6FA836}" name="Tên tài sản" dataDxfId="271" totalsRowDxfId="270" dataCellStyle="Normal 14"/>
    <tableColumn id="44" xr3:uid="{44B04021-94D7-4BD4-AD5A-EA2DA815EA37}" name="Nhóm tài khoản" dataDxfId="269" totalsRowDxfId="268" dataCellStyle="Normal 2 2"/>
    <tableColumn id="39" xr3:uid="{F8143A8F-1F05-47EF-8C87-921CB2561767}" name="Mã tài khoản (Mã Chi phí_L4)" dataDxfId="267" totalsRowDxfId="266" dataCellStyle="Normal 2 2"/>
    <tableColumn id="38" xr3:uid="{B2D049F9-4687-4210-947F-744B19B5F787}" name="Tên tài khoản (Cost elements 2)" dataDxfId="265" totalsRowDxfId="264" dataCellStyle="Normal 2 2"/>
    <tableColumn id="37" xr3:uid="{BC17B010-100B-4ECF-926C-B16A30F14130}" name="Chi Phí_L5 (Cost Group 2)" dataDxfId="263" totalsRowDxfId="262" dataCellStyle="Normal 2 2"/>
    <tableColumn id="43" xr3:uid="{47D4BE8E-FA78-4B6B-B053-7466974A7FF7}" name="Giá trị nguyên giá" dataDxfId="261" totalsRowDxfId="260" dataCellStyle="Comma"/>
    <tableColumn id="42" xr3:uid="{C6A6201C-CF1E-4F1E-8680-8DCF2328D616}" name="Giá trị đã khấu hao" dataDxfId="259" dataCellStyle="Comma">
      <calculatedColumnFormula>AC8-AE8</calculatedColumnFormula>
    </tableColumn>
    <tableColumn id="41" xr3:uid="{B9A0162F-AD72-4378-BACF-7574EA8A1F6C}" name="Giá trị còn lại" dataDxfId="258" totalsRowDxfId="257" dataCellStyle="Comma"/>
    <tableColumn id="4" xr3:uid="{809866A5-8BAC-4E3C-A7A0-F8AA311C284B}" name="T1" dataDxfId="256" totalsRowDxfId="255" dataCellStyle="Normal 2 2"/>
    <tableColumn id="6" xr3:uid="{D53EF236-E86D-41AF-A1F2-B3D8209E8BD0}" name="T2" dataDxfId="254" totalsRowDxfId="253" dataCellStyle="Normal 2 2"/>
    <tableColumn id="7" xr3:uid="{75DBC27E-43F8-43DE-9450-3F2990AE7F18}" name="T3" dataDxfId="252" totalsRowDxfId="251" dataCellStyle="Normal 2 2"/>
    <tableColumn id="9" xr3:uid="{87BBF506-C3D4-43BB-AD02-F7363C0224FE}" name="T4" dataDxfId="250" totalsRowDxfId="249" dataCellStyle="Normal 2 2"/>
    <tableColumn id="18" xr3:uid="{8B9FF5CA-D446-48ED-A668-F23DC718330D}" name="T5" dataDxfId="248" totalsRowDxfId="247" dataCellStyle="Normal 2 2"/>
    <tableColumn id="25" xr3:uid="{7C4DFCDC-FDFF-45DC-9E9E-57744743FA29}" name="T6" dataDxfId="246" totalsRowDxfId="245" dataCellStyle="Normal 2 2"/>
    <tableColumn id="27" xr3:uid="{B65453D7-6F2C-4C66-AD39-DC748E559DA5}" name="T7" dataDxfId="244" totalsRowDxfId="243" dataCellStyle="Normal 2 2"/>
    <tableColumn id="29" xr3:uid="{C4F543EB-3BC2-45CD-A46F-CEB6E026247A}" name="T8" dataDxfId="242" totalsRowDxfId="241" dataCellStyle="Normal 2 2"/>
    <tableColumn id="32" xr3:uid="{D65F7D19-12A0-49D2-AA6A-E494EDFE40A6}" name="T9" dataDxfId="240" totalsRowDxfId="239" dataCellStyle="Normal 2 2"/>
    <tableColumn id="33" xr3:uid="{F2BDE0C7-9F4B-46EB-811F-43FDA09A55AD}" name="T10" dataDxfId="238" totalsRowDxfId="237" dataCellStyle="Normal 2 2"/>
    <tableColumn id="34" xr3:uid="{E9497086-975D-40F9-A64C-990FA271A9D9}" name="T11" dataDxfId="236" totalsRowDxfId="235" dataCellStyle="Normal 2 2"/>
    <tableColumn id="35" xr3:uid="{F2346EC7-A7ED-4EBC-8B50-481362C2F573}" name="T12" dataDxfId="234" totalsRowDxfId="233" dataCellStyle="Normal 2 2"/>
    <tableColumn id="36" xr3:uid="{78E0C0EC-2A7A-4D22-8F84-39906A7DAEF6}" name="Kế hoạch 2026" dataDxfId="232" totalsRowDxfId="231" dataCellStyle="Comma">
      <calculatedColumnFormula>SUM(AF8:AQ8)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2890F0-C9F0-49E5-B048-A7EA8AAEB1C4}" name="CAPEX_202510" displayName="CAPEX_202510" ref="A7:AR107" headerRowDxfId="230" dataDxfId="228" totalsRowDxfId="227" headerRowBorderDxfId="229">
  <tableColumns count="44">
    <tableColumn id="1" xr3:uid="{6CAD6A56-9F66-4E83-AA52-F135C181BE23}" name="STT" totalsRowLabel="Total" dataDxfId="226" totalsRowDxfId="225" dataCellStyle="Normal 2 2"/>
    <tableColumn id="2" xr3:uid="{E5905029-4026-46C4-A295-BC93AC694242}" name="Phòng ban yêu cầu" dataDxfId="224" totalsRowDxfId="223" dataCellStyle="Normal 2 2"/>
    <tableColumn id="3" xr3:uid="{01D8670A-C598-45C5-9C68-329123B744A1}" name="Bộ phận thực hiện" dataDxfId="222" totalsRowDxfId="221" dataCellStyle="Normal 2 2"/>
    <tableColumn id="30" xr3:uid="{F0C970E7-8A07-4241-A723-BAC30DE5C949}" name="Loại tài sản" dataDxfId="220" totalsRowDxfId="219" dataCellStyle="Normal 2 2"/>
    <tableColumn id="31" xr3:uid="{707C7FB8-F4C1-464B-A207-73906BDE3D7D}" name="Mục đích" dataDxfId="218" totalsRowDxfId="217" dataCellStyle="Normal 2 2"/>
    <tableColumn id="5" xr3:uid="{FD67864D-1264-43F0-9A92-ECC9CE20AEEE}" name="Dự án cấp 1" dataDxfId="216" totalsRowDxfId="215" dataCellStyle="Normal 2 2"/>
    <tableColumn id="26" xr3:uid="{11E1C62E-0224-4885-A6A3-134D3DE506E3}" name="Dự án cấp 2" dataDxfId="214" totalsRowDxfId="213" dataCellStyle="Normal 2 2"/>
    <tableColumn id="8" xr3:uid="{BD4DA9DD-6E58-4260-9EBA-71A086CC3B9D}" name="Phân loại_x000a_(Nội địa/_x000a_Nhập khẩu)" dataDxfId="212" totalsRowDxfId="211" dataCellStyle="Normal 2 2"/>
    <tableColumn id="15" xr3:uid="{637BFBBA-C0D6-4F32-9DB9-384E4F37AB30}" name="Nhà cung cấp" dataDxfId="210" totalsRowDxfId="209" dataCellStyle="Normal 2 2"/>
    <tableColumn id="10" xr3:uid="{3684B75C-F77E-4C0F-8B3B-506B8E262C4E}" name="Đơn giá ( chưa bao gồm VAT)" dataDxfId="208" totalsRowDxfId="207" dataCellStyle="Normal 2 2"/>
    <tableColumn id="11" xr3:uid="{87D0D0C9-668D-46ED-99E4-FD3AE5C098E7}" name="Số lượng" dataDxfId="206" totalsRowDxfId="205" dataCellStyle="Normal 2 2"/>
    <tableColumn id="12" xr3:uid="{40323ACE-C872-4841-B163-0BE872B3D0C3}" name="Tổng giá trị_x000a_(VND)" dataDxfId="204" dataCellStyle="Normal 2 2">
      <calculatedColumnFormula>CAPEX_202510[[#This Row],[Đơn giá ( chưa bao gồm VAT)]]*CAPEX_202510[[#This Row],[Số lượng]]</calculatedColumnFormula>
    </tableColumn>
    <tableColumn id="13" xr3:uid="{426FB63D-FC47-4AF8-BC9F-F85CEAF50FD6}" name="Tổng giá trị_x000a_(USD)" dataDxfId="203" totalsRowDxfId="202" dataCellStyle="Normal 2 2"/>
    <tableColumn id="19" xr3:uid="{DBE536DE-E65E-4827-8088-6DFAFF017956}" name="Thời điểm đưa vào sử dụng" dataDxfId="201" totalsRowDxfId="200" dataCellStyle="Normal 2 2"/>
    <tableColumn id="20" xr3:uid="{4D13BEEE-0A48-4D19-80E7-BFAB29253289}" name="Thời gian khấu hao_x000a_(tháng)" dataDxfId="199" totalsRowDxfId="198" dataCellStyle="Normal 2 2"/>
    <tableColumn id="21" xr3:uid="{CBFF213C-D57F-4E66-A59D-A79551F4FF44}" name="Phân loại tài sản trong BCĐKT" dataDxfId="197" totalsRowDxfId="196" dataCellStyle="Normal 2"/>
    <tableColumn id="22" xr3:uid="{E4E57D3E-960C-4DFC-8910-4B0FD90CFA99}" name="Tài khoản COA chi phí khấu hao" dataDxfId="195" totalsRowDxfId="194" dataCellStyle="Normal 2"/>
    <tableColumn id="23" xr3:uid="{8AE0A4D6-EFAC-4B4B-AE33-BB32EDB215AD}" name="Mã Cost Center" dataDxfId="193" totalsRowDxfId="192" dataCellStyle="Normal 2">
      <calculatedColumnFormula>LEFT(CAPEX_202510[[#This Row],[Tài khoản COA chi phí khấu hao]],3)</calculatedColumnFormula>
    </tableColumn>
    <tableColumn id="24" xr3:uid="{370B92E8-B866-4CFB-BE4B-6AB9E75599C4}" name="Tên Cost Center" dataDxfId="191" totalsRowDxfId="190" dataCellStyle="Normal 2"/>
    <tableColumn id="14" xr3:uid="{055A79EB-C5D9-43FE-9486-3B15FFC8374C}" name="Hiệu máy" dataDxfId="189" totalsRowDxfId="188" dataCellStyle="Normal 14"/>
    <tableColumn id="16" xr3:uid="{9AEC1CD0-8175-49FD-A2B4-2EEA497491E8}" name="Lý do đầu tư" dataDxfId="187" totalsRowDxfId="186" dataCellStyle="Normal 2 2"/>
    <tableColumn id="17" xr3:uid="{ADE96B43-6150-42E4-A150-4D071EE9E19D}" name="Khả năng đầu tư (%)" dataDxfId="185" totalsRowDxfId="184" dataCellStyle="Normal 2 2"/>
    <tableColumn id="28" xr3:uid="{87E5DBA7-5F31-47AA-AFE6-CA4331E5060C}" name="Thời điểm ký hợp đồng" dataDxfId="183" totalsRowDxfId="182" dataCellStyle="Normal 2 2"/>
    <tableColumn id="40" xr3:uid="{183FDB2E-36FC-4EDA-8BAD-AA193F7827E6}" name="Tên tài sản" dataDxfId="181" totalsRowDxfId="180" dataCellStyle="Normal 14"/>
    <tableColumn id="44" xr3:uid="{CBDD5AF3-C398-474C-9C50-7B7316CBCD3C}" name="Nhóm tài khoản" dataDxfId="179" totalsRowDxfId="178" dataCellStyle="Normal 2 2"/>
    <tableColumn id="39" xr3:uid="{0A61F22D-CD97-4D29-9FFB-C05AF9C3DEF6}" name="Mã tài khoản (Mã Chi phí_L4)" dataDxfId="177" totalsRowDxfId="176" dataCellStyle="Normal 2 2"/>
    <tableColumn id="38" xr3:uid="{1C00CC47-5D98-4A56-BCEC-ED6FF73FEC2A}" name="Tên tài khoản (Cost elements 2)" dataDxfId="175" totalsRowDxfId="174" dataCellStyle="Normal 2 2"/>
    <tableColumn id="37" xr3:uid="{8A0B0C00-B757-45F3-8043-A898EAB275B8}" name="Chi Phí_L5 (Cost Group 2)" dataDxfId="173" totalsRowDxfId="172" dataCellStyle="Normal 2 2"/>
    <tableColumn id="43" xr3:uid="{34C16F15-FD73-476B-8378-2E7E3F1FA209}" name="Giá trị nguyên giá" dataDxfId="171" totalsRowDxfId="170" dataCellStyle="Comma"/>
    <tableColumn id="42" xr3:uid="{96BB0DCD-6F71-415F-BFD5-853AD726CB64}" name="Giá trị đã khấu hao" dataDxfId="169" dataCellStyle="Comma">
      <calculatedColumnFormula>AC8-AE8</calculatedColumnFormula>
    </tableColumn>
    <tableColumn id="41" xr3:uid="{19F03139-1E33-4B8A-B532-27DD6DBB9B79}" name="Giá trị còn lại" dataDxfId="168" totalsRowDxfId="167" dataCellStyle="Comma"/>
    <tableColumn id="4" xr3:uid="{12FABDDD-35A9-4447-8110-8D8480FF7764}" name="T1" dataDxfId="166" totalsRowDxfId="165" dataCellStyle="Normal 2 2"/>
    <tableColumn id="6" xr3:uid="{14DCE2B1-2310-4F07-9CF8-F58C69C7D7C0}" name="T2" dataDxfId="164" totalsRowDxfId="163" dataCellStyle="Normal 2 2"/>
    <tableColumn id="7" xr3:uid="{38A05474-737D-47CD-885D-175302D4CEE2}" name="T3" dataDxfId="162" totalsRowDxfId="161" dataCellStyle="Normal 2 2"/>
    <tableColumn id="9" xr3:uid="{866AE390-C0BB-40A7-833D-7136F48F5CB9}" name="T4" dataDxfId="160" totalsRowDxfId="159" dataCellStyle="Normal 2 2"/>
    <tableColumn id="18" xr3:uid="{8E87CE91-EB23-419E-BA5B-CA195B23C6CD}" name="T5" dataDxfId="158" totalsRowDxfId="157" dataCellStyle="Normal 2 2"/>
    <tableColumn id="25" xr3:uid="{9BF51401-2080-44E1-9C41-E426834BA4CD}" name="T6" dataDxfId="156" totalsRowDxfId="155" dataCellStyle="Normal 2 2"/>
    <tableColumn id="27" xr3:uid="{63F46636-ED52-477B-827B-2A958DE4A0A3}" name="T7" dataDxfId="154" totalsRowDxfId="153" dataCellStyle="Normal 2 2"/>
    <tableColumn id="29" xr3:uid="{C8FF7DD9-26A0-424E-A02A-00A45E50104A}" name="T8" dataDxfId="152" totalsRowDxfId="151" dataCellStyle="Normal 2 2"/>
    <tableColumn id="32" xr3:uid="{8AF59D42-A52C-45DA-B48D-93A94823E638}" name="T9" dataDxfId="150" totalsRowDxfId="149" dataCellStyle="Normal 2 2"/>
    <tableColumn id="33" xr3:uid="{5EBD70C3-46DD-4E6E-B2BD-D0F01488E611}" name="T10" dataDxfId="148" totalsRowDxfId="147" dataCellStyle="Normal 2 2"/>
    <tableColumn id="34" xr3:uid="{AB44153A-DBB8-4593-A3C1-ED8F19FB403B}" name="T11" dataDxfId="146" totalsRowDxfId="145" dataCellStyle="Normal 2 2"/>
    <tableColumn id="35" xr3:uid="{5BEE2539-205B-453B-9A03-557CE7F8AD76}" name="T12" dataDxfId="144" totalsRowDxfId="143" dataCellStyle="Normal 2 2"/>
    <tableColumn id="36" xr3:uid="{210BE5B8-AE50-4C4A-A71D-12979BDF2AC2}" name="Mục tiêu 2026" dataDxfId="142" dataCellStyle="Comma">
      <calculatedColumnFormula>SUM(AF8:AQ8)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351FA-8A0A-4C73-8F33-E96C90D0BFE2}" name="MD_Type_Asset" displayName="MD_Type_Asset" ref="A1:B12" totalsRowShown="0" headerRowDxfId="141">
  <autoFilter ref="A1:B12" xr:uid="{6BFCA965-7D28-4CD7-B151-6C19DB53F538}"/>
  <tableColumns count="2">
    <tableColumn id="1" xr3:uid="{C0B442A4-14A1-4298-A8F2-59B7888EF074}" name="Asset Type"/>
    <tableColumn id="2" xr3:uid="{1C6DE38A-5928-4115-94C3-FF6C7D722B61}" name="Loại tài sả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0A104-F5E5-4C52-B3B6-D6FF866AF164}" name="MD_Purpose" displayName="MD_Purpose" ref="D1:E4" totalsRowShown="0" headerRowDxfId="140">
  <autoFilter ref="D1:E4" xr:uid="{8B688287-2814-478B-82CD-F6599662F23D}"/>
  <tableColumns count="2">
    <tableColumn id="1" xr3:uid="{30B69D41-7F2E-4A16-8794-2D6897E02FAF}" name="Purpose"/>
    <tableColumn id="2" xr3:uid="{931F9250-8C06-413B-8820-2AFC6E277EF0}" name="Mục đích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3860D-B212-4DA1-92C3-DA5B309F7EDB}" name="MD_Cost_Center" displayName="MD_Cost_Center" ref="G1:H36" totalsRowShown="0" headerRowDxfId="139">
  <autoFilter ref="G1:H36" xr:uid="{F813F2E5-981A-4286-969A-BBBA3BCB5EC6}"/>
  <tableColumns count="2">
    <tableColumn id="1" xr3:uid="{816843EC-9B39-4F08-86B9-1412AD461C38}" name="Mã Cost Center"/>
    <tableColumn id="2" xr3:uid="{75EDBF9C-B641-456A-BED5-C80B3C0253EC}" name="Tên Cost Cent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44B468-625C-47C6-9323-D6370CFEE8DA}" name="MD_Export_Domestic" displayName="MD_Export_Domestic" ref="L1:L3" totalsRowShown="0" headerRowDxfId="138">
  <autoFilter ref="L1:L3" xr:uid="{0B87DF32-2CEE-49CB-AE32-4C0F555798C7}"/>
  <tableColumns count="1">
    <tableColumn id="1" xr3:uid="{1D25CFC3-7162-4D2E-BD15-84DC582861DA}" name="XK/NĐ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6CD531-F976-421F-B1CB-1083684729DA}" name="MD_Possible_CAPEX" displayName="MD_Possible_CAPEX" ref="N1:N11" totalsRowShown="0" headerRowDxfId="137">
  <autoFilter ref="N1:N11" xr:uid="{74D8FC43-4E78-4C8B-9205-6EBFA419A982}"/>
  <tableColumns count="1">
    <tableColumn id="1" xr3:uid="{98E0E84A-088B-42F9-BFCA-E0DBC13DD25A}" name="Khả năng đầu tư" dataDxfId="13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CA105A-00AF-42A2-8ACC-76E7E4410DDF}" name="MD_Department" displayName="MD_Department" ref="J1:J24" totalsRowShown="0" headerRowDxfId="135">
  <autoFilter ref="J1:J24" xr:uid="{D6C0E4AE-8450-400D-AA1E-F9C432F0CD3A}"/>
  <sortState xmlns:xlrd2="http://schemas.microsoft.com/office/spreadsheetml/2017/richdata2" ref="J2:J20">
    <sortCondition ref="J1:J20"/>
  </sortState>
  <tableColumns count="1">
    <tableColumn id="1" xr3:uid="{9A0E8A61-D797-4E56-8E0D-78C72BD10269}" name="Phòng ba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815C2C-7079-43CC-BE85-4B8E325AF1B9}" name="MD_Account_Asset_Type" displayName="MD_Account_Asset_Type" ref="P1:R33" totalsRowShown="0" headerRowDxfId="134">
  <autoFilter ref="P1:R33" xr:uid="{72689326-AAF3-4B54-8476-C4EE178DC289}"/>
  <tableColumns count="3">
    <tableColumn id="1" xr3:uid="{4457598B-BD49-47D5-88E0-E78BB81E359F}" name="TSCĐHH/TSCĐVH"/>
    <tableColumn id="2" xr3:uid="{CEA25594-18C1-411F-B430-C7613ACAEB87}" name="Nhóm tài sản-Tài khoản"/>
    <tableColumn id="3" xr3:uid="{BD3C2CC7-C612-4BFD-857F-8B20CD787510}" name="Nhóm tài sả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EEA3-AB7E-4ACA-9102-719EA37315FE}">
  <sheetPr>
    <pageSetUpPr fitToPage="1"/>
  </sheetPr>
  <dimension ref="A1:CV23"/>
  <sheetViews>
    <sheetView showGridLines="0" zoomScaleNormal="100" zoomScaleSheetLayoutView="80" workbookViewId="0">
      <pane xSplit="7" ySplit="6" topLeftCell="H7" activePane="bottomRight" state="frozen"/>
      <selection pane="topRight" activeCell="F1" sqref="F1"/>
      <selection pane="bottomLeft" activeCell="A7" sqref="A7"/>
      <selection pane="bottomRight" activeCell="B27" sqref="B25:D27"/>
    </sheetView>
  </sheetViews>
  <sheetFormatPr defaultColWidth="2" defaultRowHeight="14.15" customHeight="1" x14ac:dyDescent="0.35"/>
  <cols>
    <col min="1" max="1" width="2" style="757"/>
    <col min="2" max="2" width="4.54296875" style="771" customWidth="1"/>
    <col min="3" max="3" width="71.453125" style="757" bestFit="1" customWidth="1"/>
    <col min="4" max="4" width="19.453125" style="757" bestFit="1" customWidth="1"/>
    <col min="5" max="5" width="14.453125" style="757" customWidth="1"/>
    <col min="6" max="6" width="8.54296875" style="758" customWidth="1"/>
    <col min="7" max="7" width="12" style="757" bestFit="1" customWidth="1"/>
    <col min="8" max="11" width="3.54296875" style="757" hidden="1" customWidth="1"/>
    <col min="12" max="16" width="3.1796875" style="757" hidden="1" customWidth="1"/>
    <col min="17" max="38" width="4.1796875" style="757" hidden="1" customWidth="1"/>
    <col min="39" max="39" width="4.453125" style="757" hidden="1" customWidth="1"/>
    <col min="40" max="43" width="3.54296875" style="757" hidden="1" customWidth="1"/>
    <col min="44" max="45" width="3.1796875" style="757" hidden="1" customWidth="1"/>
    <col min="46" max="58" width="3.54296875" style="757" hidden="1" customWidth="1"/>
    <col min="59" max="59" width="4.1796875" style="757" hidden="1" customWidth="1"/>
    <col min="60" max="60" width="3.54296875" style="757" hidden="1" customWidth="1"/>
    <col min="61" max="61" width="4.453125" style="757" hidden="1" customWidth="1"/>
    <col min="62" max="62" width="4.54296875" style="757" hidden="1" customWidth="1"/>
    <col min="63" max="64" width="4.453125" style="757" hidden="1" customWidth="1"/>
    <col min="65" max="65" width="3.54296875" style="757" hidden="1" customWidth="1"/>
    <col min="66" max="67" width="4" style="757" hidden="1" customWidth="1"/>
    <col min="68" max="68" width="4.453125" style="757" hidden="1" customWidth="1"/>
    <col min="69" max="69" width="3.54296875" style="757" hidden="1" customWidth="1"/>
    <col min="70" max="74" width="3.1796875" style="757" hidden="1" customWidth="1"/>
    <col min="75" max="77" width="3.54296875" style="757" hidden="1" customWidth="1"/>
    <col min="78" max="78" width="4.54296875" style="757" hidden="1" customWidth="1"/>
    <col min="79" max="79" width="4.453125" style="757" hidden="1" customWidth="1"/>
    <col min="80" max="81" width="3.54296875" style="757" hidden="1" customWidth="1"/>
    <col min="82" max="82" width="4.453125" style="757" hidden="1" customWidth="1"/>
    <col min="83" max="83" width="4.1796875" style="757" hidden="1" customWidth="1"/>
    <col min="84" max="84" width="5" style="757" hidden="1" customWidth="1"/>
    <col min="85" max="98" width="4.453125" style="757" hidden="1" customWidth="1"/>
    <col min="99" max="99" width="4" style="757" hidden="1" customWidth="1"/>
    <col min="100" max="100" width="2" style="757"/>
    <col min="101" max="101" width="10.1796875" customWidth="1"/>
  </cols>
  <sheetData>
    <row r="1" spans="2:99" ht="18" customHeight="1" x14ac:dyDescent="0.35">
      <c r="B1" s="756" t="s">
        <v>1860</v>
      </c>
    </row>
    <row r="2" spans="2:99" ht="23" x14ac:dyDescent="0.35">
      <c r="B2" s="759" t="str">
        <f>IF(B3="EN","Schedule Annual Plan 2025","Lịch lập NGÂN SÁCH năm 2026")</f>
        <v>Lịch lập NGÂN SÁCH năm 2026</v>
      </c>
      <c r="D2" s="760" t="str">
        <f>IF(B3="EN","Start:","Bắt đầu:")</f>
        <v>Bắt đầu:</v>
      </c>
      <c r="E2" s="761">
        <v>45915</v>
      </c>
      <c r="F2" s="762"/>
      <c r="G2" s="761"/>
    </row>
    <row r="3" spans="2:99" ht="15.5" x14ac:dyDescent="0.35">
      <c r="B3" s="763" t="str">
        <f>'[28]Overview-BC Tongquan'!B2</f>
        <v>VN</v>
      </c>
      <c r="C3" s="763"/>
      <c r="D3" s="760" t="str">
        <f>IF(B3="EN","Finish:","Kết thúc:")</f>
        <v>Kết thúc:</v>
      </c>
      <c r="E3" s="764">
        <f>G22</f>
        <v>45990</v>
      </c>
      <c r="F3" s="765"/>
      <c r="G3" s="766">
        <f>E3-E2</f>
        <v>75</v>
      </c>
    </row>
    <row r="4" spans="2:99" ht="18" customHeight="1" x14ac:dyDescent="0.35">
      <c r="B4" s="767"/>
      <c r="C4" s="768"/>
      <c r="D4" s="1423" t="str">
        <f>IF(B3="en","SENDER","Đơn vị gửi")</f>
        <v>Đơn vị gửi</v>
      </c>
      <c r="E4" s="1423" t="str">
        <f>IF(B3="EN","RECEIVER","Đơn vị nhận")</f>
        <v>Đơn vị nhận</v>
      </c>
      <c r="F4" s="769"/>
      <c r="G4" s="1423" t="s">
        <v>1861</v>
      </c>
      <c r="H4" s="1426" t="s">
        <v>1862</v>
      </c>
      <c r="I4" s="1427"/>
      <c r="J4" s="1427"/>
      <c r="K4" s="1427"/>
      <c r="L4" s="1427"/>
      <c r="M4" s="1427"/>
      <c r="N4" s="1427"/>
      <c r="O4" s="1427"/>
      <c r="P4" s="1427"/>
      <c r="Q4" s="1427"/>
      <c r="R4" s="1427"/>
      <c r="S4" s="1427"/>
      <c r="T4" s="1427"/>
      <c r="U4" s="1427"/>
      <c r="V4" s="1427"/>
      <c r="W4" s="1427"/>
      <c r="X4" s="1427"/>
      <c r="Y4" s="1427"/>
      <c r="Z4" s="1427"/>
      <c r="AA4" s="1427"/>
      <c r="AB4" s="1427"/>
      <c r="AC4" s="1427"/>
      <c r="AD4" s="1427"/>
      <c r="AE4" s="1427"/>
      <c r="AF4" s="1427"/>
      <c r="AG4" s="1427"/>
      <c r="AH4" s="1427"/>
      <c r="AI4" s="1427"/>
      <c r="AJ4" s="1427"/>
      <c r="AK4" s="1427"/>
      <c r="AL4" s="1427"/>
      <c r="AM4" s="1428" t="s">
        <v>1863</v>
      </c>
      <c r="AN4" s="1429"/>
      <c r="AO4" s="1429"/>
      <c r="AP4" s="1429"/>
      <c r="AQ4" s="1429"/>
      <c r="AR4" s="1429"/>
      <c r="AS4" s="1429"/>
      <c r="AT4" s="1429"/>
      <c r="AU4" s="1429"/>
      <c r="AV4" s="1429"/>
      <c r="AW4" s="1429"/>
      <c r="AX4" s="1429"/>
      <c r="AY4" s="1429"/>
      <c r="AZ4" s="1429"/>
      <c r="BA4" s="1429"/>
      <c r="BB4" s="1429"/>
      <c r="BC4" s="1429"/>
      <c r="BD4" s="1429"/>
      <c r="BE4" s="1429"/>
      <c r="BF4" s="1429"/>
      <c r="BG4" s="1429"/>
      <c r="BH4" s="1429"/>
      <c r="BI4" s="1429"/>
      <c r="BJ4" s="1429"/>
      <c r="BK4" s="1429"/>
      <c r="BL4" s="1429"/>
      <c r="BM4" s="1429"/>
      <c r="BN4" s="1429"/>
      <c r="BO4" s="1429"/>
      <c r="BP4" s="1429"/>
      <c r="BQ4" s="1429"/>
      <c r="BR4" s="1420" t="s">
        <v>1864</v>
      </c>
      <c r="BS4" s="1421"/>
      <c r="BT4" s="1421"/>
      <c r="BU4" s="1421"/>
      <c r="BV4" s="1421"/>
      <c r="BW4" s="1421"/>
      <c r="BX4" s="1421"/>
      <c r="BY4" s="1421"/>
      <c r="BZ4" s="1421"/>
      <c r="CA4" s="1421"/>
      <c r="CB4" s="1421"/>
      <c r="CC4" s="1421"/>
      <c r="CD4" s="1421"/>
      <c r="CE4" s="1421"/>
      <c r="CF4" s="1421"/>
      <c r="CG4" s="1421"/>
      <c r="CH4" s="1421"/>
      <c r="CI4" s="1421"/>
      <c r="CJ4" s="1421"/>
      <c r="CK4" s="1421"/>
      <c r="CL4" s="1421"/>
      <c r="CM4" s="1421"/>
      <c r="CN4" s="1421"/>
      <c r="CO4" s="1421"/>
      <c r="CP4" s="1421"/>
      <c r="CQ4" s="1421"/>
      <c r="CR4" s="1421"/>
      <c r="CS4" s="1421"/>
      <c r="CT4" s="1421"/>
      <c r="CU4" s="1422"/>
    </row>
    <row r="5" spans="2:99" ht="31" x14ac:dyDescent="0.35">
      <c r="B5" s="770" t="s">
        <v>1865</v>
      </c>
      <c r="C5" s="771" t="str">
        <f>IF(B3="EN","PROCESS","TRÌNH TỰ THỰC HIỆN")</f>
        <v>TRÌNH TỰ THỰC HIỆN</v>
      </c>
      <c r="D5" s="1424"/>
      <c r="E5" s="1424"/>
      <c r="F5" s="772" t="s">
        <v>1866</v>
      </c>
      <c r="G5" s="1424"/>
      <c r="H5" s="773">
        <v>1</v>
      </c>
      <c r="I5" s="774">
        <v>2</v>
      </c>
      <c r="J5" s="774">
        <v>3</v>
      </c>
      <c r="K5" s="774">
        <v>4</v>
      </c>
      <c r="L5" s="774">
        <v>5</v>
      </c>
      <c r="M5" s="774">
        <v>6</v>
      </c>
      <c r="N5" s="774">
        <v>7</v>
      </c>
      <c r="O5" s="774">
        <v>8</v>
      </c>
      <c r="P5" s="774">
        <v>9</v>
      </c>
      <c r="Q5" s="774">
        <v>10</v>
      </c>
      <c r="R5" s="774">
        <v>11</v>
      </c>
      <c r="S5" s="774">
        <v>12</v>
      </c>
      <c r="T5" s="774">
        <v>13</v>
      </c>
      <c r="U5" s="774">
        <v>14</v>
      </c>
      <c r="V5" s="774">
        <v>15</v>
      </c>
      <c r="W5" s="774">
        <v>16</v>
      </c>
      <c r="X5" s="774">
        <v>17</v>
      </c>
      <c r="Y5" s="774">
        <v>18</v>
      </c>
      <c r="Z5" s="774">
        <v>19</v>
      </c>
      <c r="AA5" s="774">
        <v>20</v>
      </c>
      <c r="AB5" s="774">
        <v>21</v>
      </c>
      <c r="AC5" s="774">
        <v>22</v>
      </c>
      <c r="AD5" s="774">
        <v>23</v>
      </c>
      <c r="AE5" s="774">
        <v>24</v>
      </c>
      <c r="AF5" s="774">
        <v>25</v>
      </c>
      <c r="AG5" s="774">
        <v>26</v>
      </c>
      <c r="AH5" s="774">
        <v>27</v>
      </c>
      <c r="AI5" s="774">
        <v>28</v>
      </c>
      <c r="AJ5" s="774">
        <v>29</v>
      </c>
      <c r="AK5" s="774">
        <v>30</v>
      </c>
      <c r="AL5" s="775">
        <v>31</v>
      </c>
      <c r="AM5" s="776">
        <v>1</v>
      </c>
      <c r="AN5" s="777">
        <v>2</v>
      </c>
      <c r="AO5" s="777">
        <v>3</v>
      </c>
      <c r="AP5" s="777">
        <v>4</v>
      </c>
      <c r="AQ5" s="777">
        <v>5</v>
      </c>
      <c r="AR5" s="777">
        <v>6</v>
      </c>
      <c r="AS5" s="777">
        <v>7</v>
      </c>
      <c r="AT5" s="777">
        <v>8</v>
      </c>
      <c r="AU5" s="777">
        <v>9</v>
      </c>
      <c r="AV5" s="777">
        <v>10</v>
      </c>
      <c r="AW5" s="777">
        <v>11</v>
      </c>
      <c r="AX5" s="777">
        <v>12</v>
      </c>
      <c r="AY5" s="777">
        <v>13</v>
      </c>
      <c r="AZ5" s="777">
        <v>14</v>
      </c>
      <c r="BA5" s="777">
        <v>15</v>
      </c>
      <c r="BB5" s="777">
        <v>16</v>
      </c>
      <c r="BC5" s="777">
        <v>17</v>
      </c>
      <c r="BD5" s="777">
        <v>18</v>
      </c>
      <c r="BE5" s="777">
        <v>19</v>
      </c>
      <c r="BF5" s="777">
        <v>20</v>
      </c>
      <c r="BG5" s="777">
        <v>21</v>
      </c>
      <c r="BH5" s="777">
        <v>22</v>
      </c>
      <c r="BI5" s="778">
        <v>23</v>
      </c>
      <c r="BJ5" s="777">
        <v>24</v>
      </c>
      <c r="BK5" s="777">
        <v>25</v>
      </c>
      <c r="BL5" s="777">
        <v>26</v>
      </c>
      <c r="BM5" s="777">
        <v>27</v>
      </c>
      <c r="BN5" s="777">
        <v>28</v>
      </c>
      <c r="BO5" s="777">
        <v>29</v>
      </c>
      <c r="BP5" s="777">
        <v>30</v>
      </c>
      <c r="BQ5" s="779">
        <v>31</v>
      </c>
      <c r="BR5" s="780">
        <v>1</v>
      </c>
      <c r="BS5" s="777">
        <f t="shared" ref="BS5:CR5" si="0">BR5+1</f>
        <v>2</v>
      </c>
      <c r="BT5" s="777">
        <f t="shared" si="0"/>
        <v>3</v>
      </c>
      <c r="BU5" s="777">
        <f t="shared" si="0"/>
        <v>4</v>
      </c>
      <c r="BV5" s="777">
        <f t="shared" si="0"/>
        <v>5</v>
      </c>
      <c r="BW5" s="777">
        <f t="shared" si="0"/>
        <v>6</v>
      </c>
      <c r="BX5" s="777">
        <f t="shared" si="0"/>
        <v>7</v>
      </c>
      <c r="BY5" s="777">
        <f t="shared" si="0"/>
        <v>8</v>
      </c>
      <c r="BZ5" s="777">
        <f t="shared" si="0"/>
        <v>9</v>
      </c>
      <c r="CA5" s="777">
        <f t="shared" si="0"/>
        <v>10</v>
      </c>
      <c r="CB5" s="777">
        <f t="shared" si="0"/>
        <v>11</v>
      </c>
      <c r="CC5" s="777">
        <f t="shared" si="0"/>
        <v>12</v>
      </c>
      <c r="CD5" s="777">
        <f t="shared" si="0"/>
        <v>13</v>
      </c>
      <c r="CE5" s="777">
        <f t="shared" si="0"/>
        <v>14</v>
      </c>
      <c r="CF5" s="777">
        <f t="shared" si="0"/>
        <v>15</v>
      </c>
      <c r="CG5" s="777">
        <f t="shared" si="0"/>
        <v>16</v>
      </c>
      <c r="CH5" s="777">
        <f t="shared" si="0"/>
        <v>17</v>
      </c>
      <c r="CI5" s="777">
        <f t="shared" si="0"/>
        <v>18</v>
      </c>
      <c r="CJ5" s="777">
        <f t="shared" si="0"/>
        <v>19</v>
      </c>
      <c r="CK5" s="777">
        <f t="shared" si="0"/>
        <v>20</v>
      </c>
      <c r="CL5" s="777">
        <f t="shared" si="0"/>
        <v>21</v>
      </c>
      <c r="CM5" s="777">
        <f t="shared" si="0"/>
        <v>22</v>
      </c>
      <c r="CN5" s="777">
        <f t="shared" si="0"/>
        <v>23</v>
      </c>
      <c r="CO5" s="777">
        <f t="shared" si="0"/>
        <v>24</v>
      </c>
      <c r="CP5" s="777">
        <f t="shared" si="0"/>
        <v>25</v>
      </c>
      <c r="CQ5" s="777">
        <f t="shared" si="0"/>
        <v>26</v>
      </c>
      <c r="CR5" s="777">
        <f t="shared" si="0"/>
        <v>27</v>
      </c>
      <c r="CS5" s="777">
        <f>CR5+1</f>
        <v>28</v>
      </c>
      <c r="CT5" s="777">
        <f>CS5+1</f>
        <v>29</v>
      </c>
      <c r="CU5" s="781">
        <v>30</v>
      </c>
    </row>
    <row r="6" spans="2:99" ht="21.65" customHeight="1" x14ac:dyDescent="0.35">
      <c r="B6" s="782"/>
      <c r="C6" s="783"/>
      <c r="D6" s="1425"/>
      <c r="E6" s="1425"/>
      <c r="F6" s="784" t="s">
        <v>1867</v>
      </c>
      <c r="G6" s="1425"/>
      <c r="H6" s="785" t="s">
        <v>1868</v>
      </c>
      <c r="I6" s="786" t="s">
        <v>1869</v>
      </c>
      <c r="J6" s="785" t="s">
        <v>1870</v>
      </c>
      <c r="K6" s="786" t="s">
        <v>1871</v>
      </c>
      <c r="L6" s="785" t="s">
        <v>1872</v>
      </c>
      <c r="M6" s="787" t="s">
        <v>1873</v>
      </c>
      <c r="N6" s="787" t="s">
        <v>1874</v>
      </c>
      <c r="O6" s="785" t="s">
        <v>1868</v>
      </c>
      <c r="P6" s="786" t="s">
        <v>1869</v>
      </c>
      <c r="Q6" s="785" t="s">
        <v>1870</v>
      </c>
      <c r="R6" s="786" t="s">
        <v>1871</v>
      </c>
      <c r="S6" s="785" t="s">
        <v>1872</v>
      </c>
      <c r="T6" s="787" t="s">
        <v>1873</v>
      </c>
      <c r="U6" s="787" t="s">
        <v>1874</v>
      </c>
      <c r="V6" s="785" t="s">
        <v>1868</v>
      </c>
      <c r="W6" s="786" t="s">
        <v>1869</v>
      </c>
      <c r="X6" s="785" t="s">
        <v>1870</v>
      </c>
      <c r="Y6" s="786" t="s">
        <v>1871</v>
      </c>
      <c r="Z6" s="785" t="s">
        <v>1872</v>
      </c>
      <c r="AA6" s="787" t="s">
        <v>1873</v>
      </c>
      <c r="AB6" s="787" t="s">
        <v>1874</v>
      </c>
      <c r="AC6" s="785" t="s">
        <v>1868</v>
      </c>
      <c r="AD6" s="786" t="s">
        <v>1869</v>
      </c>
      <c r="AE6" s="785" t="s">
        <v>1870</v>
      </c>
      <c r="AF6" s="786" t="s">
        <v>1871</v>
      </c>
      <c r="AG6" s="785" t="s">
        <v>1872</v>
      </c>
      <c r="AH6" s="787" t="s">
        <v>1873</v>
      </c>
      <c r="AI6" s="787" t="s">
        <v>1874</v>
      </c>
      <c r="AJ6" s="788" t="s">
        <v>1868</v>
      </c>
      <c r="AK6" s="788" t="s">
        <v>1869</v>
      </c>
      <c r="AL6" s="789" t="s">
        <v>1870</v>
      </c>
      <c r="AM6" s="790" t="s">
        <v>1871</v>
      </c>
      <c r="AN6" s="788" t="s">
        <v>1872</v>
      </c>
      <c r="AO6" s="791" t="s">
        <v>1873</v>
      </c>
      <c r="AP6" s="791" t="s">
        <v>1874</v>
      </c>
      <c r="AQ6" s="788" t="s">
        <v>1868</v>
      </c>
      <c r="AR6" s="788" t="s">
        <v>1869</v>
      </c>
      <c r="AS6" s="789" t="s">
        <v>1870</v>
      </c>
      <c r="AT6" s="790" t="s">
        <v>1871</v>
      </c>
      <c r="AU6" s="788" t="s">
        <v>1872</v>
      </c>
      <c r="AV6" s="791" t="s">
        <v>1873</v>
      </c>
      <c r="AW6" s="791" t="s">
        <v>1874</v>
      </c>
      <c r="AX6" s="788" t="s">
        <v>1868</v>
      </c>
      <c r="AY6" s="788" t="s">
        <v>1869</v>
      </c>
      <c r="AZ6" s="789" t="s">
        <v>1870</v>
      </c>
      <c r="BA6" s="790" t="s">
        <v>1871</v>
      </c>
      <c r="BB6" s="788" t="s">
        <v>1872</v>
      </c>
      <c r="BC6" s="791" t="s">
        <v>1873</v>
      </c>
      <c r="BD6" s="791" t="s">
        <v>1874</v>
      </c>
      <c r="BE6" s="788" t="s">
        <v>1868</v>
      </c>
      <c r="BF6" s="788" t="s">
        <v>1869</v>
      </c>
      <c r="BG6" s="789" t="s">
        <v>1870</v>
      </c>
      <c r="BH6" s="790" t="s">
        <v>1871</v>
      </c>
      <c r="BI6" s="788" t="s">
        <v>1872</v>
      </c>
      <c r="BJ6" s="791" t="s">
        <v>1873</v>
      </c>
      <c r="BK6" s="791" t="s">
        <v>1874</v>
      </c>
      <c r="BL6" s="788" t="s">
        <v>1868</v>
      </c>
      <c r="BM6" s="788" t="s">
        <v>1869</v>
      </c>
      <c r="BN6" s="789" t="s">
        <v>1870</v>
      </c>
      <c r="BO6" s="790" t="s">
        <v>1871</v>
      </c>
      <c r="BP6" s="788" t="s">
        <v>1872</v>
      </c>
      <c r="BQ6" s="791" t="s">
        <v>1873</v>
      </c>
      <c r="BR6" s="791" t="s">
        <v>1874</v>
      </c>
      <c r="BS6" s="788" t="s">
        <v>1868</v>
      </c>
      <c r="BT6" s="788" t="s">
        <v>1869</v>
      </c>
      <c r="BU6" s="789" t="s">
        <v>1870</v>
      </c>
      <c r="BV6" s="790" t="s">
        <v>1871</v>
      </c>
      <c r="BW6" s="788" t="s">
        <v>1872</v>
      </c>
      <c r="BX6" s="791" t="s">
        <v>1873</v>
      </c>
      <c r="BY6" s="791" t="s">
        <v>1874</v>
      </c>
      <c r="BZ6" s="788" t="s">
        <v>1868</v>
      </c>
      <c r="CA6" s="788" t="s">
        <v>1869</v>
      </c>
      <c r="CB6" s="789" t="s">
        <v>1870</v>
      </c>
      <c r="CC6" s="790" t="s">
        <v>1871</v>
      </c>
      <c r="CD6" s="788" t="s">
        <v>1872</v>
      </c>
      <c r="CE6" s="791" t="s">
        <v>1873</v>
      </c>
      <c r="CF6" s="791" t="s">
        <v>1874</v>
      </c>
      <c r="CG6" s="788" t="s">
        <v>1868</v>
      </c>
      <c r="CH6" s="788" t="s">
        <v>1869</v>
      </c>
      <c r="CI6" s="789" t="s">
        <v>1870</v>
      </c>
      <c r="CJ6" s="790" t="s">
        <v>1871</v>
      </c>
      <c r="CK6" s="788" t="s">
        <v>1872</v>
      </c>
      <c r="CL6" s="791" t="s">
        <v>1873</v>
      </c>
      <c r="CM6" s="791" t="s">
        <v>1874</v>
      </c>
      <c r="CN6" s="788" t="s">
        <v>1868</v>
      </c>
      <c r="CO6" s="788" t="s">
        <v>1869</v>
      </c>
      <c r="CP6" s="789" t="s">
        <v>1870</v>
      </c>
      <c r="CQ6" s="790" t="s">
        <v>1871</v>
      </c>
      <c r="CR6" s="788" t="s">
        <v>1872</v>
      </c>
      <c r="CS6" s="791" t="s">
        <v>1873</v>
      </c>
      <c r="CT6" s="791" t="s">
        <v>1874</v>
      </c>
      <c r="CU6" s="788" t="s">
        <v>1868</v>
      </c>
    </row>
    <row r="7" spans="2:99" ht="21" customHeight="1" x14ac:dyDescent="0.35">
      <c r="B7" s="792">
        <v>1</v>
      </c>
      <c r="C7" s="793" t="s">
        <v>1895</v>
      </c>
      <c r="D7" s="794" t="s">
        <v>1875</v>
      </c>
      <c r="E7" s="795" t="str">
        <f>IF(B3="EN","All","Tất cả")</f>
        <v>Tất cả</v>
      </c>
      <c r="F7" s="796"/>
      <c r="G7" s="797">
        <f>E2</f>
        <v>45915</v>
      </c>
      <c r="H7" s="798"/>
      <c r="I7" s="799"/>
      <c r="J7" s="799"/>
      <c r="K7" s="799"/>
      <c r="L7" s="799"/>
      <c r="M7" s="799"/>
      <c r="N7" s="799"/>
      <c r="O7" s="799"/>
      <c r="P7" s="799"/>
      <c r="Q7" s="799"/>
      <c r="R7" s="799"/>
      <c r="S7" s="799"/>
      <c r="T7" s="799"/>
      <c r="U7" s="799"/>
      <c r="V7" s="800"/>
      <c r="W7" s="799"/>
      <c r="X7" s="801"/>
      <c r="Y7" s="801"/>
      <c r="Z7" s="801"/>
      <c r="AA7" s="801"/>
      <c r="AB7" s="801"/>
      <c r="AC7" s="801"/>
      <c r="AD7" s="801"/>
      <c r="AE7" s="801"/>
      <c r="AF7" s="801"/>
      <c r="AG7" s="801"/>
      <c r="AH7" s="801"/>
      <c r="AI7" s="801"/>
      <c r="AJ7" s="801"/>
      <c r="AK7" s="801"/>
      <c r="AL7" s="802"/>
      <c r="AM7" s="803"/>
      <c r="AN7" s="804"/>
      <c r="AO7" s="804"/>
      <c r="AP7" s="804"/>
      <c r="AQ7" s="804"/>
      <c r="AR7" s="804"/>
      <c r="AS7" s="804"/>
      <c r="AT7" s="804"/>
      <c r="AU7" s="804"/>
      <c r="AV7" s="804"/>
      <c r="AW7" s="804"/>
      <c r="AX7" s="804"/>
      <c r="AY7" s="804"/>
      <c r="AZ7" s="804"/>
      <c r="BA7" s="804"/>
      <c r="BB7" s="804"/>
      <c r="BC7" s="804"/>
      <c r="BD7" s="804"/>
      <c r="BE7" s="804"/>
      <c r="BF7" s="804"/>
      <c r="BG7" s="804"/>
      <c r="BH7" s="804"/>
      <c r="BI7" s="804"/>
      <c r="BJ7" s="804"/>
      <c r="BK7" s="804"/>
      <c r="BL7" s="804"/>
      <c r="BM7" s="804"/>
      <c r="BN7" s="804"/>
      <c r="BO7" s="804"/>
      <c r="BP7" s="804"/>
      <c r="BQ7" s="805"/>
      <c r="BR7" s="806"/>
      <c r="BS7" s="804"/>
      <c r="BT7" s="804"/>
      <c r="BU7" s="804"/>
      <c r="BV7" s="804"/>
      <c r="BW7" s="804"/>
      <c r="BX7" s="804"/>
      <c r="BY7" s="804"/>
      <c r="BZ7" s="804"/>
      <c r="CA7" s="804"/>
      <c r="CB7" s="804"/>
      <c r="CC7" s="804"/>
      <c r="CD7" s="804"/>
      <c r="CE7" s="804"/>
      <c r="CF7" s="804"/>
      <c r="CG7" s="804"/>
      <c r="CH7" s="804"/>
      <c r="CI7" s="804"/>
      <c r="CJ7" s="804"/>
      <c r="CK7" s="804"/>
      <c r="CL7" s="804"/>
      <c r="CM7" s="804"/>
      <c r="CN7" s="804"/>
      <c r="CO7" s="804"/>
      <c r="CP7" s="804"/>
      <c r="CQ7" s="804"/>
      <c r="CR7" s="804"/>
      <c r="CS7" s="804"/>
      <c r="CT7" s="804"/>
      <c r="CU7" s="802"/>
    </row>
    <row r="8" spans="2:99" ht="21" customHeight="1" x14ac:dyDescent="0.35">
      <c r="B8" s="807">
        <v>2</v>
      </c>
      <c r="C8" s="808" t="s">
        <v>1882</v>
      </c>
      <c r="D8" s="809" t="str">
        <f>IF(B3="EN","Sales team","Phòng kinh doanh")</f>
        <v>Phòng kinh doanh</v>
      </c>
      <c r="E8" s="796" t="str">
        <f>IF(B3="EN","Acct.","Kế toán")</f>
        <v>Kế toán</v>
      </c>
      <c r="F8" s="796">
        <v>15</v>
      </c>
      <c r="G8" s="810">
        <f>F8+$G$7</f>
        <v>45930</v>
      </c>
      <c r="H8" s="798"/>
      <c r="I8" s="799"/>
      <c r="J8" s="799"/>
      <c r="K8" s="799"/>
      <c r="L8" s="799"/>
      <c r="M8" s="799"/>
      <c r="N8" s="799"/>
      <c r="O8" s="799"/>
      <c r="P8" s="799"/>
      <c r="Q8" s="799"/>
      <c r="R8" s="799"/>
      <c r="S8" s="799"/>
      <c r="T8" s="799"/>
      <c r="U8" s="799"/>
      <c r="V8" s="811"/>
      <c r="W8" s="811"/>
      <c r="X8" s="812"/>
      <c r="Y8" s="812"/>
      <c r="Z8" s="812"/>
      <c r="AA8" s="812"/>
      <c r="AB8" s="812"/>
      <c r="AC8" s="812"/>
      <c r="AD8" s="812"/>
      <c r="AE8" s="812"/>
      <c r="AF8" s="813"/>
      <c r="AG8" s="812"/>
      <c r="AH8" s="812"/>
      <c r="AI8" s="812"/>
      <c r="AJ8" s="812"/>
      <c r="AK8" s="812"/>
      <c r="AL8" s="814"/>
      <c r="AM8" s="815"/>
      <c r="AN8" s="816"/>
      <c r="AO8" s="816"/>
      <c r="AP8" s="816"/>
      <c r="AQ8" s="816"/>
      <c r="AR8" s="817"/>
      <c r="AS8" s="817"/>
      <c r="AT8" s="817"/>
      <c r="AU8" s="817"/>
      <c r="AV8" s="817"/>
      <c r="AW8" s="817"/>
      <c r="AX8" s="817"/>
      <c r="AY8" s="817"/>
      <c r="AZ8" s="817"/>
      <c r="BA8" s="817"/>
      <c r="BB8" s="817"/>
      <c r="BC8" s="817"/>
      <c r="BD8" s="817"/>
      <c r="BE8" s="817"/>
      <c r="BF8" s="817"/>
      <c r="BG8" s="817"/>
      <c r="BH8" s="817"/>
      <c r="BI8" s="817"/>
      <c r="BJ8" s="817"/>
      <c r="BK8" s="817"/>
      <c r="BL8" s="817"/>
      <c r="BM8" s="817"/>
      <c r="BN8" s="817"/>
      <c r="BO8" s="817"/>
      <c r="BP8" s="817"/>
      <c r="BQ8" s="818"/>
      <c r="BR8" s="819"/>
      <c r="BS8" s="817"/>
      <c r="BT8" s="817"/>
      <c r="BU8" s="817"/>
      <c r="BV8" s="817"/>
      <c r="BW8" s="817"/>
      <c r="BX8" s="817"/>
      <c r="BY8" s="817"/>
      <c r="BZ8" s="820"/>
      <c r="CA8" s="817"/>
      <c r="CB8" s="817"/>
      <c r="CC8" s="817"/>
      <c r="CD8" s="817"/>
      <c r="CE8" s="817"/>
      <c r="CF8" s="817"/>
      <c r="CG8" s="817"/>
      <c r="CH8" s="817"/>
      <c r="CI8" s="817"/>
      <c r="CJ8" s="817"/>
      <c r="CK8" s="817"/>
      <c r="CL8" s="817"/>
      <c r="CM8" s="817"/>
      <c r="CN8" s="817"/>
      <c r="CO8" s="817"/>
      <c r="CP8" s="817"/>
      <c r="CQ8" s="817"/>
      <c r="CR8" s="817"/>
      <c r="CS8" s="817"/>
      <c r="CT8" s="817"/>
      <c r="CU8" s="821"/>
    </row>
    <row r="9" spans="2:99" ht="21" customHeight="1" x14ac:dyDescent="0.35">
      <c r="B9" s="822">
        <v>3</v>
      </c>
      <c r="C9" s="823" t="s">
        <v>1883</v>
      </c>
      <c r="D9" s="824" t="str">
        <f>IF(B2="EN","Supply chain","Chuỗi cung ứng")</f>
        <v>Chuỗi cung ứng</v>
      </c>
      <c r="E9" s="825" t="str">
        <f t="shared" ref="E9:E16" si="1">E8</f>
        <v>Kế toán</v>
      </c>
      <c r="F9" s="796">
        <v>15</v>
      </c>
      <c r="G9" s="810">
        <f t="shared" ref="G9:G22" si="2">F9+$G$7</f>
        <v>45930</v>
      </c>
      <c r="H9" s="798"/>
      <c r="I9" s="799"/>
      <c r="J9" s="799"/>
      <c r="K9" s="799"/>
      <c r="L9" s="799"/>
      <c r="M9" s="799"/>
      <c r="N9" s="799"/>
      <c r="O9" s="799"/>
      <c r="P9" s="799"/>
      <c r="Q9" s="799"/>
      <c r="R9" s="799"/>
      <c r="S9" s="799"/>
      <c r="T9" s="799"/>
      <c r="U9" s="799"/>
      <c r="V9" s="811"/>
      <c r="W9" s="811"/>
      <c r="X9" s="812"/>
      <c r="Y9" s="812"/>
      <c r="Z9" s="812"/>
      <c r="AA9" s="812"/>
      <c r="AB9" s="812"/>
      <c r="AC9" s="812"/>
      <c r="AD9" s="812"/>
      <c r="AE9" s="812"/>
      <c r="AF9" s="812"/>
      <c r="AG9" s="812"/>
      <c r="AH9" s="812"/>
      <c r="AI9" s="812"/>
      <c r="AJ9" s="812"/>
      <c r="AK9" s="812"/>
      <c r="AL9" s="814"/>
      <c r="AM9" s="826"/>
      <c r="AN9" s="816"/>
      <c r="AO9" s="816"/>
      <c r="AP9" s="816"/>
      <c r="AQ9" s="827"/>
      <c r="AR9" s="828"/>
      <c r="AS9" s="817"/>
      <c r="AT9" s="817"/>
      <c r="AU9" s="817"/>
      <c r="AV9" s="817"/>
      <c r="AW9" s="817"/>
      <c r="AX9" s="817"/>
      <c r="AY9" s="817"/>
      <c r="AZ9" s="817"/>
      <c r="BA9" s="817"/>
      <c r="BB9" s="817"/>
      <c r="BC9" s="817"/>
      <c r="BD9" s="817"/>
      <c r="BE9" s="817"/>
      <c r="BF9" s="817"/>
      <c r="BG9" s="817"/>
      <c r="BH9" s="817"/>
      <c r="BI9" s="817"/>
      <c r="BJ9" s="817"/>
      <c r="BK9" s="817"/>
      <c r="BL9" s="817"/>
      <c r="BM9" s="817"/>
      <c r="BN9" s="817"/>
      <c r="BO9" s="817"/>
      <c r="BP9" s="817"/>
      <c r="BQ9" s="818"/>
      <c r="BR9" s="819"/>
      <c r="BS9" s="817"/>
      <c r="BT9" s="817"/>
      <c r="BU9" s="817"/>
      <c r="BV9" s="817"/>
      <c r="BW9" s="817"/>
      <c r="BX9" s="817"/>
      <c r="BY9" s="817"/>
      <c r="BZ9" s="820"/>
      <c r="CA9" s="817"/>
      <c r="CB9" s="817"/>
      <c r="CC9" s="817"/>
      <c r="CD9" s="817"/>
      <c r="CE9" s="817"/>
      <c r="CF9" s="817"/>
      <c r="CG9" s="817"/>
      <c r="CH9" s="817"/>
      <c r="CI9" s="817"/>
      <c r="CJ9" s="817"/>
      <c r="CK9" s="817"/>
      <c r="CL9" s="817"/>
      <c r="CM9" s="817"/>
      <c r="CN9" s="817"/>
      <c r="CO9" s="817"/>
      <c r="CP9" s="817"/>
      <c r="CQ9" s="817"/>
      <c r="CR9" s="817"/>
      <c r="CS9" s="817"/>
      <c r="CT9" s="817"/>
      <c r="CU9" s="821"/>
    </row>
    <row r="10" spans="2:99" ht="21" customHeight="1" x14ac:dyDescent="0.35">
      <c r="B10" s="822">
        <f t="shared" ref="B10:B17" si="3">B9+1</f>
        <v>4</v>
      </c>
      <c r="C10" s="829" t="s">
        <v>1884</v>
      </c>
      <c r="D10" s="824" t="str">
        <f>IF(B3="EN","Supply chain","Chuổi cung ứng")</f>
        <v>Chuổi cung ứng</v>
      </c>
      <c r="E10" s="825" t="str">
        <f t="shared" si="1"/>
        <v>Kế toán</v>
      </c>
      <c r="F10" s="825">
        <v>15</v>
      </c>
      <c r="G10" s="830">
        <f t="shared" si="2"/>
        <v>45930</v>
      </c>
      <c r="H10" s="831"/>
      <c r="I10" s="832"/>
      <c r="J10" s="832"/>
      <c r="K10" s="832"/>
      <c r="L10" s="832"/>
      <c r="M10" s="832"/>
      <c r="N10" s="832"/>
      <c r="O10" s="832"/>
      <c r="P10" s="832"/>
      <c r="Q10" s="832"/>
      <c r="R10" s="832"/>
      <c r="S10" s="832"/>
      <c r="T10" s="832"/>
      <c r="U10" s="832"/>
      <c r="V10" s="833"/>
      <c r="W10" s="833"/>
      <c r="X10" s="816"/>
      <c r="Y10" s="816"/>
      <c r="Z10" s="816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4"/>
      <c r="AM10" s="826"/>
      <c r="AN10" s="816"/>
      <c r="AO10" s="816"/>
      <c r="AP10" s="816"/>
      <c r="AQ10" s="816"/>
      <c r="AR10" s="817"/>
      <c r="AS10" s="817"/>
      <c r="AT10" s="817"/>
      <c r="AU10" s="817"/>
      <c r="AV10" s="817"/>
      <c r="AW10" s="817"/>
      <c r="AX10" s="817"/>
      <c r="AY10" s="817"/>
      <c r="AZ10" s="817"/>
      <c r="BA10" s="817"/>
      <c r="BB10" s="817"/>
      <c r="BC10" s="817"/>
      <c r="BD10" s="817"/>
      <c r="BE10" s="817"/>
      <c r="BF10" s="817"/>
      <c r="BG10" s="817"/>
      <c r="BH10" s="817"/>
      <c r="BI10" s="817"/>
      <c r="BJ10" s="817"/>
      <c r="BK10" s="817"/>
      <c r="BL10" s="817"/>
      <c r="BM10" s="817"/>
      <c r="BN10" s="817"/>
      <c r="BO10" s="817"/>
      <c r="BP10" s="817"/>
      <c r="BQ10" s="818"/>
      <c r="BR10" s="819"/>
      <c r="BS10" s="817"/>
      <c r="BT10" s="817"/>
      <c r="BU10" s="817"/>
      <c r="BV10" s="817"/>
      <c r="BW10" s="817"/>
      <c r="BX10" s="817"/>
      <c r="BY10" s="817"/>
      <c r="BZ10" s="817"/>
      <c r="CA10" s="817"/>
      <c r="CB10" s="817"/>
      <c r="CC10" s="817"/>
      <c r="CD10" s="817"/>
      <c r="CE10" s="817"/>
      <c r="CF10" s="817"/>
      <c r="CG10" s="817"/>
      <c r="CH10" s="817"/>
      <c r="CI10" s="817"/>
      <c r="CJ10" s="817"/>
      <c r="CK10" s="817"/>
      <c r="CL10" s="817"/>
      <c r="CM10" s="817"/>
      <c r="CN10" s="817"/>
      <c r="CO10" s="817"/>
      <c r="CP10" s="817"/>
      <c r="CQ10" s="817"/>
      <c r="CR10" s="817"/>
      <c r="CS10" s="817"/>
      <c r="CT10" s="817"/>
      <c r="CU10" s="821"/>
    </row>
    <row r="11" spans="2:99" ht="21" customHeight="1" x14ac:dyDescent="0.35">
      <c r="B11" s="822">
        <f t="shared" si="3"/>
        <v>5</v>
      </c>
      <c r="C11" s="834" t="s">
        <v>1885</v>
      </c>
      <c r="D11" s="824" t="str">
        <f>IF(B3="EN","Production","Bộ phận sản xuất")</f>
        <v>Bộ phận sản xuất</v>
      </c>
      <c r="E11" s="825" t="str">
        <f t="shared" si="1"/>
        <v>Kế toán</v>
      </c>
      <c r="F11" s="825">
        <v>20</v>
      </c>
      <c r="G11" s="830">
        <f t="shared" si="2"/>
        <v>45935</v>
      </c>
      <c r="H11" s="831"/>
      <c r="I11" s="832"/>
      <c r="J11" s="832"/>
      <c r="K11" s="832"/>
      <c r="L11" s="832"/>
      <c r="M11" s="832"/>
      <c r="N11" s="832"/>
      <c r="O11" s="832"/>
      <c r="P11" s="832"/>
      <c r="Q11" s="832"/>
      <c r="R11" s="832"/>
      <c r="S11" s="832"/>
      <c r="T11" s="832"/>
      <c r="U11" s="832"/>
      <c r="V11" s="835"/>
      <c r="W11" s="835"/>
      <c r="X11" s="836"/>
      <c r="Y11" s="836"/>
      <c r="Z11" s="836"/>
      <c r="AA11" s="836"/>
      <c r="AB11" s="836"/>
      <c r="AC11" s="836"/>
      <c r="AD11" s="836"/>
      <c r="AE11" s="836"/>
      <c r="AF11" s="836"/>
      <c r="AG11" s="836"/>
      <c r="AH11" s="836"/>
      <c r="AI11" s="836"/>
      <c r="AJ11" s="836"/>
      <c r="AK11" s="836"/>
      <c r="AL11" s="837"/>
      <c r="AM11" s="838"/>
      <c r="AN11" s="839"/>
      <c r="AO11" s="839"/>
      <c r="AP11" s="839"/>
      <c r="AQ11" s="839"/>
      <c r="AR11" s="816"/>
      <c r="AS11" s="816"/>
      <c r="AT11" s="816"/>
      <c r="AU11" s="816"/>
      <c r="AV11" s="816"/>
      <c r="AW11" s="816"/>
      <c r="AX11" s="816"/>
      <c r="AY11" s="816"/>
      <c r="AZ11" s="816"/>
      <c r="BA11" s="816"/>
      <c r="BB11" s="817"/>
      <c r="BC11" s="817"/>
      <c r="BD11" s="817"/>
      <c r="BE11" s="817"/>
      <c r="BF11" s="817"/>
      <c r="BG11" s="817"/>
      <c r="BH11" s="817"/>
      <c r="BI11" s="817"/>
      <c r="BJ11" s="817"/>
      <c r="BK11" s="817"/>
      <c r="BL11" s="817"/>
      <c r="BM11" s="817"/>
      <c r="BN11" s="817"/>
      <c r="BO11" s="817"/>
      <c r="BP11" s="817"/>
      <c r="BQ11" s="818"/>
      <c r="BR11" s="819"/>
      <c r="BS11" s="817"/>
      <c r="BT11" s="817"/>
      <c r="BU11" s="817"/>
      <c r="BV11" s="817"/>
      <c r="BW11" s="817"/>
      <c r="BX11" s="817"/>
      <c r="BY11" s="817"/>
      <c r="BZ11" s="817"/>
      <c r="CA11" s="817"/>
      <c r="CB11" s="817"/>
      <c r="CC11" s="817"/>
      <c r="CD11" s="817"/>
      <c r="CE11" s="817"/>
      <c r="CF11" s="817"/>
      <c r="CG11" s="817"/>
      <c r="CH11" s="817"/>
      <c r="CI11" s="817"/>
      <c r="CJ11" s="817"/>
      <c r="CK11" s="817"/>
      <c r="CL11" s="817"/>
      <c r="CM11" s="817"/>
      <c r="CN11" s="817"/>
      <c r="CO11" s="817"/>
      <c r="CP11" s="817"/>
      <c r="CQ11" s="817"/>
      <c r="CR11" s="817"/>
      <c r="CS11" s="817"/>
      <c r="CT11" s="817"/>
      <c r="CU11" s="821"/>
    </row>
    <row r="12" spans="2:99" ht="21" customHeight="1" x14ac:dyDescent="0.35">
      <c r="B12" s="822">
        <f t="shared" si="3"/>
        <v>6</v>
      </c>
      <c r="C12" s="834" t="s">
        <v>1886</v>
      </c>
      <c r="D12" s="840" t="str">
        <f>E12</f>
        <v>Kế toán</v>
      </c>
      <c r="E12" s="825" t="str">
        <f t="shared" si="1"/>
        <v>Kế toán</v>
      </c>
      <c r="F12" s="825">
        <v>20</v>
      </c>
      <c r="G12" s="830">
        <f t="shared" si="2"/>
        <v>45935</v>
      </c>
      <c r="H12" s="831"/>
      <c r="I12" s="832"/>
      <c r="J12" s="832"/>
      <c r="K12" s="832"/>
      <c r="L12" s="832"/>
      <c r="M12" s="832"/>
      <c r="N12" s="832"/>
      <c r="O12" s="832"/>
      <c r="P12" s="832"/>
      <c r="Q12" s="832"/>
      <c r="R12" s="832"/>
      <c r="S12" s="832"/>
      <c r="T12" s="832"/>
      <c r="U12" s="832"/>
      <c r="V12" s="835"/>
      <c r="W12" s="835"/>
      <c r="X12" s="836"/>
      <c r="Y12" s="836"/>
      <c r="Z12" s="836"/>
      <c r="AA12" s="836"/>
      <c r="AB12" s="836"/>
      <c r="AC12" s="836"/>
      <c r="AD12" s="836"/>
      <c r="AE12" s="836"/>
      <c r="AF12" s="836"/>
      <c r="AG12" s="836"/>
      <c r="AH12" s="836"/>
      <c r="AI12" s="836"/>
      <c r="AJ12" s="836"/>
      <c r="AK12" s="836"/>
      <c r="AL12" s="837"/>
      <c r="AM12" s="838"/>
      <c r="AN12" s="839"/>
      <c r="AO12" s="839"/>
      <c r="AP12" s="839"/>
      <c r="AQ12" s="839"/>
      <c r="AR12" s="839"/>
      <c r="AS12" s="839"/>
      <c r="AT12" s="839"/>
      <c r="AU12" s="839"/>
      <c r="AV12" s="839"/>
      <c r="AW12" s="839"/>
      <c r="AX12" s="839"/>
      <c r="AY12" s="839"/>
      <c r="AZ12" s="839"/>
      <c r="BA12" s="839"/>
      <c r="BB12" s="816"/>
      <c r="BC12" s="816"/>
      <c r="BD12" s="816"/>
      <c r="BE12" s="816"/>
      <c r="BF12" s="816"/>
      <c r="BG12" s="817"/>
      <c r="BH12" s="817"/>
      <c r="BI12" s="817"/>
      <c r="BJ12" s="817"/>
      <c r="BK12" s="817"/>
      <c r="BL12" s="817"/>
      <c r="BM12" s="817"/>
      <c r="BN12" s="817"/>
      <c r="BO12" s="817"/>
      <c r="BP12" s="817"/>
      <c r="BQ12" s="818"/>
      <c r="BR12" s="819"/>
      <c r="BS12" s="817"/>
      <c r="BT12" s="817"/>
      <c r="BU12" s="817"/>
      <c r="BV12" s="817"/>
      <c r="BW12" s="817"/>
      <c r="BX12" s="817"/>
      <c r="BY12" s="817"/>
      <c r="BZ12" s="817"/>
      <c r="CA12" s="817"/>
      <c r="CB12" s="817"/>
      <c r="CC12" s="817"/>
      <c r="CD12" s="817"/>
      <c r="CE12" s="817"/>
      <c r="CF12" s="817"/>
      <c r="CG12" s="817"/>
      <c r="CH12" s="817"/>
      <c r="CI12" s="817"/>
      <c r="CJ12" s="817"/>
      <c r="CK12" s="817"/>
      <c r="CL12" s="817"/>
      <c r="CM12" s="817"/>
      <c r="CN12" s="817"/>
      <c r="CO12" s="817"/>
      <c r="CP12" s="817"/>
      <c r="CQ12" s="817"/>
      <c r="CR12" s="817"/>
      <c r="CS12" s="817"/>
      <c r="CT12" s="817"/>
      <c r="CU12" s="821"/>
    </row>
    <row r="13" spans="2:99" ht="21" customHeight="1" x14ac:dyDescent="0.35">
      <c r="B13" s="822">
        <f t="shared" si="3"/>
        <v>7</v>
      </c>
      <c r="C13" s="823" t="s">
        <v>1887</v>
      </c>
      <c r="D13" s="809" t="str">
        <f>IF(B3="EN","HR","Phòng nhân sự")</f>
        <v>Phòng nhân sự</v>
      </c>
      <c r="E13" s="796" t="str">
        <f t="shared" si="1"/>
        <v>Kế toán</v>
      </c>
      <c r="F13" s="796">
        <v>30</v>
      </c>
      <c r="G13" s="830">
        <f t="shared" si="2"/>
        <v>45945</v>
      </c>
      <c r="H13" s="798"/>
      <c r="I13" s="799"/>
      <c r="J13" s="799"/>
      <c r="K13" s="799"/>
      <c r="L13" s="799"/>
      <c r="M13" s="799"/>
      <c r="N13" s="799"/>
      <c r="O13" s="799"/>
      <c r="P13" s="799"/>
      <c r="Q13" s="799"/>
      <c r="R13" s="799"/>
      <c r="S13" s="799"/>
      <c r="T13" s="799"/>
      <c r="U13" s="799"/>
      <c r="V13" s="841"/>
      <c r="W13" s="841"/>
      <c r="X13" s="842"/>
      <c r="Y13" s="842"/>
      <c r="Z13" s="842"/>
      <c r="AA13" s="842"/>
      <c r="AB13" s="842"/>
      <c r="AC13" s="842"/>
      <c r="AD13" s="842"/>
      <c r="AE13" s="842"/>
      <c r="AF13" s="842"/>
      <c r="AG13" s="842"/>
      <c r="AH13" s="842"/>
      <c r="AI13" s="842"/>
      <c r="AJ13" s="842"/>
      <c r="AK13" s="842"/>
      <c r="AL13" s="843"/>
      <c r="AM13" s="838"/>
      <c r="AN13" s="839"/>
      <c r="AO13" s="839"/>
      <c r="AP13" s="839"/>
      <c r="AQ13" s="836"/>
      <c r="AR13" s="836"/>
      <c r="AS13" s="839"/>
      <c r="AT13" s="839"/>
      <c r="AU13" s="839"/>
      <c r="AV13" s="839"/>
      <c r="AW13" s="839"/>
      <c r="AX13" s="839"/>
      <c r="AY13" s="839"/>
      <c r="AZ13" s="839"/>
      <c r="BA13" s="839"/>
      <c r="BB13" s="839"/>
      <c r="BC13" s="839"/>
      <c r="BD13" s="839"/>
      <c r="BE13" s="839"/>
      <c r="BF13" s="839"/>
      <c r="BG13" s="816"/>
      <c r="BH13" s="816"/>
      <c r="BI13" s="816"/>
      <c r="BJ13" s="816"/>
      <c r="BK13" s="816"/>
      <c r="BL13" s="817"/>
      <c r="BM13" s="817"/>
      <c r="BN13" s="817"/>
      <c r="BO13" s="817"/>
      <c r="BP13" s="817"/>
      <c r="BQ13" s="818"/>
      <c r="BR13" s="819"/>
      <c r="BS13" s="817"/>
      <c r="BT13" s="817"/>
      <c r="BU13" s="817"/>
      <c r="BV13" s="817"/>
      <c r="BW13" s="817"/>
      <c r="BX13" s="817"/>
      <c r="BY13" s="817"/>
      <c r="BZ13" s="817"/>
      <c r="CA13" s="817"/>
      <c r="CB13" s="817"/>
      <c r="CC13" s="817"/>
      <c r="CD13" s="817"/>
      <c r="CE13" s="817"/>
      <c r="CF13" s="817"/>
      <c r="CG13" s="817"/>
      <c r="CH13" s="817"/>
      <c r="CI13" s="817"/>
      <c r="CJ13" s="817"/>
      <c r="CK13" s="817"/>
      <c r="CL13" s="817"/>
      <c r="CM13" s="817"/>
      <c r="CN13" s="817"/>
      <c r="CO13" s="817"/>
      <c r="CP13" s="817"/>
      <c r="CQ13" s="817"/>
      <c r="CR13" s="817"/>
      <c r="CS13" s="817"/>
      <c r="CT13" s="817"/>
      <c r="CU13" s="821"/>
    </row>
    <row r="14" spans="2:99" ht="21" customHeight="1" x14ac:dyDescent="0.35">
      <c r="B14" s="822">
        <f t="shared" si="3"/>
        <v>8</v>
      </c>
      <c r="C14" s="844" t="s">
        <v>1888</v>
      </c>
      <c r="D14" s="824" t="str">
        <f>E7</f>
        <v>Tất cả</v>
      </c>
      <c r="E14" s="825" t="str">
        <f t="shared" si="1"/>
        <v>Kế toán</v>
      </c>
      <c r="F14" s="825">
        <v>30</v>
      </c>
      <c r="G14" s="830">
        <f t="shared" si="2"/>
        <v>45945</v>
      </c>
      <c r="H14" s="831"/>
      <c r="I14" s="832"/>
      <c r="J14" s="832"/>
      <c r="K14" s="832"/>
      <c r="L14" s="832"/>
      <c r="M14" s="832"/>
      <c r="N14" s="832"/>
      <c r="O14" s="832"/>
      <c r="P14" s="832"/>
      <c r="Q14" s="832"/>
      <c r="R14" s="832"/>
      <c r="S14" s="832"/>
      <c r="T14" s="832"/>
      <c r="U14" s="832"/>
      <c r="V14" s="835"/>
      <c r="W14" s="835"/>
      <c r="X14" s="836"/>
      <c r="Y14" s="836"/>
      <c r="Z14" s="836"/>
      <c r="AA14" s="836"/>
      <c r="AB14" s="836"/>
      <c r="AC14" s="836"/>
      <c r="AD14" s="836"/>
      <c r="AE14" s="836"/>
      <c r="AF14" s="836"/>
      <c r="AG14" s="836"/>
      <c r="AH14" s="836"/>
      <c r="AI14" s="836"/>
      <c r="AJ14" s="836"/>
      <c r="AK14" s="836"/>
      <c r="AL14" s="837"/>
      <c r="AM14" s="838"/>
      <c r="AN14" s="839"/>
      <c r="AO14" s="839"/>
      <c r="AP14" s="839"/>
      <c r="AQ14" s="839"/>
      <c r="AR14" s="839"/>
      <c r="AS14" s="839"/>
      <c r="AT14" s="839"/>
      <c r="AU14" s="839"/>
      <c r="AV14" s="839"/>
      <c r="AW14" s="839"/>
      <c r="AX14" s="839"/>
      <c r="AY14" s="839"/>
      <c r="AZ14" s="839"/>
      <c r="BA14" s="839"/>
      <c r="BB14" s="839"/>
      <c r="BC14" s="839"/>
      <c r="BD14" s="839"/>
      <c r="BE14" s="839"/>
      <c r="BF14" s="839"/>
      <c r="BG14" s="816"/>
      <c r="BH14" s="816"/>
      <c r="BI14" s="816"/>
      <c r="BJ14" s="816"/>
      <c r="BK14" s="816"/>
      <c r="BL14" s="817"/>
      <c r="BM14" s="817"/>
      <c r="BN14" s="817"/>
      <c r="BO14" s="817"/>
      <c r="BP14" s="817"/>
      <c r="BQ14" s="818"/>
      <c r="BR14" s="819"/>
      <c r="BS14" s="817"/>
      <c r="BT14" s="817"/>
      <c r="BU14" s="817"/>
      <c r="BV14" s="817"/>
      <c r="BW14" s="817"/>
      <c r="BX14" s="817"/>
      <c r="BY14" s="817"/>
      <c r="BZ14" s="817"/>
      <c r="CA14" s="817"/>
      <c r="CB14" s="817"/>
      <c r="CC14" s="817"/>
      <c r="CD14" s="817"/>
      <c r="CE14" s="817"/>
      <c r="CF14" s="817"/>
      <c r="CG14" s="817"/>
      <c r="CH14" s="817"/>
      <c r="CI14" s="817"/>
      <c r="CJ14" s="817"/>
      <c r="CK14" s="817"/>
      <c r="CL14" s="817"/>
      <c r="CM14" s="817"/>
      <c r="CN14" s="817"/>
      <c r="CO14" s="817"/>
      <c r="CP14" s="817"/>
      <c r="CQ14" s="817"/>
      <c r="CR14" s="817"/>
      <c r="CS14" s="817"/>
      <c r="CT14" s="817"/>
      <c r="CU14" s="821"/>
    </row>
    <row r="15" spans="2:99" ht="21" customHeight="1" x14ac:dyDescent="0.35">
      <c r="B15" s="822">
        <f t="shared" si="3"/>
        <v>9</v>
      </c>
      <c r="C15" s="844" t="s">
        <v>1889</v>
      </c>
      <c r="D15" s="824" t="str">
        <f>D11</f>
        <v>Bộ phận sản xuất</v>
      </c>
      <c r="E15" s="825" t="str">
        <f t="shared" si="1"/>
        <v>Kế toán</v>
      </c>
      <c r="F15" s="825">
        <v>30</v>
      </c>
      <c r="G15" s="830">
        <f t="shared" si="2"/>
        <v>45945</v>
      </c>
      <c r="H15" s="831"/>
      <c r="I15" s="832"/>
      <c r="J15" s="832"/>
      <c r="K15" s="832"/>
      <c r="L15" s="832"/>
      <c r="M15" s="832"/>
      <c r="N15" s="832"/>
      <c r="O15" s="832"/>
      <c r="P15" s="832"/>
      <c r="Q15" s="832"/>
      <c r="R15" s="832"/>
      <c r="S15" s="832"/>
      <c r="T15" s="832"/>
      <c r="U15" s="832"/>
      <c r="V15" s="835"/>
      <c r="W15" s="835"/>
      <c r="X15" s="839"/>
      <c r="Y15" s="839"/>
      <c r="Z15" s="839"/>
      <c r="AA15" s="839"/>
      <c r="AB15" s="839"/>
      <c r="AC15" s="839"/>
      <c r="AD15" s="839"/>
      <c r="AE15" s="839"/>
      <c r="AF15" s="839"/>
      <c r="AG15" s="839"/>
      <c r="AH15" s="839"/>
      <c r="AI15" s="839"/>
      <c r="AJ15" s="839"/>
      <c r="AK15" s="839"/>
      <c r="AL15" s="843"/>
      <c r="AM15" s="838"/>
      <c r="AN15" s="839"/>
      <c r="AO15" s="839"/>
      <c r="AP15" s="845"/>
      <c r="AQ15" s="845"/>
      <c r="AR15" s="845"/>
      <c r="AS15" s="839"/>
      <c r="AT15" s="839"/>
      <c r="AU15" s="839"/>
      <c r="AV15" s="845"/>
      <c r="AW15" s="845"/>
      <c r="AX15" s="845"/>
      <c r="AY15" s="845"/>
      <c r="AZ15" s="839"/>
      <c r="BA15" s="839"/>
      <c r="BB15" s="839"/>
      <c r="BC15" s="839"/>
      <c r="BD15" s="839"/>
      <c r="BE15" s="839"/>
      <c r="BF15" s="839"/>
      <c r="BG15" s="846"/>
      <c r="BH15" s="816"/>
      <c r="BI15" s="816"/>
      <c r="BJ15" s="816"/>
      <c r="BK15" s="816"/>
      <c r="BL15" s="817"/>
      <c r="BM15" s="817"/>
      <c r="BN15" s="817"/>
      <c r="BO15" s="817"/>
      <c r="BP15" s="817"/>
      <c r="BQ15" s="818"/>
      <c r="BR15" s="819"/>
      <c r="BS15" s="817"/>
      <c r="BT15" s="817"/>
      <c r="BU15" s="817"/>
      <c r="BV15" s="817"/>
      <c r="BW15" s="817"/>
      <c r="BX15" s="817"/>
      <c r="BY15" s="817"/>
      <c r="BZ15" s="817"/>
      <c r="CA15" s="817"/>
      <c r="CB15" s="817"/>
      <c r="CC15" s="817"/>
      <c r="CD15" s="817"/>
      <c r="CE15" s="817"/>
      <c r="CF15" s="817"/>
      <c r="CG15" s="817"/>
      <c r="CH15" s="817"/>
      <c r="CI15" s="817"/>
      <c r="CJ15" s="817"/>
      <c r="CK15" s="817"/>
      <c r="CL15" s="817"/>
      <c r="CM15" s="817"/>
      <c r="CN15" s="817"/>
      <c r="CO15" s="817"/>
      <c r="CP15" s="817"/>
      <c r="CQ15" s="817"/>
      <c r="CR15" s="817"/>
      <c r="CS15" s="817"/>
      <c r="CT15" s="817"/>
      <c r="CU15" s="821"/>
    </row>
    <row r="16" spans="2:99" ht="21" customHeight="1" x14ac:dyDescent="0.35">
      <c r="B16" s="822">
        <f t="shared" si="3"/>
        <v>10</v>
      </c>
      <c r="C16" s="829" t="s">
        <v>1890</v>
      </c>
      <c r="D16" s="824" t="str">
        <f>D14</f>
        <v>Tất cả</v>
      </c>
      <c r="E16" s="825" t="str">
        <f t="shared" si="1"/>
        <v>Kế toán</v>
      </c>
      <c r="F16" s="825">
        <v>30</v>
      </c>
      <c r="G16" s="830">
        <f t="shared" si="2"/>
        <v>45945</v>
      </c>
      <c r="H16" s="831"/>
      <c r="I16" s="832"/>
      <c r="J16" s="832"/>
      <c r="K16" s="832"/>
      <c r="L16" s="832"/>
      <c r="M16" s="832"/>
      <c r="N16" s="832"/>
      <c r="O16" s="832"/>
      <c r="P16" s="832"/>
      <c r="Q16" s="832"/>
      <c r="R16" s="832"/>
      <c r="S16" s="832"/>
      <c r="T16" s="832"/>
      <c r="U16" s="832"/>
      <c r="V16" s="835"/>
      <c r="W16" s="835"/>
      <c r="X16" s="839"/>
      <c r="Y16" s="839"/>
      <c r="Z16" s="839"/>
      <c r="AA16" s="839"/>
      <c r="AB16" s="839"/>
      <c r="AC16" s="839"/>
      <c r="AD16" s="839"/>
      <c r="AE16" s="839"/>
      <c r="AF16" s="839"/>
      <c r="AG16" s="839"/>
      <c r="AH16" s="839"/>
      <c r="AI16" s="839"/>
      <c r="AJ16" s="839"/>
      <c r="AK16" s="839"/>
      <c r="AL16" s="843"/>
      <c r="AM16" s="838"/>
      <c r="AN16" s="839"/>
      <c r="AO16" s="839"/>
      <c r="AP16" s="845"/>
      <c r="AQ16" s="845"/>
      <c r="AR16" s="845"/>
      <c r="AS16" s="839"/>
      <c r="AT16" s="839"/>
      <c r="AU16" s="839"/>
      <c r="AV16" s="845"/>
      <c r="AW16" s="845"/>
      <c r="AX16" s="845"/>
      <c r="AY16" s="845"/>
      <c r="AZ16" s="839"/>
      <c r="BA16" s="839"/>
      <c r="BB16" s="839"/>
      <c r="BC16" s="839"/>
      <c r="BD16" s="839"/>
      <c r="BE16" s="839"/>
      <c r="BF16" s="839"/>
      <c r="BG16" s="846"/>
      <c r="BH16" s="816"/>
      <c r="BI16" s="816"/>
      <c r="BJ16" s="816"/>
      <c r="BK16" s="816"/>
      <c r="BL16" s="817"/>
      <c r="BM16" s="817"/>
      <c r="BN16" s="817"/>
      <c r="BO16" s="817"/>
      <c r="BP16" s="817"/>
      <c r="BQ16" s="818"/>
      <c r="BR16" s="819"/>
      <c r="BS16" s="817"/>
      <c r="BT16" s="817"/>
      <c r="BU16" s="817"/>
      <c r="BV16" s="817"/>
      <c r="BW16" s="817"/>
      <c r="BX16" s="817"/>
      <c r="BY16" s="817"/>
      <c r="BZ16" s="817"/>
      <c r="CA16" s="817"/>
      <c r="CB16" s="817"/>
      <c r="CC16" s="817"/>
      <c r="CD16" s="817"/>
      <c r="CE16" s="817"/>
      <c r="CF16" s="817"/>
      <c r="CG16" s="817"/>
      <c r="CH16" s="817"/>
      <c r="CI16" s="817"/>
      <c r="CJ16" s="817"/>
      <c r="CK16" s="817"/>
      <c r="CL16" s="817"/>
      <c r="CM16" s="817"/>
      <c r="CN16" s="817"/>
      <c r="CO16" s="817"/>
      <c r="CP16" s="817"/>
      <c r="CQ16" s="817"/>
      <c r="CR16" s="817"/>
      <c r="CS16" s="817"/>
      <c r="CT16" s="817"/>
      <c r="CU16" s="821"/>
    </row>
    <row r="17" spans="2:99" ht="21" customHeight="1" x14ac:dyDescent="0.35">
      <c r="B17" s="847">
        <f t="shared" si="3"/>
        <v>11</v>
      </c>
      <c r="C17" s="848" t="s">
        <v>1891</v>
      </c>
      <c r="D17" s="849" t="s">
        <v>1876</v>
      </c>
      <c r="E17" s="850" t="s">
        <v>1877</v>
      </c>
      <c r="F17" s="850">
        <v>45</v>
      </c>
      <c r="G17" s="851">
        <f t="shared" si="2"/>
        <v>45960</v>
      </c>
      <c r="H17" s="831"/>
      <c r="I17" s="832"/>
      <c r="J17" s="832"/>
      <c r="K17" s="832"/>
      <c r="L17" s="832"/>
      <c r="M17" s="832"/>
      <c r="N17" s="832"/>
      <c r="O17" s="832"/>
      <c r="P17" s="832"/>
      <c r="Q17" s="832"/>
      <c r="R17" s="832"/>
      <c r="S17" s="832"/>
      <c r="T17" s="832"/>
      <c r="U17" s="832"/>
      <c r="V17" s="835"/>
      <c r="W17" s="835"/>
      <c r="X17" s="839"/>
      <c r="Y17" s="839"/>
      <c r="Z17" s="839"/>
      <c r="AA17" s="839"/>
      <c r="AB17" s="839"/>
      <c r="AC17" s="839"/>
      <c r="AD17" s="839"/>
      <c r="AE17" s="839"/>
      <c r="AF17" s="839"/>
      <c r="AG17" s="839"/>
      <c r="AH17" s="839"/>
      <c r="AI17" s="839"/>
      <c r="AJ17" s="839"/>
      <c r="AK17" s="839"/>
      <c r="AL17" s="843"/>
      <c r="AM17" s="838"/>
      <c r="AN17" s="839"/>
      <c r="AO17" s="839"/>
      <c r="AP17" s="845"/>
      <c r="AQ17" s="845"/>
      <c r="AR17" s="845"/>
      <c r="AS17" s="839"/>
      <c r="AT17" s="839"/>
      <c r="AU17" s="839"/>
      <c r="AV17" s="839"/>
      <c r="AW17" s="839"/>
      <c r="AX17" s="845"/>
      <c r="AY17" s="845"/>
      <c r="AZ17" s="839"/>
      <c r="BA17" s="839"/>
      <c r="BB17" s="839"/>
      <c r="BC17" s="839"/>
      <c r="BD17" s="839"/>
      <c r="BE17" s="839"/>
      <c r="BF17" s="839"/>
      <c r="BG17" s="845"/>
      <c r="BH17" s="839"/>
      <c r="BI17" s="852"/>
      <c r="BJ17" s="853"/>
      <c r="BK17" s="839"/>
      <c r="BL17" s="816"/>
      <c r="BM17" s="816"/>
      <c r="BN17" s="816"/>
      <c r="BO17" s="816"/>
      <c r="BP17" s="816"/>
      <c r="BQ17" s="818"/>
      <c r="BR17" s="819"/>
      <c r="BS17" s="817"/>
      <c r="BT17" s="817"/>
      <c r="BU17" s="817"/>
      <c r="BV17" s="817"/>
      <c r="BW17" s="817"/>
      <c r="BX17" s="817"/>
      <c r="BY17" s="854"/>
      <c r="BZ17" s="817"/>
      <c r="CA17" s="817"/>
      <c r="CB17" s="817"/>
      <c r="CC17" s="817"/>
      <c r="CD17" s="817"/>
      <c r="CE17" s="817"/>
      <c r="CF17" s="817"/>
      <c r="CG17" s="817"/>
      <c r="CH17" s="817"/>
      <c r="CI17" s="817"/>
      <c r="CJ17" s="817"/>
      <c r="CK17" s="817"/>
      <c r="CL17" s="817"/>
      <c r="CM17" s="817"/>
      <c r="CN17" s="817"/>
      <c r="CO17" s="817"/>
      <c r="CP17" s="817"/>
      <c r="CQ17" s="817"/>
      <c r="CR17" s="817"/>
      <c r="CS17" s="817"/>
      <c r="CT17" s="817"/>
      <c r="CU17" s="821"/>
    </row>
    <row r="18" spans="2:99" ht="21" customHeight="1" x14ac:dyDescent="0.35">
      <c r="B18" s="855">
        <v>12</v>
      </c>
      <c r="C18" s="856" t="s">
        <v>1892</v>
      </c>
      <c r="D18" s="824" t="s">
        <v>1877</v>
      </c>
      <c r="E18" s="857" t="s">
        <v>1878</v>
      </c>
      <c r="F18" s="857">
        <v>50</v>
      </c>
      <c r="G18" s="830">
        <f t="shared" si="2"/>
        <v>45965</v>
      </c>
      <c r="H18" s="858"/>
      <c r="I18" s="859"/>
      <c r="J18" s="859"/>
      <c r="K18" s="859"/>
      <c r="L18" s="859"/>
      <c r="M18" s="859"/>
      <c r="N18" s="859"/>
      <c r="O18" s="859"/>
      <c r="P18" s="859"/>
      <c r="Q18" s="859"/>
      <c r="R18" s="859"/>
      <c r="S18" s="859"/>
      <c r="T18" s="859"/>
      <c r="U18" s="859"/>
      <c r="V18" s="859"/>
      <c r="W18" s="859"/>
      <c r="X18" s="860"/>
      <c r="Y18" s="860"/>
      <c r="Z18" s="860"/>
      <c r="AA18" s="860"/>
      <c r="AB18" s="860"/>
      <c r="AC18" s="860"/>
      <c r="AD18" s="860"/>
      <c r="AE18" s="860"/>
      <c r="AF18" s="860"/>
      <c r="AG18" s="860"/>
      <c r="AH18" s="860"/>
      <c r="AI18" s="860"/>
      <c r="AJ18" s="860"/>
      <c r="AK18" s="860"/>
      <c r="AL18" s="861"/>
      <c r="AM18" s="862"/>
      <c r="AN18" s="860"/>
      <c r="AO18" s="860"/>
      <c r="AP18" s="863"/>
      <c r="AQ18" s="863"/>
      <c r="AR18" s="863"/>
      <c r="AS18" s="860"/>
      <c r="AT18" s="860"/>
      <c r="AU18" s="860"/>
      <c r="AV18" s="860"/>
      <c r="AW18" s="860"/>
      <c r="AX18" s="863"/>
      <c r="AY18" s="863"/>
      <c r="AZ18" s="860"/>
      <c r="BA18" s="860"/>
      <c r="BB18" s="860"/>
      <c r="BC18" s="860"/>
      <c r="BD18" s="860"/>
      <c r="BE18" s="860"/>
      <c r="BF18" s="860"/>
      <c r="BG18" s="863"/>
      <c r="BH18" s="864"/>
      <c r="BI18" s="860"/>
      <c r="BJ18" s="860"/>
      <c r="BK18" s="854"/>
      <c r="BL18" s="860"/>
      <c r="BM18" s="860"/>
      <c r="BN18" s="860"/>
      <c r="BO18" s="860"/>
      <c r="BP18" s="865"/>
      <c r="BQ18" s="866"/>
      <c r="BR18" s="867"/>
      <c r="BS18" s="868"/>
      <c r="BT18" s="868"/>
      <c r="BU18" s="868"/>
      <c r="BV18" s="860"/>
      <c r="BW18" s="869"/>
      <c r="BX18" s="860"/>
      <c r="BY18" s="854"/>
      <c r="BZ18" s="860"/>
      <c r="CA18" s="860"/>
      <c r="CB18" s="860"/>
      <c r="CC18" s="860"/>
      <c r="CD18" s="860"/>
      <c r="CE18" s="860"/>
      <c r="CF18" s="860"/>
      <c r="CG18" s="860"/>
      <c r="CH18" s="860"/>
      <c r="CI18" s="860"/>
      <c r="CJ18" s="860"/>
      <c r="CK18" s="860"/>
      <c r="CL18" s="860"/>
      <c r="CM18" s="860"/>
      <c r="CN18" s="860"/>
      <c r="CO18" s="860"/>
      <c r="CP18" s="860"/>
      <c r="CQ18" s="860"/>
      <c r="CR18" s="860"/>
      <c r="CS18" s="860"/>
      <c r="CT18" s="860"/>
      <c r="CU18" s="861"/>
    </row>
    <row r="19" spans="2:99" ht="21" customHeight="1" x14ac:dyDescent="0.35">
      <c r="B19" s="855">
        <v>13</v>
      </c>
      <c r="C19" s="870" t="s">
        <v>1893</v>
      </c>
      <c r="D19" s="824" t="s">
        <v>1877</v>
      </c>
      <c r="E19" s="857" t="s">
        <v>1878</v>
      </c>
      <c r="F19" s="857">
        <v>55</v>
      </c>
      <c r="G19" s="871">
        <f t="shared" si="2"/>
        <v>45970</v>
      </c>
      <c r="H19" s="858"/>
      <c r="I19" s="859"/>
      <c r="J19" s="859"/>
      <c r="K19" s="859"/>
      <c r="L19" s="859"/>
      <c r="M19" s="859"/>
      <c r="N19" s="859"/>
      <c r="O19" s="859"/>
      <c r="P19" s="859"/>
      <c r="Q19" s="859"/>
      <c r="R19" s="859"/>
      <c r="S19" s="859"/>
      <c r="T19" s="859"/>
      <c r="U19" s="859"/>
      <c r="V19" s="859"/>
      <c r="W19" s="859"/>
      <c r="X19" s="860"/>
      <c r="Y19" s="860"/>
      <c r="Z19" s="860"/>
      <c r="AA19" s="860"/>
      <c r="AB19" s="860"/>
      <c r="AC19" s="860"/>
      <c r="AD19" s="860"/>
      <c r="AE19" s="860"/>
      <c r="AF19" s="860"/>
      <c r="AG19" s="860"/>
      <c r="AH19" s="860"/>
      <c r="AI19" s="860"/>
      <c r="AJ19" s="860"/>
      <c r="AK19" s="860"/>
      <c r="AL19" s="861"/>
      <c r="AM19" s="862"/>
      <c r="AN19" s="860"/>
      <c r="AO19" s="860"/>
      <c r="AP19" s="863"/>
      <c r="AQ19" s="863"/>
      <c r="AR19" s="863"/>
      <c r="AS19" s="860"/>
      <c r="AT19" s="860"/>
      <c r="AU19" s="860"/>
      <c r="AV19" s="860"/>
      <c r="AW19" s="860"/>
      <c r="AX19" s="863"/>
      <c r="AY19" s="863"/>
      <c r="AZ19" s="860"/>
      <c r="BA19" s="860"/>
      <c r="BB19" s="860"/>
      <c r="BC19" s="860"/>
      <c r="BD19" s="860"/>
      <c r="BE19" s="860"/>
      <c r="BF19" s="860"/>
      <c r="BG19" s="863"/>
      <c r="BH19" s="860"/>
      <c r="BI19" s="860"/>
      <c r="BJ19" s="860"/>
      <c r="BK19" s="872"/>
      <c r="BL19" s="860"/>
      <c r="BM19" s="860"/>
      <c r="BN19" s="860"/>
      <c r="BO19" s="860"/>
      <c r="BP19" s="860"/>
      <c r="BQ19" s="861"/>
      <c r="BR19" s="873"/>
      <c r="BS19" s="860"/>
      <c r="BT19" s="860"/>
      <c r="BU19" s="860"/>
      <c r="BV19" s="868"/>
      <c r="BW19" s="868"/>
      <c r="BX19" s="868"/>
      <c r="BY19" s="868"/>
      <c r="BZ19" s="874"/>
      <c r="CA19" s="860"/>
      <c r="CB19" s="860"/>
      <c r="CC19" s="860"/>
      <c r="CD19" s="860"/>
      <c r="CE19" s="860"/>
      <c r="CF19" s="875"/>
      <c r="CG19" s="860"/>
      <c r="CH19" s="860"/>
      <c r="CI19" s="860"/>
      <c r="CJ19" s="860"/>
      <c r="CK19" s="860"/>
      <c r="CL19" s="860"/>
      <c r="CM19" s="860"/>
      <c r="CN19" s="860"/>
      <c r="CO19" s="860"/>
      <c r="CP19" s="860"/>
      <c r="CQ19" s="860"/>
      <c r="CR19" s="860"/>
      <c r="CS19" s="860"/>
      <c r="CT19" s="860"/>
      <c r="CU19" s="861"/>
    </row>
    <row r="20" spans="2:99" ht="19.5" customHeight="1" x14ac:dyDescent="0.35">
      <c r="B20" s="855">
        <v>14</v>
      </c>
      <c r="C20" s="870" t="s">
        <v>1894</v>
      </c>
      <c r="D20" s="876" t="s">
        <v>1877</v>
      </c>
      <c r="E20" s="857" t="s">
        <v>1878</v>
      </c>
      <c r="F20" s="857">
        <v>62</v>
      </c>
      <c r="G20" s="871">
        <f t="shared" si="2"/>
        <v>45977</v>
      </c>
      <c r="H20" s="858"/>
      <c r="I20" s="859"/>
      <c r="J20" s="859"/>
      <c r="K20" s="859"/>
      <c r="L20" s="859"/>
      <c r="M20" s="859"/>
      <c r="N20" s="859"/>
      <c r="O20" s="859"/>
      <c r="P20" s="859"/>
      <c r="Q20" s="859"/>
      <c r="R20" s="859"/>
      <c r="S20" s="859"/>
      <c r="T20" s="859"/>
      <c r="U20" s="859"/>
      <c r="V20" s="859"/>
      <c r="W20" s="859"/>
      <c r="X20" s="860"/>
      <c r="Y20" s="860"/>
      <c r="Z20" s="860"/>
      <c r="AA20" s="860"/>
      <c r="AB20" s="860"/>
      <c r="AC20" s="860"/>
      <c r="AD20" s="860"/>
      <c r="AE20" s="860"/>
      <c r="AF20" s="860"/>
      <c r="AG20" s="860"/>
      <c r="AH20" s="860"/>
      <c r="AI20" s="860"/>
      <c r="AJ20" s="860"/>
      <c r="AK20" s="860"/>
      <c r="AL20" s="861"/>
      <c r="AM20" s="862"/>
      <c r="AN20" s="860"/>
      <c r="AO20" s="860"/>
      <c r="AP20" s="863"/>
      <c r="AQ20" s="863"/>
      <c r="AR20" s="863"/>
      <c r="AS20" s="860"/>
      <c r="AT20" s="860"/>
      <c r="AU20" s="860"/>
      <c r="AV20" s="860"/>
      <c r="AW20" s="860"/>
      <c r="AX20" s="863"/>
      <c r="AY20" s="863"/>
      <c r="AZ20" s="860"/>
      <c r="BA20" s="860"/>
      <c r="BB20" s="860"/>
      <c r="BC20" s="860"/>
      <c r="BD20" s="860"/>
      <c r="BE20" s="860"/>
      <c r="BF20" s="860"/>
      <c r="BG20" s="863"/>
      <c r="BH20" s="860"/>
      <c r="BI20" s="860"/>
      <c r="BJ20" s="860"/>
      <c r="BK20" s="872"/>
      <c r="BL20" s="860"/>
      <c r="BM20" s="860"/>
      <c r="BN20" s="860"/>
      <c r="BO20" s="860"/>
      <c r="BP20" s="860"/>
      <c r="BQ20" s="861"/>
      <c r="BR20" s="873"/>
      <c r="BS20" s="860"/>
      <c r="BT20" s="860"/>
      <c r="BU20" s="860"/>
      <c r="BV20" s="860"/>
      <c r="BW20" s="860"/>
      <c r="BX20" s="860"/>
      <c r="BY20" s="860"/>
      <c r="BZ20" s="877"/>
      <c r="CA20" s="868"/>
      <c r="CB20" s="868"/>
      <c r="CC20" s="868"/>
      <c r="CD20" s="868"/>
      <c r="CE20" s="868"/>
      <c r="CF20" s="878"/>
      <c r="CG20" s="868"/>
      <c r="CH20" s="860"/>
      <c r="CI20" s="860"/>
      <c r="CJ20" s="860"/>
      <c r="CK20" s="860"/>
      <c r="CL20" s="860"/>
      <c r="CM20" s="860"/>
      <c r="CN20" s="860"/>
      <c r="CO20" s="860"/>
      <c r="CP20" s="860"/>
      <c r="CQ20" s="860"/>
      <c r="CR20" s="860"/>
      <c r="CS20" s="860"/>
      <c r="CT20" s="860"/>
      <c r="CU20" s="861"/>
    </row>
    <row r="21" spans="2:99" ht="19.5" customHeight="1" x14ac:dyDescent="0.35">
      <c r="B21" s="855">
        <v>15</v>
      </c>
      <c r="C21" s="879" t="s">
        <v>1879</v>
      </c>
      <c r="D21" s="879" t="s">
        <v>1880</v>
      </c>
      <c r="E21" s="879" t="s">
        <v>1875</v>
      </c>
      <c r="F21" s="822">
        <v>70</v>
      </c>
      <c r="G21" s="871">
        <f t="shared" si="2"/>
        <v>45985</v>
      </c>
      <c r="H21" s="879"/>
      <c r="I21" s="879"/>
      <c r="J21" s="879"/>
      <c r="K21" s="879"/>
      <c r="L21" s="879"/>
      <c r="M21" s="879"/>
      <c r="N21" s="879"/>
      <c r="O21" s="879"/>
      <c r="P21" s="879"/>
      <c r="Q21" s="879"/>
      <c r="R21" s="879"/>
      <c r="S21" s="879"/>
      <c r="T21" s="879"/>
      <c r="U21" s="879"/>
      <c r="V21" s="879"/>
      <c r="W21" s="879"/>
      <c r="X21" s="879"/>
      <c r="Y21" s="879"/>
      <c r="Z21" s="879"/>
      <c r="AA21" s="879"/>
      <c r="AB21" s="879"/>
      <c r="AC21" s="879"/>
      <c r="AD21" s="879"/>
      <c r="AE21" s="879"/>
      <c r="AF21" s="879"/>
      <c r="AG21" s="879"/>
      <c r="AH21" s="879"/>
      <c r="AI21" s="879"/>
      <c r="AJ21" s="879"/>
      <c r="AK21" s="879"/>
      <c r="AL21" s="879"/>
      <c r="AM21" s="879"/>
      <c r="AN21" s="879"/>
      <c r="AO21" s="879"/>
      <c r="AP21" s="879"/>
      <c r="AQ21" s="879"/>
      <c r="AR21" s="879"/>
      <c r="AS21" s="879"/>
      <c r="AT21" s="879"/>
      <c r="AU21" s="879"/>
      <c r="AV21" s="879"/>
      <c r="AW21" s="879"/>
      <c r="AX21" s="879"/>
      <c r="AY21" s="879"/>
      <c r="AZ21" s="879"/>
      <c r="BA21" s="879"/>
      <c r="BB21" s="879"/>
      <c r="BC21" s="879"/>
      <c r="BD21" s="879"/>
      <c r="BE21" s="879"/>
      <c r="BF21" s="879"/>
      <c r="BG21" s="879"/>
      <c r="BH21" s="879"/>
      <c r="BI21" s="879"/>
      <c r="BJ21" s="879"/>
      <c r="BK21" s="880"/>
      <c r="BL21" s="881"/>
      <c r="BM21" s="881"/>
      <c r="BN21" s="881"/>
      <c r="BO21" s="881"/>
      <c r="BP21" s="881"/>
      <c r="BQ21" s="881"/>
      <c r="BR21" s="881"/>
      <c r="BS21" s="881"/>
      <c r="BT21" s="881"/>
      <c r="BU21" s="881"/>
      <c r="BV21" s="881"/>
      <c r="BW21" s="881"/>
      <c r="BX21" s="881"/>
      <c r="BY21" s="881"/>
      <c r="BZ21" s="881"/>
      <c r="CA21" s="881"/>
      <c r="CB21" s="881"/>
      <c r="CC21" s="881"/>
      <c r="CD21" s="881"/>
      <c r="CE21" s="881"/>
      <c r="CF21" s="881"/>
      <c r="CG21" s="881"/>
      <c r="CH21" s="846"/>
      <c r="CI21" s="846"/>
      <c r="CJ21" s="846"/>
      <c r="CK21" s="846"/>
      <c r="CL21" s="846"/>
      <c r="CM21" s="846"/>
      <c r="CN21" s="846"/>
      <c r="CO21" s="846"/>
      <c r="CP21" s="881"/>
      <c r="CQ21" s="881"/>
      <c r="CR21" s="881"/>
      <c r="CS21" s="881"/>
      <c r="CT21" s="881"/>
      <c r="CU21" s="882"/>
    </row>
    <row r="22" spans="2:99" ht="19.5" customHeight="1" x14ac:dyDescent="0.35">
      <c r="B22" s="883">
        <v>16</v>
      </c>
      <c r="C22" s="883" t="s">
        <v>1881</v>
      </c>
      <c r="D22" s="883" t="s">
        <v>1875</v>
      </c>
      <c r="E22" s="884" t="s">
        <v>1878</v>
      </c>
      <c r="F22" s="884">
        <v>75</v>
      </c>
      <c r="G22" s="885">
        <f t="shared" si="2"/>
        <v>45990</v>
      </c>
      <c r="H22" s="886"/>
      <c r="I22" s="886"/>
      <c r="J22" s="886"/>
      <c r="K22" s="886"/>
      <c r="L22" s="886"/>
      <c r="M22" s="886"/>
      <c r="N22" s="886"/>
      <c r="O22" s="886"/>
      <c r="P22" s="886"/>
      <c r="Q22" s="886"/>
      <c r="R22" s="886"/>
      <c r="S22" s="886"/>
      <c r="T22" s="886"/>
      <c r="U22" s="886"/>
      <c r="V22" s="886"/>
      <c r="W22" s="886"/>
      <c r="X22" s="886"/>
      <c r="Y22" s="886"/>
      <c r="Z22" s="886"/>
      <c r="AA22" s="886"/>
      <c r="AB22" s="886"/>
      <c r="AC22" s="886"/>
      <c r="AD22" s="886"/>
      <c r="AE22" s="886"/>
      <c r="AF22" s="886"/>
      <c r="AG22" s="886"/>
      <c r="AH22" s="886"/>
      <c r="AI22" s="886"/>
      <c r="AJ22" s="886"/>
      <c r="AK22" s="886"/>
      <c r="AL22" s="886"/>
      <c r="AM22" s="886"/>
      <c r="AN22" s="886"/>
      <c r="AO22" s="886"/>
      <c r="AP22" s="886"/>
      <c r="AQ22" s="886"/>
      <c r="AR22" s="886"/>
      <c r="AS22" s="886"/>
      <c r="AT22" s="886"/>
      <c r="AU22" s="886"/>
      <c r="AV22" s="886"/>
      <c r="AW22" s="886"/>
      <c r="AX22" s="886"/>
      <c r="AY22" s="886"/>
      <c r="AZ22" s="886"/>
      <c r="BA22" s="886"/>
      <c r="BB22" s="886"/>
      <c r="BC22" s="886"/>
      <c r="BD22" s="886"/>
      <c r="BE22" s="886"/>
      <c r="BF22" s="886"/>
      <c r="BG22" s="886"/>
      <c r="BH22" s="886"/>
      <c r="BI22" s="886"/>
      <c r="BJ22" s="886"/>
      <c r="BK22" s="887"/>
      <c r="BL22" s="888"/>
      <c r="BM22" s="888"/>
      <c r="BN22" s="888"/>
      <c r="BO22" s="888"/>
      <c r="BP22" s="888"/>
      <c r="BQ22" s="888"/>
      <c r="BR22" s="888"/>
      <c r="BS22" s="888"/>
      <c r="BT22" s="888"/>
      <c r="BU22" s="888"/>
      <c r="BV22" s="888"/>
      <c r="BW22" s="888"/>
      <c r="BX22" s="888"/>
      <c r="BY22" s="888"/>
      <c r="BZ22" s="888"/>
      <c r="CA22" s="888"/>
      <c r="CB22" s="888"/>
      <c r="CC22" s="888"/>
      <c r="CD22" s="888"/>
      <c r="CE22" s="888"/>
      <c r="CF22" s="888"/>
      <c r="CG22" s="888"/>
      <c r="CH22" s="888"/>
      <c r="CI22" s="888"/>
      <c r="CJ22" s="888"/>
      <c r="CK22" s="888"/>
      <c r="CL22" s="888"/>
      <c r="CM22" s="888"/>
      <c r="CN22" s="888"/>
      <c r="CO22" s="888"/>
      <c r="CP22" s="889"/>
      <c r="CQ22" s="889"/>
      <c r="CR22" s="889"/>
      <c r="CS22" s="889"/>
      <c r="CT22" s="889"/>
      <c r="CU22" s="890"/>
    </row>
    <row r="23" spans="2:99" ht="14.15" customHeight="1" x14ac:dyDescent="0.35">
      <c r="B23" s="760"/>
    </row>
  </sheetData>
  <mergeCells count="6">
    <mergeCell ref="BR4:CU4"/>
    <mergeCell ref="D4:D6"/>
    <mergeCell ref="E4:E6"/>
    <mergeCell ref="G4:G6"/>
    <mergeCell ref="H4:AL4"/>
    <mergeCell ref="AM4:BQ4"/>
  </mergeCells>
  <dataValidations count="1">
    <dataValidation type="list" allowBlank="1" showInputMessage="1" showErrorMessage="1" sqref="B3" xr:uid="{BB0392F1-96FA-4269-86F4-ABC6F1C27142}">
      <formula1>"VN,EN"</formula1>
    </dataValidation>
  </dataValidations>
  <printOptions horizontalCentered="1"/>
  <pageMargins left="0" right="0" top="0.31496062992125984" bottom="0" header="0" footer="0"/>
  <pageSetup paperSize="8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C040-6D41-4D19-950D-6FA8322DB020}">
  <dimension ref="B2:J17"/>
  <sheetViews>
    <sheetView showGridLines="0" topLeftCell="G4" workbookViewId="0">
      <selection activeCell="M6" sqref="M6"/>
    </sheetView>
  </sheetViews>
  <sheetFormatPr defaultColWidth="8.81640625" defaultRowHeight="12.5" x14ac:dyDescent="0.35"/>
  <cols>
    <col min="1" max="1" width="5.81640625" style="741" customWidth="1"/>
    <col min="2" max="2" width="5.81640625" style="736" customWidth="1"/>
    <col min="3" max="3" width="44.54296875" style="741" customWidth="1"/>
    <col min="4" max="4" width="21.1796875" style="741" customWidth="1"/>
    <col min="5" max="5" width="74.54296875" style="745" customWidth="1"/>
    <col min="6" max="6" width="12.81640625" style="745" customWidth="1"/>
    <col min="7" max="8" width="8.81640625" style="741"/>
    <col min="9" max="9" width="11.81640625" style="741" customWidth="1"/>
    <col min="10" max="10" width="48.54296875" style="741" bestFit="1" customWidth="1"/>
    <col min="11" max="16384" width="8.81640625" style="741"/>
  </cols>
  <sheetData>
    <row r="2" spans="2:10" s="736" customFormat="1" ht="30.65" customHeight="1" x14ac:dyDescent="0.35">
      <c r="B2" s="737" t="s">
        <v>0</v>
      </c>
      <c r="C2" s="737" t="s">
        <v>1846</v>
      </c>
      <c r="D2" s="750" t="s">
        <v>1853</v>
      </c>
      <c r="E2" s="737" t="s">
        <v>1854</v>
      </c>
      <c r="F2" s="750" t="s">
        <v>1848</v>
      </c>
      <c r="H2" s="737" t="s">
        <v>0</v>
      </c>
      <c r="I2" s="737" t="s">
        <v>1784</v>
      </c>
      <c r="J2" s="737" t="s">
        <v>1785</v>
      </c>
    </row>
    <row r="3" spans="2:10" s="736" customFormat="1" ht="25" x14ac:dyDescent="0.35">
      <c r="B3" s="751">
        <v>1</v>
      </c>
      <c r="C3" s="752" t="s">
        <v>1852</v>
      </c>
      <c r="D3" s="751" t="s">
        <v>1850</v>
      </c>
      <c r="E3" s="753" t="s">
        <v>1844</v>
      </c>
      <c r="F3" s="754">
        <v>45940</v>
      </c>
      <c r="H3" s="738">
        <v>1</v>
      </c>
      <c r="I3" s="739"/>
      <c r="J3" s="740" t="s">
        <v>1786</v>
      </c>
    </row>
    <row r="4" spans="2:10" ht="25" x14ac:dyDescent="0.35">
      <c r="B4" s="751">
        <v>2</v>
      </c>
      <c r="C4" s="752" t="s">
        <v>1842</v>
      </c>
      <c r="D4" s="751" t="s">
        <v>1850</v>
      </c>
      <c r="E4" s="753" t="s">
        <v>1844</v>
      </c>
      <c r="F4" s="754">
        <v>45940</v>
      </c>
      <c r="H4" s="738">
        <v>2</v>
      </c>
      <c r="I4" s="742"/>
      <c r="J4" s="740" t="s">
        <v>1787</v>
      </c>
    </row>
    <row r="5" spans="2:10" ht="50" x14ac:dyDescent="0.35">
      <c r="B5" s="751">
        <v>3</v>
      </c>
      <c r="C5" s="752" t="s">
        <v>1851</v>
      </c>
      <c r="D5" s="751" t="s">
        <v>1850</v>
      </c>
      <c r="E5" s="753" t="s">
        <v>1847</v>
      </c>
      <c r="F5" s="754">
        <v>45940</v>
      </c>
      <c r="H5" s="738">
        <v>3</v>
      </c>
      <c r="I5" s="742"/>
      <c r="J5" s="740" t="s">
        <v>1787</v>
      </c>
    </row>
    <row r="6" spans="2:10" ht="39.65" customHeight="1" x14ac:dyDescent="0.35">
      <c r="B6" s="751">
        <v>4</v>
      </c>
      <c r="C6" s="752" t="s">
        <v>1843</v>
      </c>
      <c r="D6" s="751" t="s">
        <v>1850</v>
      </c>
      <c r="E6" s="753" t="s">
        <v>1844</v>
      </c>
      <c r="F6" s="754">
        <v>45940</v>
      </c>
      <c r="H6" s="738">
        <v>4</v>
      </c>
      <c r="I6" s="755"/>
      <c r="J6" s="740" t="s">
        <v>1857</v>
      </c>
    </row>
    <row r="7" spans="2:10" ht="37.5" x14ac:dyDescent="0.35">
      <c r="B7" s="751">
        <v>5</v>
      </c>
      <c r="C7" s="740" t="s">
        <v>1849</v>
      </c>
      <c r="D7" s="751" t="s">
        <v>1850</v>
      </c>
      <c r="E7" s="753" t="s">
        <v>1845</v>
      </c>
      <c r="F7" s="754">
        <v>45940</v>
      </c>
      <c r="H7" s="738">
        <v>5</v>
      </c>
      <c r="I7" s="743"/>
      <c r="J7" s="740" t="s">
        <v>1858</v>
      </c>
    </row>
    <row r="8" spans="2:10" ht="49.75" customHeight="1" x14ac:dyDescent="0.35">
      <c r="H8" s="738">
        <v>6</v>
      </c>
      <c r="I8" s="744"/>
      <c r="J8" s="740" t="s">
        <v>1859</v>
      </c>
    </row>
    <row r="9" spans="2:10" ht="36.65" customHeight="1" x14ac:dyDescent="0.35">
      <c r="H9" s="738">
        <v>7</v>
      </c>
      <c r="I9" s="746"/>
      <c r="J9" s="740" t="s">
        <v>1788</v>
      </c>
    </row>
    <row r="10" spans="2:10" s="747" customFormat="1" ht="46.4" customHeight="1" x14ac:dyDescent="0.35">
      <c r="E10" s="748"/>
      <c r="F10" s="748"/>
      <c r="H10" s="738">
        <v>8</v>
      </c>
      <c r="I10" s="740" t="s">
        <v>1856</v>
      </c>
      <c r="J10" s="740" t="s">
        <v>1789</v>
      </c>
    </row>
    <row r="11" spans="2:10" s="747" customFormat="1" ht="46.4" customHeight="1" x14ac:dyDescent="0.35">
      <c r="E11" s="748"/>
      <c r="F11" s="748"/>
    </row>
    <row r="12" spans="2:10" s="747" customFormat="1" ht="46.4" customHeight="1" x14ac:dyDescent="0.35">
      <c r="E12" s="748"/>
      <c r="F12" s="748"/>
    </row>
    <row r="13" spans="2:10" s="747" customFormat="1" ht="46.4" customHeight="1" x14ac:dyDescent="0.35">
      <c r="E13" s="748"/>
      <c r="F13" s="748"/>
    </row>
    <row r="14" spans="2:10" s="747" customFormat="1" ht="46.4" customHeight="1" x14ac:dyDescent="0.35">
      <c r="E14" s="748"/>
      <c r="F14" s="748"/>
    </row>
    <row r="15" spans="2:10" s="747" customFormat="1" ht="46.4" customHeight="1" x14ac:dyDescent="0.35">
      <c r="E15" s="748"/>
      <c r="F15" s="748"/>
    </row>
    <row r="16" spans="2:10" s="747" customFormat="1" ht="46.4" customHeight="1" x14ac:dyDescent="0.35">
      <c r="E16" s="748"/>
      <c r="F16" s="748"/>
    </row>
    <row r="17" spans="8:10" x14ac:dyDescent="0.35">
      <c r="H17" s="747"/>
      <c r="I17" s="747"/>
      <c r="J17" s="747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DC47-8739-427B-B549-6E5D48D7E84C}">
  <dimension ref="A1:Z36"/>
  <sheetViews>
    <sheetView showGridLines="0" topLeftCell="A12" workbookViewId="0">
      <selection activeCell="H7" sqref="H7"/>
    </sheetView>
  </sheetViews>
  <sheetFormatPr defaultColWidth="8.54296875" defaultRowHeight="12.5" x14ac:dyDescent="0.35"/>
  <cols>
    <col min="1" max="1" width="5.81640625" style="158" customWidth="1"/>
    <col min="2" max="2" width="34.81640625" style="158" customWidth="1"/>
    <col min="3" max="3" width="70.1796875" style="158" customWidth="1"/>
    <col min="4" max="4" width="20.453125" style="171" customWidth="1"/>
    <col min="5" max="5" width="14.81640625" style="172" customWidth="1"/>
    <col min="6" max="6" width="17.54296875" style="158" customWidth="1"/>
    <col min="7" max="7" width="18.54296875" style="158" customWidth="1"/>
    <col min="8" max="10" width="7.54296875" style="158" customWidth="1"/>
    <col min="11" max="19" width="7.453125" style="158" customWidth="1"/>
    <col min="20" max="20" width="7.81640625" style="158" customWidth="1"/>
    <col min="21" max="22" width="7.453125" style="158" customWidth="1"/>
    <col min="23" max="23" width="9.54296875" style="158" customWidth="1"/>
    <col min="24" max="24" width="12.453125" style="158" customWidth="1"/>
    <col min="25" max="25" width="5.54296875" style="158" customWidth="1"/>
    <col min="26" max="16384" width="8.54296875" style="158"/>
  </cols>
  <sheetData>
    <row r="1" spans="1:26" s="3" customFormat="1" ht="15.5" x14ac:dyDescent="0.35">
      <c r="B1" s="223"/>
      <c r="D1" s="155"/>
      <c r="E1" s="156"/>
    </row>
    <row r="2" spans="1:26" s="3" customFormat="1" x14ac:dyDescent="0.35">
      <c r="D2" s="155"/>
      <c r="E2" s="156"/>
    </row>
    <row r="3" spans="1:26" s="3" customFormat="1" ht="30.65" customHeight="1" x14ac:dyDescent="0.35">
      <c r="A3" s="157" t="s">
        <v>1792</v>
      </c>
      <c r="D3" s="155"/>
      <c r="E3" s="156"/>
    </row>
    <row r="4" spans="1:26" s="3" customFormat="1" ht="30.65" customHeight="1" x14ac:dyDescent="0.35">
      <c r="A4" s="749" t="s">
        <v>1855</v>
      </c>
      <c r="D4" s="155"/>
      <c r="E4" s="156"/>
    </row>
    <row r="5" spans="1:26" s="163" customFormat="1" ht="16.75" customHeight="1" x14ac:dyDescent="0.35">
      <c r="A5" s="1444" t="s">
        <v>0</v>
      </c>
      <c r="B5" s="1444" t="s">
        <v>235</v>
      </c>
      <c r="C5" s="1445" t="s">
        <v>236</v>
      </c>
      <c r="D5" s="1444" t="s">
        <v>237</v>
      </c>
      <c r="E5" s="1447" t="s">
        <v>1796</v>
      </c>
      <c r="F5" s="1438" t="s">
        <v>1797</v>
      </c>
      <c r="G5" s="1440" t="s">
        <v>1798</v>
      </c>
      <c r="H5" s="1440"/>
      <c r="I5" s="1440"/>
      <c r="J5" s="1440"/>
      <c r="K5" s="1440"/>
      <c r="L5" s="1440"/>
      <c r="M5" s="1440"/>
      <c r="N5" s="1440"/>
      <c r="O5" s="1440"/>
      <c r="P5" s="1440"/>
      <c r="Q5" s="1440"/>
      <c r="R5" s="1440"/>
      <c r="S5" s="1440"/>
      <c r="T5" s="1440"/>
      <c r="U5" s="1441" t="s">
        <v>1801</v>
      </c>
      <c r="V5" s="1442" t="s">
        <v>1800</v>
      </c>
      <c r="W5" s="1443" t="s">
        <v>1802</v>
      </c>
      <c r="X5" s="1443"/>
      <c r="Y5" s="1443"/>
    </row>
    <row r="6" spans="1:26" s="163" customFormat="1" ht="39" x14ac:dyDescent="0.35">
      <c r="A6" s="1444"/>
      <c r="B6" s="1444"/>
      <c r="C6" s="1446"/>
      <c r="D6" s="1444"/>
      <c r="E6" s="1447"/>
      <c r="F6" s="1439"/>
      <c r="G6" s="731" t="s">
        <v>238</v>
      </c>
      <c r="H6" s="731" t="s">
        <v>1803</v>
      </c>
      <c r="I6" s="731" t="s">
        <v>1804</v>
      </c>
      <c r="J6" s="731" t="s">
        <v>1805</v>
      </c>
      <c r="K6" s="731" t="s">
        <v>239</v>
      </c>
      <c r="L6" s="731" t="s">
        <v>240</v>
      </c>
      <c r="M6" s="731" t="s">
        <v>241</v>
      </c>
      <c r="N6" s="731" t="s">
        <v>242</v>
      </c>
      <c r="O6" s="731" t="s">
        <v>243</v>
      </c>
      <c r="P6" s="731" t="s">
        <v>244</v>
      </c>
      <c r="Q6" s="731" t="s">
        <v>245</v>
      </c>
      <c r="R6" s="731" t="s">
        <v>246</v>
      </c>
      <c r="S6" s="731" t="s">
        <v>247</v>
      </c>
      <c r="T6" s="731" t="s">
        <v>1799</v>
      </c>
      <c r="U6" s="1441"/>
      <c r="V6" s="1442"/>
      <c r="W6" s="732" t="s">
        <v>248</v>
      </c>
      <c r="X6" s="732" t="s">
        <v>249</v>
      </c>
      <c r="Y6" s="732" t="s">
        <v>24</v>
      </c>
    </row>
    <row r="7" spans="1:26" s="163" customFormat="1" ht="13" x14ac:dyDescent="0.35">
      <c r="A7" s="159" t="s">
        <v>20</v>
      </c>
      <c r="B7" s="160" t="s">
        <v>272</v>
      </c>
      <c r="C7" s="159"/>
      <c r="D7" s="161"/>
      <c r="E7" s="162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</row>
    <row r="8" spans="1:26" ht="16.399999999999999" customHeight="1" x14ac:dyDescent="0.35">
      <c r="A8" s="1433">
        <v>1</v>
      </c>
      <c r="B8" s="1430" t="s">
        <v>273</v>
      </c>
      <c r="C8" s="158" t="s">
        <v>277</v>
      </c>
      <c r="D8" s="166"/>
      <c r="E8" s="162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</row>
    <row r="9" spans="1:26" ht="16.399999999999999" customHeight="1" x14ac:dyDescent="0.35">
      <c r="A9" s="1434"/>
      <c r="B9" s="1431"/>
      <c r="C9" s="173" t="s">
        <v>275</v>
      </c>
      <c r="D9" s="166"/>
      <c r="E9" s="162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</row>
    <row r="10" spans="1:26" ht="16.399999999999999" customHeight="1" x14ac:dyDescent="0.35">
      <c r="A10" s="1434"/>
      <c r="B10" s="1431"/>
      <c r="C10" s="173" t="s">
        <v>276</v>
      </c>
      <c r="D10" s="166"/>
      <c r="E10" s="162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</row>
    <row r="11" spans="1:26" ht="16.399999999999999" customHeight="1" x14ac:dyDescent="0.35">
      <c r="A11" s="1435"/>
      <c r="B11" s="1432"/>
      <c r="C11" s="173" t="s">
        <v>274</v>
      </c>
      <c r="D11" s="166"/>
      <c r="E11" s="162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</row>
    <row r="12" spans="1:26" ht="16.399999999999999" customHeight="1" x14ac:dyDescent="0.35">
      <c r="A12" s="1433">
        <v>2</v>
      </c>
      <c r="B12" s="1436" t="s">
        <v>278</v>
      </c>
      <c r="C12" s="41" t="s">
        <v>279</v>
      </c>
      <c r="D12" s="166"/>
      <c r="E12" s="162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</row>
    <row r="13" spans="1:26" x14ac:dyDescent="0.35">
      <c r="A13" s="1435"/>
      <c r="B13" s="1437"/>
      <c r="C13" s="41" t="s">
        <v>260</v>
      </c>
      <c r="D13" s="166"/>
      <c r="E13" s="162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</row>
    <row r="14" spans="1:26" s="163" customFormat="1" ht="13" x14ac:dyDescent="0.35">
      <c r="A14" s="159" t="s">
        <v>21</v>
      </c>
      <c r="B14" s="160" t="s">
        <v>280</v>
      </c>
      <c r="C14" s="159"/>
      <c r="D14" s="161"/>
      <c r="E14" s="162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</row>
    <row r="15" spans="1:26" x14ac:dyDescent="0.35">
      <c r="A15" s="164">
        <v>1</v>
      </c>
      <c r="B15" s="165" t="s">
        <v>281</v>
      </c>
      <c r="C15" s="173" t="s">
        <v>1806</v>
      </c>
      <c r="D15" s="166"/>
      <c r="E15" s="162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</row>
    <row r="16" spans="1:26" s="163" customFormat="1" ht="25" x14ac:dyDescent="0.35">
      <c r="A16" s="164">
        <v>2</v>
      </c>
      <c r="B16" s="165" t="s">
        <v>256</v>
      </c>
      <c r="C16" s="173" t="s">
        <v>257</v>
      </c>
      <c r="D16" s="166"/>
      <c r="E16" s="162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58"/>
    </row>
    <row r="17" spans="1:25" ht="25" x14ac:dyDescent="0.35">
      <c r="A17" s="164">
        <v>3</v>
      </c>
      <c r="B17" s="164" t="s">
        <v>258</v>
      </c>
      <c r="C17" s="173" t="s">
        <v>259</v>
      </c>
      <c r="D17" s="166"/>
      <c r="E17" s="162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</row>
    <row r="18" spans="1:25" s="163" customFormat="1" ht="13" x14ac:dyDescent="0.35">
      <c r="A18" s="159" t="s">
        <v>30</v>
      </c>
      <c r="B18" s="160" t="s">
        <v>282</v>
      </c>
      <c r="C18" s="43"/>
      <c r="D18" s="161"/>
      <c r="E18" s="162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</row>
    <row r="19" spans="1:25" s="163" customFormat="1" ht="13" x14ac:dyDescent="0.35">
      <c r="A19" s="159" t="s">
        <v>2</v>
      </c>
      <c r="B19" s="159" t="s">
        <v>5</v>
      </c>
      <c r="C19" s="43"/>
      <c r="D19" s="161"/>
      <c r="E19" s="162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</row>
    <row r="20" spans="1:25" ht="47.9" customHeight="1" x14ac:dyDescent="0.35">
      <c r="A20" s="164">
        <v>1</v>
      </c>
      <c r="B20" s="165" t="s">
        <v>283</v>
      </c>
      <c r="C20" s="173" t="s">
        <v>284</v>
      </c>
      <c r="D20" s="166"/>
      <c r="E20" s="162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</row>
    <row r="21" spans="1:25" ht="36" customHeight="1" x14ac:dyDescent="0.35">
      <c r="A21" s="164">
        <v>2</v>
      </c>
      <c r="B21" s="164" t="s">
        <v>285</v>
      </c>
      <c r="C21" s="173" t="s">
        <v>286</v>
      </c>
      <c r="D21" s="166"/>
      <c r="E21" s="162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</row>
    <row r="22" spans="1:25" ht="36.65" customHeight="1" x14ac:dyDescent="0.35">
      <c r="A22" s="164">
        <v>3</v>
      </c>
      <c r="B22" s="164" t="s">
        <v>287</v>
      </c>
      <c r="C22" s="173" t="s">
        <v>265</v>
      </c>
      <c r="D22" s="166"/>
      <c r="E22" s="162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</row>
    <row r="23" spans="1:25" ht="37.5" x14ac:dyDescent="0.35">
      <c r="A23" s="164">
        <v>4</v>
      </c>
      <c r="B23" s="164" t="s">
        <v>263</v>
      </c>
      <c r="C23" s="173" t="s">
        <v>264</v>
      </c>
      <c r="D23" s="166"/>
      <c r="E23" s="162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</row>
    <row r="24" spans="1:25" s="163" customFormat="1" ht="13" x14ac:dyDescent="0.35">
      <c r="A24" s="159" t="s">
        <v>4</v>
      </c>
      <c r="B24" s="159" t="s">
        <v>3</v>
      </c>
      <c r="C24" s="43"/>
      <c r="D24" s="161"/>
      <c r="E24" s="162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</row>
    <row r="25" spans="1:25" ht="50" x14ac:dyDescent="0.35">
      <c r="A25" s="164">
        <v>1</v>
      </c>
      <c r="B25" s="164" t="s">
        <v>250</v>
      </c>
      <c r="C25" s="173" t="s">
        <v>271</v>
      </c>
      <c r="D25" s="166"/>
      <c r="E25" s="162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</row>
    <row r="26" spans="1:25" x14ac:dyDescent="0.35">
      <c r="A26" s="164">
        <v>2</v>
      </c>
      <c r="B26" s="164" t="s">
        <v>251</v>
      </c>
      <c r="C26" s="173" t="s">
        <v>288</v>
      </c>
      <c r="D26" s="166"/>
      <c r="E26" s="162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</row>
    <row r="27" spans="1:25" s="163" customFormat="1" ht="13" x14ac:dyDescent="0.35">
      <c r="A27" s="159" t="s">
        <v>9</v>
      </c>
      <c r="B27" s="159" t="s">
        <v>10</v>
      </c>
      <c r="C27" s="43"/>
      <c r="D27" s="161"/>
      <c r="E27" s="162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</row>
    <row r="28" spans="1:25" ht="25" x14ac:dyDescent="0.35">
      <c r="A28" s="169">
        <v>1</v>
      </c>
      <c r="B28" s="164" t="s">
        <v>252</v>
      </c>
      <c r="C28" s="173" t="s">
        <v>266</v>
      </c>
      <c r="D28" s="166"/>
      <c r="E28" s="162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</row>
    <row r="29" spans="1:25" ht="25" x14ac:dyDescent="0.35">
      <c r="A29" s="167">
        <v>2</v>
      </c>
      <c r="B29" s="170" t="s">
        <v>253</v>
      </c>
      <c r="C29" s="173" t="s">
        <v>267</v>
      </c>
      <c r="D29" s="166"/>
      <c r="E29" s="162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</row>
    <row r="30" spans="1:25" ht="37.5" x14ac:dyDescent="0.35">
      <c r="A30" s="167">
        <v>3</v>
      </c>
      <c r="B30" s="168" t="s">
        <v>268</v>
      </c>
      <c r="C30" s="173" t="s">
        <v>269</v>
      </c>
      <c r="D30" s="166"/>
      <c r="E30" s="162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</row>
    <row r="31" spans="1:25" ht="25" x14ac:dyDescent="0.35">
      <c r="A31" s="169">
        <v>4</v>
      </c>
      <c r="B31" s="164" t="s">
        <v>16</v>
      </c>
      <c r="C31" s="173" t="s">
        <v>270</v>
      </c>
      <c r="D31" s="166"/>
      <c r="E31" s="162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</row>
    <row r="32" spans="1:25" s="163" customFormat="1" ht="13" x14ac:dyDescent="0.35">
      <c r="A32" s="159" t="s">
        <v>17</v>
      </c>
      <c r="B32" s="159" t="s">
        <v>19</v>
      </c>
      <c r="C32" s="43"/>
      <c r="D32" s="161"/>
      <c r="E32" s="162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</row>
    <row r="33" spans="1:25" ht="37.5" x14ac:dyDescent="0.35">
      <c r="A33" s="164">
        <v>1</v>
      </c>
      <c r="B33" s="164" t="s">
        <v>290</v>
      </c>
      <c r="C33" s="173" t="s">
        <v>1795</v>
      </c>
      <c r="D33" s="166"/>
      <c r="E33" s="162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</row>
    <row r="34" spans="1:25" ht="62.5" x14ac:dyDescent="0.35">
      <c r="A34" s="164">
        <v>2</v>
      </c>
      <c r="B34" s="164" t="s">
        <v>261</v>
      </c>
      <c r="C34" s="173" t="s">
        <v>262</v>
      </c>
      <c r="D34" s="166"/>
      <c r="E34" s="162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</row>
    <row r="35" spans="1:25" s="163" customFormat="1" ht="19.399999999999999" customHeight="1" x14ac:dyDescent="0.35">
      <c r="A35" s="159" t="s">
        <v>18</v>
      </c>
      <c r="B35" s="159" t="s">
        <v>289</v>
      </c>
      <c r="C35" s="43"/>
      <c r="D35" s="161"/>
      <c r="E35" s="162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</row>
    <row r="36" spans="1:25" ht="37.5" x14ac:dyDescent="0.35">
      <c r="A36" s="164">
        <v>1</v>
      </c>
      <c r="B36" s="164" t="s">
        <v>1793</v>
      </c>
      <c r="C36" s="41" t="s">
        <v>1794</v>
      </c>
      <c r="D36" s="166"/>
      <c r="E36" s="162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</row>
  </sheetData>
  <mergeCells count="14">
    <mergeCell ref="G5:T5"/>
    <mergeCell ref="U5:U6"/>
    <mergeCell ref="V5:V6"/>
    <mergeCell ref="W5:Y5"/>
    <mergeCell ref="A5:A6"/>
    <mergeCell ref="B5:B6"/>
    <mergeCell ref="C5:C6"/>
    <mergeCell ref="D5:D6"/>
    <mergeCell ref="E5:E6"/>
    <mergeCell ref="B8:B11"/>
    <mergeCell ref="A8:A11"/>
    <mergeCell ref="B12:B13"/>
    <mergeCell ref="A12:A13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CD5E-3208-4915-9EF6-D51E005EBA14}">
  <sheetPr>
    <tabColor rgb="FFFFFF00"/>
  </sheetPr>
  <dimension ref="B1:Z66"/>
  <sheetViews>
    <sheetView showGridLines="0"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16" sqref="V16"/>
    </sheetView>
  </sheetViews>
  <sheetFormatPr defaultColWidth="8.453125" defaultRowHeight="12.5" outlineLevelRow="1" x14ac:dyDescent="0.35"/>
  <cols>
    <col min="1" max="1" width="3.81640625" style="94" customWidth="1"/>
    <col min="2" max="2" width="6.1796875" style="95" customWidth="1"/>
    <col min="3" max="3" width="37.54296875" style="96" customWidth="1"/>
    <col min="4" max="4" width="11.81640625" style="96" customWidth="1"/>
    <col min="5" max="5" width="10.7265625" style="96" customWidth="1"/>
    <col min="6" max="6" width="9.54296875" style="1454" customWidth="1"/>
    <col min="7" max="18" width="9.453125" style="98" customWidth="1"/>
    <col min="19" max="19" width="11.81640625" style="98" customWidth="1"/>
    <col min="20" max="20" width="4" style="94" customWidth="1"/>
    <col min="21" max="21" width="10.90625" style="94" bestFit="1" customWidth="1"/>
    <col min="22" max="22" width="8.1796875" style="94" bestFit="1" customWidth="1"/>
    <col min="23" max="23" width="5.7265625" style="94" customWidth="1"/>
    <col min="24" max="16384" width="8.453125" style="94"/>
  </cols>
  <sheetData>
    <row r="1" spans="2:26" ht="6.65" customHeight="1" x14ac:dyDescent="0.35">
      <c r="B1" s="223"/>
    </row>
    <row r="2" spans="2:26" ht="6.65" customHeight="1" x14ac:dyDescent="0.35"/>
    <row r="3" spans="2:26" s="36" customFormat="1" ht="15.5" x14ac:dyDescent="0.25">
      <c r="B3" s="137" t="s">
        <v>400</v>
      </c>
      <c r="C3" s="39"/>
      <c r="D3" s="39"/>
      <c r="E3" s="39"/>
      <c r="F3" s="1455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33" t="s">
        <v>233</v>
      </c>
    </row>
    <row r="4" spans="2:26" s="101" customFormat="1" ht="30" customHeight="1" x14ac:dyDescent="0.35">
      <c r="B4" s="296" t="s">
        <v>0</v>
      </c>
      <c r="C4" s="296" t="s">
        <v>100</v>
      </c>
      <c r="D4" s="296" t="s">
        <v>2210</v>
      </c>
      <c r="E4" s="296" t="s">
        <v>373</v>
      </c>
      <c r="F4" s="1456" t="s">
        <v>405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7" t="s">
        <v>63</v>
      </c>
      <c r="O4" s="7" t="s">
        <v>64</v>
      </c>
      <c r="P4" s="7" t="s">
        <v>65</v>
      </c>
      <c r="Q4" s="7" t="s">
        <v>66</v>
      </c>
      <c r="R4" s="7" t="s">
        <v>67</v>
      </c>
      <c r="S4" s="7" t="s">
        <v>2246</v>
      </c>
      <c r="U4" s="1402" t="s">
        <v>405</v>
      </c>
      <c r="V4" s="269" t="s">
        <v>2260</v>
      </c>
      <c r="W4"/>
      <c r="X4" s="1402" t="s">
        <v>405</v>
      </c>
      <c r="Y4" s="269" t="s">
        <v>2260</v>
      </c>
    </row>
    <row r="5" spans="2:26" s="102" customFormat="1" ht="13" x14ac:dyDescent="0.35">
      <c r="B5" s="297" t="s">
        <v>184</v>
      </c>
      <c r="C5" s="298" t="s">
        <v>228</v>
      </c>
      <c r="D5" s="299">
        <f>'KQKD PET'!D5</f>
        <v>5652770.5</v>
      </c>
      <c r="E5" s="299">
        <f>'KQKD PET'!E5</f>
        <v>4895018.4000000004</v>
      </c>
      <c r="F5" s="1457">
        <f>'KQKD PET'!F5</f>
        <v>5879799</v>
      </c>
      <c r="G5" s="299">
        <f>G6+G7+G8</f>
        <v>533700</v>
      </c>
      <c r="H5" s="299">
        <f t="shared" ref="H5:R5" si="0">H6+H7+H8</f>
        <v>400275</v>
      </c>
      <c r="I5" s="299">
        <f t="shared" si="0"/>
        <v>578175</v>
      </c>
      <c r="J5" s="299">
        <f t="shared" si="0"/>
        <v>622650</v>
      </c>
      <c r="K5" s="299">
        <f t="shared" si="0"/>
        <v>622650</v>
      </c>
      <c r="L5" s="299">
        <f t="shared" si="0"/>
        <v>622650</v>
      </c>
      <c r="M5" s="299">
        <f t="shared" si="0"/>
        <v>622650</v>
      </c>
      <c r="N5" s="299">
        <f t="shared" si="0"/>
        <v>622650</v>
      </c>
      <c r="O5" s="299">
        <f t="shared" si="0"/>
        <v>622650</v>
      </c>
      <c r="P5" s="299">
        <f t="shared" si="0"/>
        <v>622650</v>
      </c>
      <c r="Q5" s="299">
        <f t="shared" si="0"/>
        <v>622650</v>
      </c>
      <c r="R5" s="299">
        <f t="shared" si="0"/>
        <v>622650</v>
      </c>
      <c r="S5" s="299">
        <f>SUM(G5:R5)</f>
        <v>7116000</v>
      </c>
      <c r="T5" s="106"/>
      <c r="V5" s="124">
        <f>S5/F5</f>
        <v>1.2102454522680113</v>
      </c>
    </row>
    <row r="6" spans="2:26" s="107" customFormat="1" x14ac:dyDescent="0.35">
      <c r="B6" s="300" t="s">
        <v>209</v>
      </c>
      <c r="C6" s="301" t="s">
        <v>327</v>
      </c>
      <c r="D6" s="302">
        <f>'KQKD PET'!D6</f>
        <v>5652770.5</v>
      </c>
      <c r="E6" s="302">
        <f>'KQKD PET'!E6</f>
        <v>4895018.4000000004</v>
      </c>
      <c r="F6" s="1458">
        <f>'KQKD PET'!F6</f>
        <v>5879799</v>
      </c>
      <c r="G6" s="302">
        <f>'KQKD PET'!G6+'KQKD HD'!F6</f>
        <v>533700</v>
      </c>
      <c r="H6" s="302">
        <f>'KQKD PET'!H6+'KQKD HD'!G6</f>
        <v>400275</v>
      </c>
      <c r="I6" s="302">
        <f>'KQKD PET'!I6+'KQKD HD'!H6</f>
        <v>578175</v>
      </c>
      <c r="J6" s="302">
        <f>'KQKD PET'!J6+'KQKD HD'!I6</f>
        <v>622650</v>
      </c>
      <c r="K6" s="302">
        <f>'KQKD PET'!K6+'KQKD HD'!J6</f>
        <v>622650</v>
      </c>
      <c r="L6" s="302">
        <f>'KQKD PET'!L6+'KQKD HD'!K6</f>
        <v>622650</v>
      </c>
      <c r="M6" s="302">
        <f>'KQKD PET'!M6+'KQKD HD'!L6</f>
        <v>622650</v>
      </c>
      <c r="N6" s="302">
        <f>'KQKD PET'!N6+'KQKD HD'!M6</f>
        <v>622650</v>
      </c>
      <c r="O6" s="302">
        <f>'KQKD PET'!O6+'KQKD HD'!N6</f>
        <v>622650</v>
      </c>
      <c r="P6" s="302">
        <f>'KQKD PET'!P6+'KQKD HD'!O6</f>
        <v>622650</v>
      </c>
      <c r="Q6" s="302">
        <f>'KQKD PET'!Q6+'KQKD HD'!P6</f>
        <v>622650</v>
      </c>
      <c r="R6" s="302">
        <f>'KQKD PET'!R6+'KQKD HD'!Q6</f>
        <v>622650</v>
      </c>
      <c r="S6" s="302">
        <f t="shared" ref="S6:S52" si="1">SUM(G6:R6)</f>
        <v>7116000</v>
      </c>
      <c r="T6" s="111"/>
      <c r="U6" s="107">
        <f>S6/F6</f>
        <v>1.2102454522680113</v>
      </c>
      <c r="V6" s="123">
        <f>S6/F6</f>
        <v>1.2102454522680113</v>
      </c>
    </row>
    <row r="7" spans="2:26" s="107" customFormat="1" hidden="1" x14ac:dyDescent="0.35">
      <c r="B7" s="300" t="s">
        <v>210</v>
      </c>
      <c r="C7" s="301" t="s">
        <v>328</v>
      </c>
      <c r="D7" s="302">
        <f>'KQKD PET'!D7</f>
        <v>0</v>
      </c>
      <c r="E7" s="302">
        <f>'KQKD PET'!E7</f>
        <v>0</v>
      </c>
      <c r="F7" s="1458">
        <f>'KQKD PET'!F7</f>
        <v>0</v>
      </c>
      <c r="G7" s="302">
        <f>'KQKD PET'!G7+'KQKD HD'!F7</f>
        <v>0</v>
      </c>
      <c r="H7" s="302">
        <f>'KQKD PET'!H7+'KQKD HD'!G7</f>
        <v>0</v>
      </c>
      <c r="I7" s="302">
        <f>'KQKD PET'!I7+'KQKD HD'!H7</f>
        <v>0</v>
      </c>
      <c r="J7" s="302">
        <f>'KQKD PET'!J7+'KQKD HD'!I7</f>
        <v>0</v>
      </c>
      <c r="K7" s="302">
        <f>'KQKD PET'!K7+'KQKD HD'!J7</f>
        <v>0</v>
      </c>
      <c r="L7" s="302">
        <f>'KQKD PET'!L7+'KQKD HD'!K7</f>
        <v>0</v>
      </c>
      <c r="M7" s="302">
        <f>'KQKD PET'!M7+'KQKD HD'!L7</f>
        <v>0</v>
      </c>
      <c r="N7" s="302">
        <f>'KQKD PET'!N7+'KQKD HD'!M7</f>
        <v>0</v>
      </c>
      <c r="O7" s="302">
        <f>'KQKD PET'!O7+'KQKD HD'!N7</f>
        <v>0</v>
      </c>
      <c r="P7" s="302">
        <f>'KQKD PET'!P7+'KQKD HD'!O7</f>
        <v>0</v>
      </c>
      <c r="Q7" s="302">
        <f>'KQKD PET'!Q7+'KQKD HD'!P7</f>
        <v>0</v>
      </c>
      <c r="R7" s="302">
        <f>'KQKD PET'!R7+'KQKD HD'!Q7</f>
        <v>0</v>
      </c>
      <c r="S7" s="302">
        <f t="shared" si="1"/>
        <v>0</v>
      </c>
      <c r="T7" s="111"/>
    </row>
    <row r="8" spans="2:26" s="107" customFormat="1" hidden="1" x14ac:dyDescent="0.35">
      <c r="B8" s="300" t="s">
        <v>211</v>
      </c>
      <c r="C8" s="301" t="s">
        <v>329</v>
      </c>
      <c r="D8" s="302">
        <f>'KQKD PET'!D8</f>
        <v>0</v>
      </c>
      <c r="E8" s="302">
        <f>'KQKD PET'!E8</f>
        <v>0</v>
      </c>
      <c r="F8" s="1458">
        <f>'KQKD PET'!F8</f>
        <v>0</v>
      </c>
      <c r="G8" s="302">
        <f>'KQKD PET'!G8+'KQKD HD'!F8</f>
        <v>0</v>
      </c>
      <c r="H8" s="302">
        <f>'KQKD PET'!H8+'KQKD HD'!G8</f>
        <v>0</v>
      </c>
      <c r="I8" s="302">
        <f>'KQKD PET'!I8+'KQKD HD'!H8</f>
        <v>0</v>
      </c>
      <c r="J8" s="302">
        <f>'KQKD PET'!J8+'KQKD HD'!I8</f>
        <v>0</v>
      </c>
      <c r="K8" s="302">
        <f>'KQKD PET'!K8+'KQKD HD'!J8</f>
        <v>0</v>
      </c>
      <c r="L8" s="302">
        <f>'KQKD PET'!L8+'KQKD HD'!K8</f>
        <v>0</v>
      </c>
      <c r="M8" s="302">
        <f>'KQKD PET'!M8+'KQKD HD'!L8</f>
        <v>0</v>
      </c>
      <c r="N8" s="302">
        <f>'KQKD PET'!N8+'KQKD HD'!M8</f>
        <v>0</v>
      </c>
      <c r="O8" s="302">
        <f>'KQKD PET'!O8+'KQKD HD'!N8</f>
        <v>0</v>
      </c>
      <c r="P8" s="302">
        <f>'KQKD PET'!P8+'KQKD HD'!O8</f>
        <v>0</v>
      </c>
      <c r="Q8" s="302">
        <f>'KQKD PET'!Q8+'KQKD HD'!P8</f>
        <v>0</v>
      </c>
      <c r="R8" s="302">
        <f>'KQKD PET'!R8+'KQKD HD'!Q8</f>
        <v>0</v>
      </c>
      <c r="S8" s="302">
        <f t="shared" si="1"/>
        <v>0</v>
      </c>
      <c r="T8" s="111"/>
    </row>
    <row r="9" spans="2:26" s="112" customFormat="1" ht="14.5" x14ac:dyDescent="0.35">
      <c r="B9" s="303">
        <v>2</v>
      </c>
      <c r="C9" s="304" t="s">
        <v>185</v>
      </c>
      <c r="D9" s="305">
        <f>'KQKD PET'!D9</f>
        <v>78915665269</v>
      </c>
      <c r="E9" s="305">
        <f>'KQKD PET'!E9</f>
        <v>74523104085</v>
      </c>
      <c r="F9" s="1400">
        <f>'KQKD PET'!F9</f>
        <v>97725917198</v>
      </c>
      <c r="G9" s="305">
        <f t="shared" ref="G9:R9" si="2">G10+G11+G12+G13</f>
        <v>7469550000</v>
      </c>
      <c r="H9" s="305">
        <f t="shared" si="2"/>
        <v>5602162500</v>
      </c>
      <c r="I9" s="305">
        <f t="shared" si="2"/>
        <v>8092012500</v>
      </c>
      <c r="J9" s="305">
        <f t="shared" si="2"/>
        <v>8714475000</v>
      </c>
      <c r="K9" s="305">
        <f t="shared" si="2"/>
        <v>8714475000</v>
      </c>
      <c r="L9" s="305">
        <f t="shared" si="2"/>
        <v>8714475000</v>
      </c>
      <c r="M9" s="305">
        <f t="shared" si="2"/>
        <v>8714475000</v>
      </c>
      <c r="N9" s="305">
        <f t="shared" si="2"/>
        <v>8714475000</v>
      </c>
      <c r="O9" s="305">
        <f t="shared" si="2"/>
        <v>8714475000</v>
      </c>
      <c r="P9" s="305">
        <f t="shared" si="2"/>
        <v>8714475000</v>
      </c>
      <c r="Q9" s="305">
        <f t="shared" si="2"/>
        <v>8714475000</v>
      </c>
      <c r="R9" s="305">
        <f t="shared" si="2"/>
        <v>8714475000</v>
      </c>
      <c r="S9" s="305">
        <f t="shared" si="1"/>
        <v>99594000000</v>
      </c>
      <c r="U9" s="1403">
        <f>F9/F$9</f>
        <v>1</v>
      </c>
      <c r="V9" s="1403">
        <f>S9/S$9</f>
        <v>1</v>
      </c>
      <c r="W9"/>
      <c r="X9" s="1404">
        <f>F9/F5</f>
        <v>16620.62209915679</v>
      </c>
      <c r="Y9" s="1453">
        <f>S9/S5</f>
        <v>13995.784148397976</v>
      </c>
      <c r="Z9" s="1405">
        <f>Y9-X9</f>
        <v>-2624.8379507588143</v>
      </c>
    </row>
    <row r="10" spans="2:26" ht="14.5" outlineLevel="1" x14ac:dyDescent="0.35">
      <c r="B10" s="306" t="s">
        <v>214</v>
      </c>
      <c r="C10" s="301" t="s">
        <v>327</v>
      </c>
      <c r="D10" s="307">
        <f>'KQKD PET'!D10</f>
        <v>78915665269</v>
      </c>
      <c r="E10" s="307">
        <f>'KQKD PET'!E10</f>
        <v>74523104085</v>
      </c>
      <c r="F10" s="1459">
        <f>'KQKD PET'!F10</f>
        <v>97725917198</v>
      </c>
      <c r="G10" s="307">
        <f>'KQKD PET'!G10+'KQKD HD'!F10</f>
        <v>7469550000</v>
      </c>
      <c r="H10" s="307">
        <f>'KQKD PET'!H10+'KQKD HD'!G10</f>
        <v>5602162500</v>
      </c>
      <c r="I10" s="307">
        <f>'KQKD PET'!I10+'KQKD HD'!H10</f>
        <v>8092012500</v>
      </c>
      <c r="J10" s="307">
        <f>'KQKD PET'!J10+'KQKD HD'!I10</f>
        <v>8714475000</v>
      </c>
      <c r="K10" s="307">
        <f>'KQKD PET'!K10+'KQKD HD'!J10</f>
        <v>8714475000</v>
      </c>
      <c r="L10" s="307">
        <f>'KQKD PET'!L10+'KQKD HD'!K10</f>
        <v>8714475000</v>
      </c>
      <c r="M10" s="307">
        <f>'KQKD PET'!M10+'KQKD HD'!L10</f>
        <v>8714475000</v>
      </c>
      <c r="N10" s="307">
        <f>'KQKD PET'!N10+'KQKD HD'!M10</f>
        <v>8714475000</v>
      </c>
      <c r="O10" s="307">
        <f>'KQKD PET'!O10+'KQKD HD'!N10</f>
        <v>8714475000</v>
      </c>
      <c r="P10" s="307">
        <f>'KQKD PET'!P10+'KQKD HD'!O10</f>
        <v>8714475000</v>
      </c>
      <c r="Q10" s="307">
        <f>'KQKD PET'!Q10+'KQKD HD'!P10</f>
        <v>8714475000</v>
      </c>
      <c r="R10" s="307">
        <f>'KQKD PET'!R10+'KQKD HD'!Q10</f>
        <v>8714475000</v>
      </c>
      <c r="S10" s="307">
        <f t="shared" si="1"/>
        <v>99594000000</v>
      </c>
      <c r="U10" s="1406">
        <f t="shared" ref="U10:U54" si="3">F10/F$9</f>
        <v>1</v>
      </c>
      <c r="V10" s="1406">
        <f t="shared" ref="V10:V54" si="4">S10/S$9</f>
        <v>1</v>
      </c>
      <c r="W10"/>
      <c r="X10"/>
      <c r="Y10"/>
      <c r="Z10"/>
    </row>
    <row r="11" spans="2:26" ht="14.5" hidden="1" outlineLevel="1" x14ac:dyDescent="0.35">
      <c r="B11" s="306" t="s">
        <v>212</v>
      </c>
      <c r="C11" s="301" t="s">
        <v>328</v>
      </c>
      <c r="D11" s="307">
        <f>'KQKD PET'!D11</f>
        <v>0</v>
      </c>
      <c r="E11" s="307">
        <f>'KQKD PET'!E11</f>
        <v>0</v>
      </c>
      <c r="F11" s="1459">
        <f>'KQKD PET'!F11</f>
        <v>0</v>
      </c>
      <c r="G11" s="307">
        <f>'KQKD PET'!G11+'KQKD HD'!F11</f>
        <v>0</v>
      </c>
      <c r="H11" s="307">
        <f>'KQKD PET'!H11+'KQKD HD'!G11</f>
        <v>0</v>
      </c>
      <c r="I11" s="307">
        <f>'KQKD PET'!I11+'KQKD HD'!H11</f>
        <v>0</v>
      </c>
      <c r="J11" s="307">
        <f>'KQKD PET'!J11+'KQKD HD'!I11</f>
        <v>0</v>
      </c>
      <c r="K11" s="307">
        <f>'KQKD PET'!K11+'KQKD HD'!J11</f>
        <v>0</v>
      </c>
      <c r="L11" s="307">
        <f>'KQKD PET'!L11+'KQKD HD'!K11</f>
        <v>0</v>
      </c>
      <c r="M11" s="307">
        <f>'KQKD PET'!M11+'KQKD HD'!L11</f>
        <v>0</v>
      </c>
      <c r="N11" s="307">
        <f>'KQKD PET'!N11+'KQKD HD'!M11</f>
        <v>0</v>
      </c>
      <c r="O11" s="307">
        <f>'KQKD PET'!O11+'KQKD HD'!N11</f>
        <v>0</v>
      </c>
      <c r="P11" s="307">
        <f>'KQKD PET'!P11+'KQKD HD'!O11</f>
        <v>0</v>
      </c>
      <c r="Q11" s="307">
        <f>'KQKD PET'!Q11+'KQKD HD'!P11</f>
        <v>0</v>
      </c>
      <c r="R11" s="307">
        <f>'KQKD PET'!R11+'KQKD HD'!Q11</f>
        <v>0</v>
      </c>
      <c r="S11" s="307">
        <f t="shared" si="1"/>
        <v>0</v>
      </c>
      <c r="U11" s="1407">
        <f t="shared" si="3"/>
        <v>0</v>
      </c>
      <c r="V11" s="1407">
        <f t="shared" si="4"/>
        <v>0</v>
      </c>
      <c r="W11"/>
      <c r="X11"/>
      <c r="Y11"/>
      <c r="Z11"/>
    </row>
    <row r="12" spans="2:26" ht="14.5" hidden="1" outlineLevel="1" x14ac:dyDescent="0.35">
      <c r="B12" s="306" t="s">
        <v>213</v>
      </c>
      <c r="C12" s="301" t="s">
        <v>329</v>
      </c>
      <c r="D12" s="307">
        <f>'KQKD PET'!D12</f>
        <v>0</v>
      </c>
      <c r="E12" s="307">
        <f>'KQKD PET'!E12</f>
        <v>0</v>
      </c>
      <c r="F12" s="1459">
        <f>'KQKD PET'!F12</f>
        <v>0</v>
      </c>
      <c r="G12" s="307">
        <f>'KQKD PET'!G12+'KQKD HD'!F12</f>
        <v>0</v>
      </c>
      <c r="H12" s="307">
        <f>'KQKD PET'!H12+'KQKD HD'!G12</f>
        <v>0</v>
      </c>
      <c r="I12" s="307">
        <f>'KQKD PET'!I12+'KQKD HD'!H12</f>
        <v>0</v>
      </c>
      <c r="J12" s="307">
        <f>'KQKD PET'!J12+'KQKD HD'!I12</f>
        <v>0</v>
      </c>
      <c r="K12" s="307">
        <f>'KQKD PET'!K12+'KQKD HD'!J12</f>
        <v>0</v>
      </c>
      <c r="L12" s="307">
        <f>'KQKD PET'!L12+'KQKD HD'!K12</f>
        <v>0</v>
      </c>
      <c r="M12" s="307">
        <f>'KQKD PET'!M12+'KQKD HD'!L12</f>
        <v>0</v>
      </c>
      <c r="N12" s="307">
        <f>'KQKD PET'!N12+'KQKD HD'!M12</f>
        <v>0</v>
      </c>
      <c r="O12" s="307">
        <f>'KQKD PET'!O12+'KQKD HD'!N12</f>
        <v>0</v>
      </c>
      <c r="P12" s="307">
        <f>'KQKD PET'!P12+'KQKD HD'!O12</f>
        <v>0</v>
      </c>
      <c r="Q12" s="307">
        <f>'KQKD PET'!Q12+'KQKD HD'!P12</f>
        <v>0</v>
      </c>
      <c r="R12" s="307">
        <f>'KQKD PET'!R12+'KQKD HD'!Q12</f>
        <v>0</v>
      </c>
      <c r="S12" s="307">
        <f t="shared" si="1"/>
        <v>0</v>
      </c>
      <c r="U12" s="1406">
        <f t="shared" si="3"/>
        <v>0</v>
      </c>
      <c r="V12" s="1406">
        <f t="shared" si="4"/>
        <v>0</v>
      </c>
      <c r="W12"/>
      <c r="X12"/>
      <c r="Y12"/>
      <c r="Z12"/>
    </row>
    <row r="13" spans="2:26" ht="14.5" hidden="1" outlineLevel="1" x14ac:dyDescent="0.35">
      <c r="B13" s="306" t="s">
        <v>215</v>
      </c>
      <c r="C13" s="308" t="s">
        <v>25</v>
      </c>
      <c r="D13" s="307">
        <f>'KQKD PET'!D13</f>
        <v>0</v>
      </c>
      <c r="E13" s="307">
        <f>'KQKD PET'!E13</f>
        <v>0</v>
      </c>
      <c r="F13" s="1459">
        <f>'KQKD PET'!F13</f>
        <v>0</v>
      </c>
      <c r="G13" s="307">
        <f>'KQKD PET'!G13+'KQKD HD'!F13</f>
        <v>0</v>
      </c>
      <c r="H13" s="307">
        <f>'KQKD PET'!H13+'KQKD HD'!G13</f>
        <v>0</v>
      </c>
      <c r="I13" s="307">
        <f>'KQKD PET'!I13+'KQKD HD'!H13</f>
        <v>0</v>
      </c>
      <c r="J13" s="307">
        <f>'KQKD PET'!J13+'KQKD HD'!I13</f>
        <v>0</v>
      </c>
      <c r="K13" s="307">
        <f>'KQKD PET'!K13+'KQKD HD'!J13</f>
        <v>0</v>
      </c>
      <c r="L13" s="307">
        <f>'KQKD PET'!L13+'KQKD HD'!K13</f>
        <v>0</v>
      </c>
      <c r="M13" s="307">
        <f>'KQKD PET'!M13+'KQKD HD'!L13</f>
        <v>0</v>
      </c>
      <c r="N13" s="307">
        <f>'KQKD PET'!N13+'KQKD HD'!M13</f>
        <v>0</v>
      </c>
      <c r="O13" s="307">
        <f>'KQKD PET'!O13+'KQKD HD'!N13</f>
        <v>0</v>
      </c>
      <c r="P13" s="307">
        <f>'KQKD PET'!P13+'KQKD HD'!O13</f>
        <v>0</v>
      </c>
      <c r="Q13" s="307">
        <f>'KQKD PET'!Q13+'KQKD HD'!P13</f>
        <v>0</v>
      </c>
      <c r="R13" s="307">
        <f>'KQKD PET'!R13+'KQKD HD'!Q13</f>
        <v>0</v>
      </c>
      <c r="S13" s="307">
        <f t="shared" si="1"/>
        <v>0</v>
      </c>
      <c r="U13" s="1406">
        <f t="shared" si="3"/>
        <v>0</v>
      </c>
      <c r="V13" s="1406">
        <f t="shared" si="4"/>
        <v>0</v>
      </c>
      <c r="W13"/>
      <c r="X13"/>
      <c r="Y13"/>
      <c r="Z13"/>
    </row>
    <row r="14" spans="2:26" s="112" customFormat="1" ht="14.5" x14ac:dyDescent="0.35">
      <c r="B14" s="309">
        <v>3</v>
      </c>
      <c r="C14" s="310" t="s">
        <v>85</v>
      </c>
      <c r="D14" s="311">
        <f>'KQKD PET'!D14</f>
        <v>74913897665.5</v>
      </c>
      <c r="E14" s="311">
        <f>'KQKD PET'!E14</f>
        <v>70945682854</v>
      </c>
      <c r="F14" s="1460">
        <f>'KQKD PET'!F14</f>
        <v>87040525310.058365</v>
      </c>
      <c r="G14" s="311">
        <f t="shared" ref="G14:R14" ca="1" si="5">G15+G23</f>
        <v>6698985531.7207994</v>
      </c>
      <c r="H14" s="311">
        <f t="shared" ca="1" si="5"/>
        <v>5134533617.3494225</v>
      </c>
      <c r="I14" s="311">
        <f t="shared" ca="1" si="5"/>
        <v>7212616384.8445902</v>
      </c>
      <c r="J14" s="311">
        <f t="shared" ca="1" si="5"/>
        <v>7762938749.9683828</v>
      </c>
      <c r="K14" s="311">
        <f t="shared" ca="1" si="5"/>
        <v>7738076273.9683828</v>
      </c>
      <c r="L14" s="311">
        <f t="shared" ca="1" si="5"/>
        <v>7756725367.9683828</v>
      </c>
      <c r="M14" s="311">
        <f t="shared" ca="1" si="5"/>
        <v>7788253818.9683828</v>
      </c>
      <c r="N14" s="311">
        <f t="shared" ca="1" si="5"/>
        <v>7800220291.9683828</v>
      </c>
      <c r="O14" s="311">
        <f t="shared" ca="1" si="5"/>
        <v>7793194950.9683828</v>
      </c>
      <c r="P14" s="311">
        <f t="shared" ca="1" si="5"/>
        <v>7741770000.9683828</v>
      </c>
      <c r="Q14" s="311">
        <f t="shared" ca="1" si="5"/>
        <v>7756725367.9683828</v>
      </c>
      <c r="R14" s="311">
        <f t="shared" ca="1" si="5"/>
        <v>7746371134.9683828</v>
      </c>
      <c r="S14" s="311">
        <f t="shared" ca="1" si="1"/>
        <v>88930411491.630264</v>
      </c>
      <c r="U14" s="1406">
        <f t="shared" si="3"/>
        <v>0.89065958965325198</v>
      </c>
      <c r="V14" s="1406">
        <f t="shared" ca="1" si="4"/>
        <v>0.89292940831405776</v>
      </c>
      <c r="W14"/>
      <c r="X14"/>
      <c r="Y14"/>
      <c r="Z14"/>
    </row>
    <row r="15" spans="2:26" s="112" customFormat="1" ht="14.5" x14ac:dyDescent="0.35">
      <c r="B15" s="312">
        <v>3.1</v>
      </c>
      <c r="C15" s="313" t="s">
        <v>186</v>
      </c>
      <c r="D15" s="311">
        <f>'KQKD PET'!D15</f>
        <v>73435298631.5</v>
      </c>
      <c r="E15" s="311">
        <f>'KQKD PET'!E15</f>
        <v>69651631026</v>
      </c>
      <c r="F15" s="1460">
        <f>'KQKD PET'!F15</f>
        <v>85723903881.486938</v>
      </c>
      <c r="G15" s="311">
        <f t="shared" ref="G15:R15" ca="1" si="6">G16+G20+G21+G22</f>
        <v>6584621246.0065136</v>
      </c>
      <c r="H15" s="311">
        <f t="shared" ca="1" si="6"/>
        <v>5048760403.0637083</v>
      </c>
      <c r="I15" s="311">
        <f t="shared" ca="1" si="6"/>
        <v>7088721741.9874477</v>
      </c>
      <c r="J15" s="311">
        <f t="shared" ca="1" si="6"/>
        <v>7629513749.9683828</v>
      </c>
      <c r="K15" s="311">
        <f t="shared" ca="1" si="6"/>
        <v>7604651273.9683828</v>
      </c>
      <c r="L15" s="311">
        <f t="shared" ca="1" si="6"/>
        <v>7623300367.9683828</v>
      </c>
      <c r="M15" s="311">
        <f t="shared" ca="1" si="6"/>
        <v>7654828818.9683828</v>
      </c>
      <c r="N15" s="311">
        <f t="shared" ca="1" si="6"/>
        <v>7666795291.9683828</v>
      </c>
      <c r="O15" s="311">
        <f t="shared" ca="1" si="6"/>
        <v>7659769950.9683828</v>
      </c>
      <c r="P15" s="311">
        <f t="shared" ca="1" si="6"/>
        <v>7608345000.9683828</v>
      </c>
      <c r="Q15" s="311">
        <f t="shared" ca="1" si="6"/>
        <v>7623300367.9683828</v>
      </c>
      <c r="R15" s="311">
        <f t="shared" ca="1" si="6"/>
        <v>7612946134.9683828</v>
      </c>
      <c r="S15" s="311">
        <f t="shared" ca="1" si="1"/>
        <v>87405554348.773117</v>
      </c>
      <c r="U15" s="1408">
        <f t="shared" si="3"/>
        <v>0.87718699746561513</v>
      </c>
      <c r="V15" s="1408">
        <f t="shared" ca="1" si="4"/>
        <v>0.87761867530948767</v>
      </c>
      <c r="W15"/>
      <c r="X15"/>
      <c r="Y15"/>
      <c r="Z15"/>
    </row>
    <row r="16" spans="2:26" ht="14.5" x14ac:dyDescent="0.35">
      <c r="B16" s="314" t="s">
        <v>216</v>
      </c>
      <c r="C16" s="315" t="s">
        <v>293</v>
      </c>
      <c r="D16" s="316">
        <f>'KQKD PET'!D16</f>
        <v>66674046263</v>
      </c>
      <c r="E16" s="316">
        <f>'KQKD PET'!E16</f>
        <v>64023356129</v>
      </c>
      <c r="F16" s="1461">
        <f>'KQKD PET'!F16</f>
        <v>79307026326</v>
      </c>
      <c r="G16" s="316">
        <f>'KQKD PET'!G16+'KQKD HD'!F16</f>
        <v>6000000000</v>
      </c>
      <c r="H16" s="316">
        <f>'KQKD PET'!H16+'KQKD HD'!G16</f>
        <v>4500000000</v>
      </c>
      <c r="I16" s="316">
        <f>'KQKD PET'!I16+'KQKD HD'!H16</f>
        <v>6500000000</v>
      </c>
      <c r="J16" s="316">
        <f>'KQKD PET'!J16+'KQKD HD'!I16</f>
        <v>7000000000</v>
      </c>
      <c r="K16" s="316">
        <f>'KQKD PET'!K16+'KQKD HD'!J16</f>
        <v>7000000000</v>
      </c>
      <c r="L16" s="316">
        <f>'KQKD PET'!L16+'KQKD HD'!K16</f>
        <v>7000000000</v>
      </c>
      <c r="M16" s="316">
        <f>'KQKD PET'!M16+'KQKD HD'!L16</f>
        <v>7000000000</v>
      </c>
      <c r="N16" s="316">
        <f>'KQKD PET'!N16+'KQKD HD'!M16</f>
        <v>7000000000</v>
      </c>
      <c r="O16" s="316">
        <f>'KQKD PET'!O16+'KQKD HD'!N16</f>
        <v>7000000000</v>
      </c>
      <c r="P16" s="316">
        <f>'KQKD PET'!P16+'KQKD HD'!O16</f>
        <v>7000000000</v>
      </c>
      <c r="Q16" s="316">
        <f>'KQKD PET'!Q16+'KQKD HD'!P16</f>
        <v>7000000000</v>
      </c>
      <c r="R16" s="316">
        <f>'KQKD PET'!R16+'KQKD HD'!Q16</f>
        <v>7000000000</v>
      </c>
      <c r="S16" s="316">
        <f t="shared" si="1"/>
        <v>80000000000</v>
      </c>
      <c r="T16" s="123"/>
      <c r="U16" s="1408">
        <f t="shared" si="3"/>
        <v>0.81152501403817012</v>
      </c>
      <c r="V16" s="1408">
        <f t="shared" si="4"/>
        <v>0.80326124063698612</v>
      </c>
      <c r="W16"/>
      <c r="X16"/>
      <c r="Y16"/>
      <c r="Z16"/>
    </row>
    <row r="17" spans="2:26" s="125" customFormat="1" ht="14.5" outlineLevel="1" x14ac:dyDescent="0.35">
      <c r="B17" s="317" t="s">
        <v>217</v>
      </c>
      <c r="C17" s="318" t="s">
        <v>307</v>
      </c>
      <c r="D17" s="307">
        <f>'KQKD PET'!D17</f>
        <v>4304680024</v>
      </c>
      <c r="E17" s="307">
        <f>'KQKD PET'!E17</f>
        <v>5823164953</v>
      </c>
      <c r="F17" s="1459">
        <f>'KQKD PET'!F17</f>
        <v>8362915901</v>
      </c>
      <c r="G17" s="307">
        <f>'KQKD PET'!G17+'KQKD HD'!F17</f>
        <v>663000000</v>
      </c>
      <c r="H17" s="307">
        <f>'KQKD PET'!H17+'KQKD HD'!G17</f>
        <v>497250000</v>
      </c>
      <c r="I17" s="307">
        <f>'KQKD PET'!I17+'KQKD HD'!H17</f>
        <v>718250000</v>
      </c>
      <c r="J17" s="307">
        <f>'KQKD PET'!J17+'KQKD HD'!I17</f>
        <v>773500000</v>
      </c>
      <c r="K17" s="307">
        <f>'KQKD PET'!K17+'KQKD HD'!J17</f>
        <v>773500000</v>
      </c>
      <c r="L17" s="307">
        <f>'KQKD PET'!L17+'KQKD HD'!K17</f>
        <v>773500000</v>
      </c>
      <c r="M17" s="307">
        <f>'KQKD PET'!M17+'KQKD HD'!L17</f>
        <v>773500000</v>
      </c>
      <c r="N17" s="307">
        <f>'KQKD PET'!N17+'KQKD HD'!M17</f>
        <v>773500000</v>
      </c>
      <c r="O17" s="307">
        <f>'KQKD PET'!O17+'KQKD HD'!N17</f>
        <v>773500000</v>
      </c>
      <c r="P17" s="307">
        <f>'KQKD PET'!P17+'KQKD HD'!O17</f>
        <v>773500000</v>
      </c>
      <c r="Q17" s="307">
        <f>'KQKD PET'!Q17+'KQKD HD'!P17</f>
        <v>773500000</v>
      </c>
      <c r="R17" s="307">
        <f>'KQKD PET'!R17+'KQKD HD'!Q17</f>
        <v>773500000</v>
      </c>
      <c r="S17" s="1401">
        <f>SUM(G17:R17)</f>
        <v>8840000000</v>
      </c>
      <c r="T17" s="129"/>
      <c r="U17" s="1407">
        <f t="shared" si="3"/>
        <v>8.5575210146721967E-2</v>
      </c>
      <c r="V17" s="1407">
        <f t="shared" si="4"/>
        <v>8.8760367090386968E-2</v>
      </c>
      <c r="W17"/>
      <c r="X17"/>
      <c r="Y17"/>
      <c r="Z17"/>
    </row>
    <row r="18" spans="2:26" s="125" customFormat="1" ht="14.5" outlineLevel="1" x14ac:dyDescent="0.35">
      <c r="B18" s="317"/>
      <c r="C18" s="318" t="s">
        <v>308</v>
      </c>
      <c r="D18" s="307">
        <f>'KQKD PET'!D18</f>
        <v>0</v>
      </c>
      <c r="E18" s="307">
        <f>'KQKD PET'!E18</f>
        <v>0</v>
      </c>
      <c r="F18" s="1459">
        <f>'KQKD PET'!F18</f>
        <v>0</v>
      </c>
      <c r="G18" s="307">
        <f>'KQKD PET'!G18+'KQKD HD'!F18</f>
        <v>0</v>
      </c>
      <c r="H18" s="307">
        <f>'KQKD PET'!H18+'KQKD HD'!G18</f>
        <v>0</v>
      </c>
      <c r="I18" s="307">
        <f>'KQKD PET'!I18+'KQKD HD'!H18</f>
        <v>0</v>
      </c>
      <c r="J18" s="307">
        <f>'KQKD PET'!J18+'KQKD HD'!I18</f>
        <v>0</v>
      </c>
      <c r="K18" s="307">
        <f>'KQKD PET'!K18+'KQKD HD'!J18</f>
        <v>0</v>
      </c>
      <c r="L18" s="307">
        <f>'KQKD PET'!L18+'KQKD HD'!K18</f>
        <v>0</v>
      </c>
      <c r="M18" s="307">
        <f>'KQKD PET'!M18+'KQKD HD'!L18</f>
        <v>0</v>
      </c>
      <c r="N18" s="307">
        <f>'KQKD PET'!N18+'KQKD HD'!M18</f>
        <v>0</v>
      </c>
      <c r="O18" s="307">
        <f>'KQKD PET'!O18+'KQKD HD'!N18</f>
        <v>0</v>
      </c>
      <c r="P18" s="307">
        <f>'KQKD PET'!P18+'KQKD HD'!O18</f>
        <v>0</v>
      </c>
      <c r="Q18" s="307">
        <f>'KQKD PET'!Q18+'KQKD HD'!P18</f>
        <v>0</v>
      </c>
      <c r="R18" s="307">
        <f>'KQKD PET'!R18+'KQKD HD'!Q18</f>
        <v>0</v>
      </c>
      <c r="S18" s="1401">
        <f>SUM(G18:R18)</f>
        <v>0</v>
      </c>
      <c r="T18" s="129"/>
      <c r="U18" s="1406">
        <f t="shared" si="3"/>
        <v>0</v>
      </c>
      <c r="V18" s="1406">
        <f t="shared" si="4"/>
        <v>0</v>
      </c>
      <c r="W18"/>
      <c r="X18"/>
      <c r="Y18"/>
      <c r="Z18"/>
    </row>
    <row r="19" spans="2:26" s="178" customFormat="1" ht="14.5" x14ac:dyDescent="0.35">
      <c r="B19" s="319" t="s">
        <v>218</v>
      </c>
      <c r="C19" s="320" t="s">
        <v>297</v>
      </c>
      <c r="D19" s="321">
        <f>'KQKD PET'!D19</f>
        <v>0.84487719942204165</v>
      </c>
      <c r="E19" s="321">
        <f>'KQKD PET'!E19</f>
        <v>0.85910747968812284</v>
      </c>
      <c r="F19" s="1462">
        <f>'KQKD PET'!F19</f>
        <v>0.81152501403817012</v>
      </c>
      <c r="G19" s="321">
        <f>G16/G9</f>
        <v>0.80326124063698612</v>
      </c>
      <c r="H19" s="321">
        <f t="shared" ref="H19:R19" si="7">H16/H9</f>
        <v>0.80326124063698612</v>
      </c>
      <c r="I19" s="321">
        <f t="shared" si="7"/>
        <v>0.80326124063698612</v>
      </c>
      <c r="J19" s="321">
        <f>J16/J9</f>
        <v>0.80326124063698612</v>
      </c>
      <c r="K19" s="321">
        <f>K16/K9</f>
        <v>0.80326124063698612</v>
      </c>
      <c r="L19" s="321">
        <f t="shared" si="7"/>
        <v>0.80326124063698612</v>
      </c>
      <c r="M19" s="321">
        <f t="shared" si="7"/>
        <v>0.80326124063698612</v>
      </c>
      <c r="N19" s="321">
        <f t="shared" si="7"/>
        <v>0.80326124063698612</v>
      </c>
      <c r="O19" s="321">
        <f t="shared" si="7"/>
        <v>0.80326124063698612</v>
      </c>
      <c r="P19" s="321">
        <f t="shared" si="7"/>
        <v>0.80326124063698612</v>
      </c>
      <c r="Q19" s="321">
        <f t="shared" si="7"/>
        <v>0.80326124063698612</v>
      </c>
      <c r="R19" s="321">
        <f t="shared" si="7"/>
        <v>0.80326124063698612</v>
      </c>
      <c r="S19" s="321">
        <f>S16/S9</f>
        <v>0.80326124063698612</v>
      </c>
      <c r="U19" s="1406">
        <f t="shared" si="3"/>
        <v>8.3040920700079997E-12</v>
      </c>
      <c r="V19" s="1406">
        <f t="shared" si="4"/>
        <v>8.0653577588708769E-12</v>
      </c>
      <c r="W19"/>
      <c r="X19"/>
      <c r="Y19"/>
      <c r="Z19"/>
    </row>
    <row r="20" spans="2:26" ht="14.5" x14ac:dyDescent="0.35">
      <c r="B20" s="317" t="s">
        <v>219</v>
      </c>
      <c r="C20" s="315" t="s">
        <v>220</v>
      </c>
      <c r="D20" s="316">
        <f>'KQKD PET'!D20</f>
        <v>630817585</v>
      </c>
      <c r="E20" s="316">
        <f>'KQKD PET'!E20</f>
        <v>620417107</v>
      </c>
      <c r="F20" s="1461">
        <f>'KQKD PET'!F20</f>
        <v>564414632.88692963</v>
      </c>
      <c r="G20" s="316">
        <f>'KQKD PET'!G20+'KQKD HD'!F20</f>
        <v>129158394.10939693</v>
      </c>
      <c r="H20" s="316">
        <f>'KQKD PET'!H20+'KQKD HD'!G20</f>
        <v>96868795.582047686</v>
      </c>
      <c r="I20" s="316">
        <f>'KQKD PET'!I20+'KQKD HD'!H20</f>
        <v>139921593.61851332</v>
      </c>
      <c r="J20" s="316">
        <f>'KQKD PET'!J20+'KQKD HD'!I20</f>
        <v>150684793.12762973</v>
      </c>
      <c r="K20" s="316">
        <f>'KQKD PET'!K20+'KQKD HD'!J20</f>
        <v>150684793.12762973</v>
      </c>
      <c r="L20" s="316">
        <f>'KQKD PET'!L20+'KQKD HD'!K20</f>
        <v>150684793.12762973</v>
      </c>
      <c r="M20" s="316">
        <f>'KQKD PET'!M20+'KQKD HD'!L20</f>
        <v>150684793.12762973</v>
      </c>
      <c r="N20" s="316">
        <f>'KQKD PET'!N20+'KQKD HD'!M20</f>
        <v>150684793.12762973</v>
      </c>
      <c r="O20" s="316">
        <f>'KQKD PET'!O20+'KQKD HD'!N20</f>
        <v>150684793.12762973</v>
      </c>
      <c r="P20" s="316">
        <f>'KQKD PET'!P20+'KQKD HD'!O20</f>
        <v>150684793.12762973</v>
      </c>
      <c r="Q20" s="316">
        <f>'KQKD PET'!Q20+'KQKD HD'!P20</f>
        <v>150684793.12762973</v>
      </c>
      <c r="R20" s="316">
        <f>'KQKD PET'!R20+'KQKD HD'!Q20</f>
        <v>150684793.12762973</v>
      </c>
      <c r="S20" s="316">
        <f t="shared" si="1"/>
        <v>1722111921.4586258</v>
      </c>
      <c r="T20" s="123"/>
      <c r="U20" s="1406">
        <f t="shared" si="3"/>
        <v>5.7754856548788737E-3</v>
      </c>
      <c r="V20" s="1406">
        <f t="shared" si="4"/>
        <v>1.7291321981832499E-2</v>
      </c>
      <c r="W20"/>
      <c r="X20"/>
      <c r="Y20"/>
      <c r="Z20"/>
    </row>
    <row r="21" spans="2:26" ht="14.5" x14ac:dyDescent="0.35">
      <c r="B21" s="317" t="s">
        <v>255</v>
      </c>
      <c r="C21" s="315" t="s">
        <v>23</v>
      </c>
      <c r="D21" s="316">
        <f>'KQKD PET'!D21</f>
        <v>326356700</v>
      </c>
      <c r="E21" s="316">
        <f>'KQKD PET'!E21</f>
        <v>377182809</v>
      </c>
      <c r="F21" s="1461">
        <f>'KQKD PET'!F21</f>
        <v>453250096</v>
      </c>
      <c r="G21" s="316">
        <f>'KQKD PET'!G21+'KQKD HD'!F21</f>
        <v>45584273.661822051</v>
      </c>
      <c r="H21" s="316">
        <f>'KQKD PET'!H21+'KQKD HD'!G21</f>
        <v>34188205.246366538</v>
      </c>
      <c r="I21" s="316">
        <f>'KQKD PET'!I21+'KQKD HD'!H21</f>
        <v>49382963.133640558</v>
      </c>
      <c r="J21" s="316">
        <f>'KQKD PET'!J21+'KQKD HD'!I21</f>
        <v>53181652.605459057</v>
      </c>
      <c r="K21" s="316">
        <f>'KQKD PET'!K21+'KQKD HD'!J21</f>
        <v>53181652.605459057</v>
      </c>
      <c r="L21" s="316">
        <f>'KQKD PET'!L21+'KQKD HD'!K21</f>
        <v>53181652.605459057</v>
      </c>
      <c r="M21" s="316">
        <f>'KQKD PET'!M21+'KQKD HD'!L21</f>
        <v>53181652.605459057</v>
      </c>
      <c r="N21" s="316">
        <f>'KQKD PET'!N21+'KQKD HD'!M21</f>
        <v>53181652.605459057</v>
      </c>
      <c r="O21" s="316">
        <f>'KQKD PET'!O21+'KQKD HD'!N21</f>
        <v>53181652.605459057</v>
      </c>
      <c r="P21" s="316">
        <f>'KQKD PET'!P21+'KQKD HD'!O21</f>
        <v>53181652.605459057</v>
      </c>
      <c r="Q21" s="316">
        <f>'KQKD PET'!Q21+'KQKD HD'!P21</f>
        <v>53181652.605459057</v>
      </c>
      <c r="R21" s="316">
        <f>'KQKD PET'!R21+'KQKD HD'!Q21</f>
        <v>53181652.605459057</v>
      </c>
      <c r="S21" s="316">
        <f t="shared" si="1"/>
        <v>607790315.4909606</v>
      </c>
      <c r="T21" s="123"/>
      <c r="U21" s="1407">
        <f t="shared" si="3"/>
        <v>4.6379722902132655E-3</v>
      </c>
      <c r="V21" s="1407">
        <f t="shared" si="4"/>
        <v>6.1026800358551783E-3</v>
      </c>
      <c r="W21"/>
      <c r="X21"/>
      <c r="Y21"/>
      <c r="Z21"/>
    </row>
    <row r="22" spans="2:26" ht="14.5" x14ac:dyDescent="0.35">
      <c r="B22" s="317" t="s">
        <v>296</v>
      </c>
      <c r="C22" s="315" t="s">
        <v>187</v>
      </c>
      <c r="D22" s="316">
        <f>'KQKD PET'!D22</f>
        <v>5804078083.499999</v>
      </c>
      <c r="E22" s="316">
        <f>'KQKD PET'!E22</f>
        <v>4630674981</v>
      </c>
      <c r="F22" s="1461">
        <f>'KQKD PET'!F22</f>
        <v>5399212826.5999994</v>
      </c>
      <c r="G22" s="316">
        <f ca="1">'KQKD PET'!G22+'KQKD HD'!F22</f>
        <v>409878578.2352941</v>
      </c>
      <c r="H22" s="316">
        <f ca="1">'KQKD PET'!H22+'KQKD HD'!G22</f>
        <v>417703402.2352941</v>
      </c>
      <c r="I22" s="316">
        <f ca="1">'KQKD PET'!I22+'KQKD HD'!H22</f>
        <v>399417185.2352941</v>
      </c>
      <c r="J22" s="316">
        <f ca="1">'KQKD PET'!J22+'KQKD HD'!I22</f>
        <v>425647304.2352941</v>
      </c>
      <c r="K22" s="316">
        <f ca="1">'KQKD PET'!K22+'KQKD HD'!J22</f>
        <v>400784828.2352941</v>
      </c>
      <c r="L22" s="316">
        <f ca="1">'KQKD PET'!L22+'KQKD HD'!K22</f>
        <v>419433922.2352941</v>
      </c>
      <c r="M22" s="316">
        <f ca="1">'KQKD PET'!M22+'KQKD HD'!L22</f>
        <v>450962373.2352941</v>
      </c>
      <c r="N22" s="316">
        <f ca="1">'KQKD PET'!N22+'KQKD HD'!M22</f>
        <v>462928846.2352941</v>
      </c>
      <c r="O22" s="316">
        <f ca="1">'KQKD PET'!O22+'KQKD HD'!N22</f>
        <v>455903505.2352941</v>
      </c>
      <c r="P22" s="316">
        <f ca="1">'KQKD PET'!P22+'KQKD HD'!O22</f>
        <v>404478555.2352941</v>
      </c>
      <c r="Q22" s="316">
        <f ca="1">'KQKD PET'!Q22+'KQKD HD'!P22</f>
        <v>419433922.2352941</v>
      </c>
      <c r="R22" s="316">
        <f ca="1">'KQKD PET'!R22+'KQKD HD'!Q22</f>
        <v>409079689.2352941</v>
      </c>
      <c r="S22" s="316">
        <f t="shared" ca="1" si="1"/>
        <v>5075652111.8235302</v>
      </c>
      <c r="T22" s="123"/>
      <c r="U22" s="1407">
        <f t="shared" si="3"/>
        <v>5.5248525482352769E-2</v>
      </c>
      <c r="V22" s="1407">
        <f t="shared" ca="1" si="4"/>
        <v>5.0963432654813845E-2</v>
      </c>
      <c r="W22"/>
      <c r="X22"/>
      <c r="Y22"/>
      <c r="Z22"/>
    </row>
    <row r="23" spans="2:26" s="112" customFormat="1" ht="14.5" x14ac:dyDescent="0.35">
      <c r="B23" s="312">
        <v>3.2</v>
      </c>
      <c r="C23" s="313" t="s">
        <v>188</v>
      </c>
      <c r="D23" s="311">
        <f>'KQKD PET'!D23</f>
        <v>1478599034</v>
      </c>
      <c r="E23" s="311">
        <f>'KQKD PET'!E23</f>
        <v>1294051828</v>
      </c>
      <c r="F23" s="1460">
        <f>'KQKD PET'!F23</f>
        <v>1316621428.5714288</v>
      </c>
      <c r="G23" s="311">
        <f t="shared" ref="G23:R23" si="8">G24</f>
        <v>114364285.71428572</v>
      </c>
      <c r="H23" s="311">
        <f t="shared" si="8"/>
        <v>85773214.285714284</v>
      </c>
      <c r="I23" s="311">
        <f t="shared" si="8"/>
        <v>123894642.85714285</v>
      </c>
      <c r="J23" s="311">
        <f t="shared" si="8"/>
        <v>133425000</v>
      </c>
      <c r="K23" s="311">
        <f t="shared" si="8"/>
        <v>133425000</v>
      </c>
      <c r="L23" s="311">
        <f t="shared" si="8"/>
        <v>133425000</v>
      </c>
      <c r="M23" s="311">
        <f t="shared" si="8"/>
        <v>133425000</v>
      </c>
      <c r="N23" s="311">
        <f t="shared" si="8"/>
        <v>133425000</v>
      </c>
      <c r="O23" s="311">
        <f t="shared" si="8"/>
        <v>133425000</v>
      </c>
      <c r="P23" s="311">
        <f t="shared" si="8"/>
        <v>133425000</v>
      </c>
      <c r="Q23" s="311">
        <f t="shared" si="8"/>
        <v>133425000</v>
      </c>
      <c r="R23" s="311">
        <f t="shared" si="8"/>
        <v>133425000</v>
      </c>
      <c r="S23" s="311">
        <f t="shared" si="1"/>
        <v>1524857142.8571429</v>
      </c>
      <c r="T23" s="123"/>
      <c r="U23" s="1407">
        <f t="shared" si="3"/>
        <v>1.3472592187636934E-2</v>
      </c>
      <c r="V23" s="1407">
        <f t="shared" si="4"/>
        <v>1.5310733004569983E-2</v>
      </c>
      <c r="W23"/>
      <c r="X23"/>
      <c r="Y23"/>
      <c r="Z23"/>
    </row>
    <row r="24" spans="2:26" ht="14.5" outlineLevel="1" collapsed="1" x14ac:dyDescent="0.35">
      <c r="B24" s="314"/>
      <c r="C24" s="315" t="s">
        <v>172</v>
      </c>
      <c r="D24" s="316">
        <f>'KQKD PET'!D24</f>
        <v>1478599034</v>
      </c>
      <c r="E24" s="316">
        <f>'KQKD PET'!E24</f>
        <v>1294051828</v>
      </c>
      <c r="F24" s="1461">
        <f>'KQKD PET'!F24</f>
        <v>1316621428.5714288</v>
      </c>
      <c r="G24" s="316">
        <f>'KQKD PET'!G24+'KQKD HD'!F24</f>
        <v>114364285.71428572</v>
      </c>
      <c r="H24" s="316">
        <f>'KQKD PET'!H24+'KQKD HD'!G24</f>
        <v>85773214.285714284</v>
      </c>
      <c r="I24" s="316">
        <f>'KQKD PET'!I24+'KQKD HD'!H24</f>
        <v>123894642.85714285</v>
      </c>
      <c r="J24" s="316">
        <f>'KQKD PET'!J24+'KQKD HD'!I24</f>
        <v>133425000</v>
      </c>
      <c r="K24" s="316">
        <f>'KQKD PET'!K24+'KQKD HD'!J24</f>
        <v>133425000</v>
      </c>
      <c r="L24" s="316">
        <f>'KQKD PET'!L24+'KQKD HD'!K24</f>
        <v>133425000</v>
      </c>
      <c r="M24" s="316">
        <f>'KQKD PET'!M24+'KQKD HD'!L24</f>
        <v>133425000</v>
      </c>
      <c r="N24" s="316">
        <f>'KQKD PET'!N24+'KQKD HD'!M24</f>
        <v>133425000</v>
      </c>
      <c r="O24" s="316">
        <f>'KQKD PET'!O24+'KQKD HD'!N24</f>
        <v>133425000</v>
      </c>
      <c r="P24" s="316">
        <f>'KQKD PET'!P24+'KQKD HD'!O24</f>
        <v>133425000</v>
      </c>
      <c r="Q24" s="316">
        <f>'KQKD PET'!Q24+'KQKD HD'!P24</f>
        <v>133425000</v>
      </c>
      <c r="R24" s="316">
        <f>'KQKD PET'!R24+'KQKD HD'!Q24</f>
        <v>133425000</v>
      </c>
      <c r="S24" s="316">
        <f t="shared" si="1"/>
        <v>1524857142.8571429</v>
      </c>
      <c r="U24" s="1406">
        <f t="shared" si="3"/>
        <v>1.3472592187636934E-2</v>
      </c>
      <c r="V24" s="1406">
        <f t="shared" si="4"/>
        <v>1.5310733004569983E-2</v>
      </c>
      <c r="W24"/>
      <c r="X24"/>
      <c r="Y24"/>
      <c r="Z24"/>
    </row>
    <row r="25" spans="2:26" s="112" customFormat="1" ht="14.5" x14ac:dyDescent="0.35">
      <c r="B25" s="303">
        <v>4</v>
      </c>
      <c r="C25" s="304" t="s">
        <v>189</v>
      </c>
      <c r="D25" s="305">
        <f>'KQKD PET'!D25</f>
        <v>4001767603.5</v>
      </c>
      <c r="E25" s="305">
        <f>'KQKD PET'!E25</f>
        <v>3577421231</v>
      </c>
      <c r="F25" s="1400">
        <f>'KQKD PET'!F25</f>
        <v>10685391887.941635</v>
      </c>
      <c r="G25" s="305">
        <f t="shared" ref="G25:R25" ca="1" si="9">G9-G14</f>
        <v>770564468.27920055</v>
      </c>
      <c r="H25" s="305">
        <f ca="1">H9-H14</f>
        <v>467628882.65057755</v>
      </c>
      <c r="I25" s="305">
        <f t="shared" ca="1" si="9"/>
        <v>879396115.15540981</v>
      </c>
      <c r="J25" s="305">
        <f t="shared" ca="1" si="9"/>
        <v>951536250.03161716</v>
      </c>
      <c r="K25" s="305">
        <f t="shared" ca="1" si="9"/>
        <v>976398726.03161716</v>
      </c>
      <c r="L25" s="305">
        <f t="shared" ca="1" si="9"/>
        <v>957749632.03161716</v>
      </c>
      <c r="M25" s="305">
        <f t="shared" ca="1" si="9"/>
        <v>926221181.03161716</v>
      </c>
      <c r="N25" s="305">
        <f t="shared" ca="1" si="9"/>
        <v>914254708.03161716</v>
      </c>
      <c r="O25" s="305">
        <f t="shared" ca="1" si="9"/>
        <v>921280049.03161716</v>
      </c>
      <c r="P25" s="305">
        <f t="shared" ca="1" si="9"/>
        <v>972704999.03161716</v>
      </c>
      <c r="Q25" s="305">
        <f t="shared" ca="1" si="9"/>
        <v>957749632.03161716</v>
      </c>
      <c r="R25" s="305">
        <f t="shared" ca="1" si="9"/>
        <v>968103865.03161716</v>
      </c>
      <c r="S25" s="305">
        <f t="shared" ca="1" si="1"/>
        <v>10663588508.36974</v>
      </c>
      <c r="U25" s="1406">
        <f t="shared" si="3"/>
        <v>0.10934041034674798</v>
      </c>
      <c r="V25" s="1406">
        <f t="shared" ca="1" si="4"/>
        <v>0.10707059168594232</v>
      </c>
      <c r="W25"/>
      <c r="X25"/>
      <c r="Y25"/>
      <c r="Z25"/>
    </row>
    <row r="26" spans="2:26" s="178" customFormat="1" ht="14.5" x14ac:dyDescent="0.35">
      <c r="B26" s="322" t="s">
        <v>294</v>
      </c>
      <c r="C26" s="320" t="s">
        <v>295</v>
      </c>
      <c r="D26" s="321">
        <f>'KQKD PET'!D26</f>
        <v>5.0709419858011286E-2</v>
      </c>
      <c r="E26" s="321">
        <f>'KQKD PET'!E26</f>
        <v>4.8004189773410991E-2</v>
      </c>
      <c r="F26" s="1462">
        <f>'KQKD PET'!F26</f>
        <v>1.3472592187636934E-2</v>
      </c>
      <c r="G26" s="321">
        <f ca="1">G25/G9</f>
        <v>0.10316076179678836</v>
      </c>
      <c r="H26" s="321">
        <f ca="1">H25/H9</f>
        <v>8.3472923652353453E-2</v>
      </c>
      <c r="I26" s="321">
        <f t="shared" ref="I26:S26" ca="1" si="10">I25/I9</f>
        <v>0.10867458684170468</v>
      </c>
      <c r="J26" s="321">
        <f ca="1">J25/J9</f>
        <v>0.10919031267306605</v>
      </c>
      <c r="K26" s="321">
        <f t="shared" ca="1" si="10"/>
        <v>0.11204332171836137</v>
      </c>
      <c r="L26" s="321">
        <f t="shared" ca="1" si="10"/>
        <v>0.10990330823504768</v>
      </c>
      <c r="M26" s="321">
        <f t="shared" ca="1" si="10"/>
        <v>0.10628536785424449</v>
      </c>
      <c r="N26" s="321">
        <f t="shared" ca="1" si="10"/>
        <v>0.1049121958616689</v>
      </c>
      <c r="O26" s="321">
        <f t="shared" ca="1" si="10"/>
        <v>0.1057183650227486</v>
      </c>
      <c r="P26" s="321">
        <f t="shared" ca="1" si="10"/>
        <v>0.11161946061370503</v>
      </c>
      <c r="Q26" s="321">
        <f t="shared" ca="1" si="10"/>
        <v>0.10990330823504768</v>
      </c>
      <c r="R26" s="321">
        <f t="shared" ca="1" si="10"/>
        <v>0.11109147309867974</v>
      </c>
      <c r="S26" s="321">
        <f t="shared" ca="1" si="10"/>
        <v>0.10707059168594232</v>
      </c>
      <c r="U26" s="1403">
        <f t="shared" si="3"/>
        <v>1.3786099505559468E-13</v>
      </c>
      <c r="V26" s="1403">
        <f t="shared" ca="1" si="4"/>
        <v>1.0750707039173276E-12</v>
      </c>
      <c r="W26"/>
      <c r="X26"/>
      <c r="Y26"/>
      <c r="Z26"/>
    </row>
    <row r="27" spans="2:26" s="112" customFormat="1" ht="14.5" x14ac:dyDescent="0.35">
      <c r="B27" s="312">
        <v>5</v>
      </c>
      <c r="C27" s="313" t="s">
        <v>190</v>
      </c>
      <c r="D27" s="311">
        <f>'KQKD PET'!D27</f>
        <v>2094157795.5</v>
      </c>
      <c r="E27" s="311">
        <f>'KQKD PET'!E27</f>
        <v>2385196776</v>
      </c>
      <c r="F27" s="1460">
        <f>'KQKD PET'!F27</f>
        <v>4204830397.0697165</v>
      </c>
      <c r="G27" s="311">
        <f t="shared" ref="G27:R27" ca="1" si="11">G28+G29+G30</f>
        <v>524853977.18415034</v>
      </c>
      <c r="H27" s="311">
        <f t="shared" ca="1" si="11"/>
        <v>534684131.78415036</v>
      </c>
      <c r="I27" s="311">
        <f t="shared" ca="1" si="11"/>
        <v>498225577.75081694</v>
      </c>
      <c r="J27" s="311">
        <f t="shared" ca="1" si="11"/>
        <v>516940445.41748369</v>
      </c>
      <c r="K27" s="311">
        <f t="shared" ca="1" si="11"/>
        <v>498017161.61748362</v>
      </c>
      <c r="L27" s="311">
        <f t="shared" ca="1" si="11"/>
        <v>525972070.88415039</v>
      </c>
      <c r="M27" s="311">
        <f t="shared" ca="1" si="11"/>
        <v>506353597.25081706</v>
      </c>
      <c r="N27" s="311">
        <f t="shared" ca="1" si="11"/>
        <v>511919768.83415031</v>
      </c>
      <c r="O27" s="311">
        <f t="shared" ca="1" si="11"/>
        <v>508477235.45081699</v>
      </c>
      <c r="P27" s="311">
        <f t="shared" ca="1" si="11"/>
        <v>498875075.78415036</v>
      </c>
      <c r="Q27" s="311">
        <f t="shared" ca="1" si="11"/>
        <v>503273175.08415031</v>
      </c>
      <c r="R27" s="311">
        <f t="shared" ca="1" si="11"/>
        <v>510986764.38415039</v>
      </c>
      <c r="S27" s="1470">
        <f t="shared" ca="1" si="1"/>
        <v>6138578981.4264708</v>
      </c>
      <c r="T27" s="124"/>
      <c r="U27" s="1406">
        <f t="shared" si="3"/>
        <v>4.3026768309070117E-2</v>
      </c>
      <c r="V27" s="1406">
        <f t="shared" ca="1" si="4"/>
        <v>6.1636032104609419E-2</v>
      </c>
      <c r="W27"/>
      <c r="X27"/>
      <c r="Y27"/>
      <c r="Z27"/>
    </row>
    <row r="28" spans="2:26" ht="14.5" collapsed="1" x14ac:dyDescent="0.35">
      <c r="B28" s="314">
        <v>5.0999999999999996</v>
      </c>
      <c r="C28" s="308" t="s">
        <v>191</v>
      </c>
      <c r="D28" s="316">
        <f>'KQKD PET'!D28</f>
        <v>315172859.5</v>
      </c>
      <c r="E28" s="316">
        <f>'KQKD PET'!E28</f>
        <v>220439144</v>
      </c>
      <c r="F28" s="1461">
        <f>'KQKD PET'!F28</f>
        <v>1016231475.6</v>
      </c>
      <c r="G28" s="316">
        <f>'KQKD PET'!G28+'KQKD HD'!F28</f>
        <v>201407919.66666669</v>
      </c>
      <c r="H28" s="316">
        <f>'KQKD PET'!H28+'KQKD HD'!G28</f>
        <v>222914805.16666669</v>
      </c>
      <c r="I28" s="316">
        <f>'KQKD PET'!I28+'KQKD HD'!H28</f>
        <v>191743509.83333331</v>
      </c>
      <c r="J28" s="316">
        <f>'KQKD PET'!J28+'KQKD HD'!I28</f>
        <v>207295411.5</v>
      </c>
      <c r="K28" s="316">
        <f>'KQKD PET'!K28+'KQKD HD'!J28</f>
        <v>197959424</v>
      </c>
      <c r="L28" s="316">
        <f>'KQKD PET'!L28+'KQKD HD'!K28</f>
        <v>205619713.16666669</v>
      </c>
      <c r="M28" s="316">
        <f>'KQKD PET'!M28+'KQKD HD'!L28</f>
        <v>205585952.33333334</v>
      </c>
      <c r="N28" s="316">
        <f>'KQKD PET'!N28+'KQKD HD'!M28</f>
        <v>206806725.66666669</v>
      </c>
      <c r="O28" s="316">
        <f>'KQKD PET'!O28+'KQKD HD'!N28</f>
        <v>211188583.83333334</v>
      </c>
      <c r="P28" s="316">
        <f>'KQKD PET'!P28+'KQKD HD'!O28</f>
        <v>196551853.16666669</v>
      </c>
      <c r="Q28" s="316">
        <f>'KQKD PET'!Q28+'KQKD HD'!P28</f>
        <v>206661547.16666669</v>
      </c>
      <c r="R28" s="316">
        <f>'KQKD PET'!R28+'KQKD HD'!Q28</f>
        <v>201313245.66666669</v>
      </c>
      <c r="S28" s="316">
        <f t="shared" si="1"/>
        <v>2455048691.1666665</v>
      </c>
      <c r="T28" s="123"/>
      <c r="U28" s="1407">
        <f t="shared" si="3"/>
        <v>1.0398791894079022E-2</v>
      </c>
      <c r="V28" s="1407">
        <f t="shared" si="4"/>
        <v>2.465056821863432E-2</v>
      </c>
      <c r="W28"/>
      <c r="X28"/>
      <c r="Y28"/>
      <c r="Z28"/>
    </row>
    <row r="29" spans="2:26" ht="14.5" x14ac:dyDescent="0.35">
      <c r="B29" s="314">
        <v>5.2</v>
      </c>
      <c r="C29" s="308" t="s">
        <v>16</v>
      </c>
      <c r="D29" s="316">
        <f>'KQKD PET'!D29</f>
        <v>1118310000</v>
      </c>
      <c r="E29" s="316">
        <f>'KQKD PET'!E29</f>
        <v>1557000000</v>
      </c>
      <c r="F29" s="1461">
        <f>'KQKD PET'!F29</f>
        <v>1800000000</v>
      </c>
      <c r="G29" s="316">
        <f>'KQKD PET'!G29+'KQKD HD'!F29</f>
        <v>150000000</v>
      </c>
      <c r="H29" s="316">
        <f>'KQKD PET'!H29+'KQKD HD'!G29</f>
        <v>150000000</v>
      </c>
      <c r="I29" s="316">
        <f>'KQKD PET'!I29+'KQKD HD'!H29</f>
        <v>150000000</v>
      </c>
      <c r="J29" s="316">
        <f>'KQKD PET'!J29+'KQKD HD'!I29</f>
        <v>150000000</v>
      </c>
      <c r="K29" s="316">
        <f>'KQKD PET'!K29+'KQKD HD'!J29</f>
        <v>150000000</v>
      </c>
      <c r="L29" s="316">
        <f>'KQKD PET'!L29+'KQKD HD'!K29</f>
        <v>150000000</v>
      </c>
      <c r="M29" s="316">
        <f>'KQKD PET'!M29+'KQKD HD'!L29</f>
        <v>150000000</v>
      </c>
      <c r="N29" s="316">
        <f>'KQKD PET'!N29+'KQKD HD'!M29</f>
        <v>150000000</v>
      </c>
      <c r="O29" s="316">
        <f>'KQKD PET'!O29+'KQKD HD'!N29</f>
        <v>150000000</v>
      </c>
      <c r="P29" s="316">
        <f>'KQKD PET'!P29+'KQKD HD'!O29</f>
        <v>150000000</v>
      </c>
      <c r="Q29" s="316">
        <f>'KQKD PET'!Q29+'KQKD HD'!P29</f>
        <v>150000000</v>
      </c>
      <c r="R29" s="316">
        <f>'KQKD PET'!R29+'KQKD HD'!Q29</f>
        <v>150000000</v>
      </c>
      <c r="S29" s="316">
        <f t="shared" si="1"/>
        <v>1800000000</v>
      </c>
      <c r="T29" s="123"/>
      <c r="U29" s="1406">
        <f t="shared" si="3"/>
        <v>1.8418860130553348E-2</v>
      </c>
      <c r="V29" s="1406">
        <f t="shared" si="4"/>
        <v>1.8073377914332188E-2</v>
      </c>
      <c r="W29"/>
      <c r="X29"/>
      <c r="Y29"/>
      <c r="Z29"/>
    </row>
    <row r="30" spans="2:26" ht="25" x14ac:dyDescent="0.35">
      <c r="B30" s="314">
        <v>5.3</v>
      </c>
      <c r="C30" s="308" t="s">
        <v>221</v>
      </c>
      <c r="D30" s="316">
        <f>'KQKD PET'!D30</f>
        <v>660674936</v>
      </c>
      <c r="E30" s="316">
        <f>'KQKD PET'!E30</f>
        <v>607757632</v>
      </c>
      <c r="F30" s="1461">
        <f>'KQKD PET'!F30</f>
        <v>1388598921.4697163</v>
      </c>
      <c r="G30" s="316">
        <f ca="1">'KQKD PET'!G30+'KQKD HD'!F30</f>
        <v>173446057.51748368</v>
      </c>
      <c r="H30" s="316">
        <f ca="1">'KQKD PET'!H30+'KQKD HD'!G30</f>
        <v>161769326.61748368</v>
      </c>
      <c r="I30" s="316">
        <f ca="1">'KQKD PET'!I30+'KQKD HD'!H30</f>
        <v>156482067.91748366</v>
      </c>
      <c r="J30" s="316">
        <f ca="1">'KQKD PET'!J30+'KQKD HD'!I30</f>
        <v>159645033.91748366</v>
      </c>
      <c r="K30" s="316">
        <f ca="1">'KQKD PET'!K30+'KQKD HD'!J30</f>
        <v>150057737.61748365</v>
      </c>
      <c r="L30" s="316">
        <f ca="1">'KQKD PET'!L30+'KQKD HD'!K30</f>
        <v>170352357.71748367</v>
      </c>
      <c r="M30" s="316">
        <f ca="1">'KQKD PET'!M30+'KQKD HD'!L30</f>
        <v>150767644.91748366</v>
      </c>
      <c r="N30" s="316">
        <f ca="1">'KQKD PET'!N30+'KQKD HD'!M30</f>
        <v>155113043.16748366</v>
      </c>
      <c r="O30" s="316">
        <f ca="1">'KQKD PET'!O30+'KQKD HD'!N30</f>
        <v>147288651.61748365</v>
      </c>
      <c r="P30" s="316">
        <f ca="1">'KQKD PET'!P30+'KQKD HD'!O30</f>
        <v>152323222.61748365</v>
      </c>
      <c r="Q30" s="316">
        <f ca="1">'KQKD PET'!Q30+'KQKD HD'!P30</f>
        <v>146611627.91748366</v>
      </c>
      <c r="R30" s="316">
        <f ca="1">'KQKD PET'!R30+'KQKD HD'!Q30</f>
        <v>159673518.71748367</v>
      </c>
      <c r="S30" s="316">
        <f t="shared" ca="1" si="1"/>
        <v>1883530290.2598038</v>
      </c>
      <c r="T30" s="123"/>
      <c r="U30" s="1406">
        <f t="shared" si="3"/>
        <v>1.4209116284437743E-2</v>
      </c>
      <c r="V30" s="1406">
        <f t="shared" ca="1" si="4"/>
        <v>1.8912085971642907E-2</v>
      </c>
      <c r="W30"/>
      <c r="X30"/>
      <c r="Y30"/>
      <c r="Z30"/>
    </row>
    <row r="31" spans="2:26" s="112" customFormat="1" ht="14.5" x14ac:dyDescent="0.35">
      <c r="B31" s="312">
        <v>6</v>
      </c>
      <c r="C31" s="310" t="s">
        <v>2220</v>
      </c>
      <c r="D31" s="311">
        <f>'KQKD PET'!D31</f>
        <v>1036408270</v>
      </c>
      <c r="E31" s="311">
        <f>'KQKD PET'!E31</f>
        <v>1382050356</v>
      </c>
      <c r="F31" s="1460">
        <f>'KQKD PET'!F31</f>
        <v>1908499758.1790252</v>
      </c>
      <c r="G31" s="311">
        <f ca="1">'KQKD PET'!G31+'KQKD HD'!F31</f>
        <v>81327529.763888881</v>
      </c>
      <c r="H31" s="311">
        <f ca="1">'KQKD PET'!H31+'KQKD HD'!G31</f>
        <v>81327529.763888881</v>
      </c>
      <c r="I31" s="311">
        <f ca="1">'KQKD PET'!I31+'KQKD HD'!H31</f>
        <v>81327529.763888881</v>
      </c>
      <c r="J31" s="311">
        <f ca="1">'KQKD PET'!J31+'KQKD HD'!I31</f>
        <v>81327529.763888881</v>
      </c>
      <c r="K31" s="311">
        <f ca="1">'KQKD PET'!K31+'KQKD HD'!J31</f>
        <v>81327529.763888881</v>
      </c>
      <c r="L31" s="311">
        <f ca="1">'KQKD PET'!L31+'KQKD HD'!K31</f>
        <v>81327529.763888881</v>
      </c>
      <c r="M31" s="311">
        <f ca="1">'KQKD PET'!M31+'KQKD HD'!L31</f>
        <v>81327529.763888881</v>
      </c>
      <c r="N31" s="311">
        <f ca="1">'KQKD PET'!N31+'KQKD HD'!M31</f>
        <v>81327529.763888881</v>
      </c>
      <c r="O31" s="311">
        <f ca="1">'KQKD PET'!O31+'KQKD HD'!N31</f>
        <v>81327529.763888881</v>
      </c>
      <c r="P31" s="311">
        <f ca="1">'KQKD PET'!P31+'KQKD HD'!O31</f>
        <v>81327529.763888881</v>
      </c>
      <c r="Q31" s="311">
        <f ca="1">'KQKD PET'!Q31+'KQKD HD'!P31</f>
        <v>81327529.763888881</v>
      </c>
      <c r="R31" s="311">
        <f ca="1">'KQKD PET'!R31+'KQKD HD'!Q31</f>
        <v>81327529.763888881</v>
      </c>
      <c r="S31" s="311">
        <f t="shared" ca="1" si="1"/>
        <v>975930357.16666639</v>
      </c>
      <c r="U31" s="1406">
        <f t="shared" si="3"/>
        <v>1.9529105613941309E-2</v>
      </c>
      <c r="V31" s="1406">
        <f t="shared" ca="1" si="4"/>
        <v>9.7990878684124181E-3</v>
      </c>
      <c r="W31"/>
      <c r="X31"/>
      <c r="Y31"/>
      <c r="Z31"/>
    </row>
    <row r="32" spans="2:26" s="112" customFormat="1" ht="14.5" collapsed="1" x14ac:dyDescent="0.35">
      <c r="B32" s="303">
        <v>7</v>
      </c>
      <c r="C32" s="304" t="s">
        <v>192</v>
      </c>
      <c r="D32" s="305">
        <f>'KQKD PET'!D32</f>
        <v>871201538</v>
      </c>
      <c r="E32" s="305">
        <f>'KQKD PET'!E32</f>
        <v>-189825901</v>
      </c>
      <c r="F32" s="1400">
        <f>'KQKD PET'!F32</f>
        <v>4572061732.692894</v>
      </c>
      <c r="G32" s="305">
        <f t="shared" ref="G32:R32" ca="1" si="12">G25-G27-G31</f>
        <v>164382961.33116132</v>
      </c>
      <c r="H32" s="305">
        <f t="shared" ca="1" si="12"/>
        <v>-148382778.89746171</v>
      </c>
      <c r="I32" s="305">
        <f t="shared" ca="1" si="12"/>
        <v>299843007.64070398</v>
      </c>
      <c r="J32" s="305">
        <f t="shared" ca="1" si="12"/>
        <v>353268274.85024458</v>
      </c>
      <c r="K32" s="305">
        <f t="shared" ca="1" si="12"/>
        <v>397054034.65024465</v>
      </c>
      <c r="L32" s="305">
        <f t="shared" ca="1" si="12"/>
        <v>350450031.38357788</v>
      </c>
      <c r="M32" s="305">
        <f t="shared" ca="1" si="12"/>
        <v>338540054.01691121</v>
      </c>
      <c r="N32" s="305">
        <f t="shared" ca="1" si="12"/>
        <v>321007409.43357795</v>
      </c>
      <c r="O32" s="305">
        <f t="shared" ca="1" si="12"/>
        <v>331475283.81691128</v>
      </c>
      <c r="P32" s="305">
        <f t="shared" ca="1" si="12"/>
        <v>392502393.48357791</v>
      </c>
      <c r="Q32" s="305">
        <f t="shared" ca="1" si="12"/>
        <v>373148927.18357795</v>
      </c>
      <c r="R32" s="305">
        <f t="shared" ca="1" si="12"/>
        <v>375789570.88357788</v>
      </c>
      <c r="S32" s="305">
        <f t="shared" ca="1" si="1"/>
        <v>3549079169.7766047</v>
      </c>
      <c r="U32" s="1407">
        <f t="shared" si="3"/>
        <v>4.6784536423736561E-2</v>
      </c>
      <c r="V32" s="1407">
        <f t="shared" ca="1" si="4"/>
        <v>3.5635471712920502E-2</v>
      </c>
      <c r="W32"/>
      <c r="X32"/>
      <c r="Y32"/>
      <c r="Z32"/>
    </row>
    <row r="33" spans="2:26" s="178" customFormat="1" ht="14.5" x14ac:dyDescent="0.35">
      <c r="B33" s="322" t="s">
        <v>223</v>
      </c>
      <c r="C33" s="320" t="s">
        <v>193</v>
      </c>
      <c r="D33" s="321">
        <f>'KQKD PET'!D33</f>
        <v>1.1039652710654258E-2</v>
      </c>
      <c r="E33" s="321">
        <f>'KQKD PET'!E33</f>
        <v>-2.5472087258132359E-3</v>
      </c>
      <c r="F33" s="1462">
        <f>'KQKD PET'!F33</f>
        <v>4.6784536423736561E-2</v>
      </c>
      <c r="G33" s="321">
        <f t="shared" ref="G33:S33" ca="1" si="13">G32/G9</f>
        <v>2.2007076909741727E-2</v>
      </c>
      <c r="H33" s="321">
        <f t="shared" ca="1" si="13"/>
        <v>-2.64866966814086E-2</v>
      </c>
      <c r="I33" s="321">
        <f t="shared" ca="1" si="13"/>
        <v>3.7054194817507262E-2</v>
      </c>
      <c r="J33" s="321">
        <f t="shared" ca="1" si="13"/>
        <v>4.0538101819127897E-2</v>
      </c>
      <c r="K33" s="321">
        <f t="shared" ca="1" si="13"/>
        <v>4.5562588067582344E-2</v>
      </c>
      <c r="L33" s="321">
        <f t="shared" ca="1" si="13"/>
        <v>4.0214703855777641E-2</v>
      </c>
      <c r="M33" s="321">
        <f t="shared" ca="1" si="13"/>
        <v>3.8848014827848061E-2</v>
      </c>
      <c r="N33" s="321">
        <f t="shared" ca="1" si="13"/>
        <v>3.6836115707897257E-2</v>
      </c>
      <c r="O33" s="321">
        <f t="shared" ca="1" si="13"/>
        <v>3.803732110275275E-2</v>
      </c>
      <c r="P33" s="321">
        <f t="shared" ca="1" si="13"/>
        <v>4.5040279934657902E-2</v>
      </c>
      <c r="Q33" s="321">
        <f t="shared" ca="1" si="13"/>
        <v>4.2819438598834463E-2</v>
      </c>
      <c r="R33" s="321">
        <f t="shared" ca="1" si="13"/>
        <v>4.312245670376906E-2</v>
      </c>
      <c r="S33" s="321">
        <f t="shared" ca="1" si="13"/>
        <v>3.5635471712920502E-2</v>
      </c>
      <c r="U33" s="1406">
        <f t="shared" si="3"/>
        <v>4.7873212925643458E-13</v>
      </c>
      <c r="V33" s="1406">
        <f t="shared" ca="1" si="4"/>
        <v>3.5780741523505935E-13</v>
      </c>
      <c r="W33"/>
      <c r="X33"/>
      <c r="Y33"/>
      <c r="Z33"/>
    </row>
    <row r="34" spans="2:26" s="112" customFormat="1" ht="14.5" x14ac:dyDescent="0.35">
      <c r="B34" s="312">
        <v>8</v>
      </c>
      <c r="C34" s="310" t="s">
        <v>194</v>
      </c>
      <c r="D34" s="311">
        <f>'KQKD PET'!D34</f>
        <v>0</v>
      </c>
      <c r="E34" s="311">
        <f>'KQKD PET'!E34</f>
        <v>0</v>
      </c>
      <c r="F34" s="1460">
        <f>'KQKD PET'!F34</f>
        <v>0</v>
      </c>
      <c r="G34" s="311">
        <f t="shared" ref="G34:R34" si="14">G35+G36+G37</f>
        <v>0</v>
      </c>
      <c r="H34" s="311">
        <f t="shared" si="14"/>
        <v>0</v>
      </c>
      <c r="I34" s="311">
        <f t="shared" si="14"/>
        <v>0</v>
      </c>
      <c r="J34" s="311">
        <f t="shared" si="14"/>
        <v>0</v>
      </c>
      <c r="K34" s="311">
        <f t="shared" si="14"/>
        <v>0</v>
      </c>
      <c r="L34" s="311">
        <f t="shared" si="14"/>
        <v>0</v>
      </c>
      <c r="M34" s="311">
        <f t="shared" si="14"/>
        <v>0</v>
      </c>
      <c r="N34" s="311">
        <f t="shared" si="14"/>
        <v>0</v>
      </c>
      <c r="O34" s="311">
        <f t="shared" si="14"/>
        <v>0</v>
      </c>
      <c r="P34" s="311">
        <f t="shared" si="14"/>
        <v>0</v>
      </c>
      <c r="Q34" s="311">
        <f t="shared" si="14"/>
        <v>0</v>
      </c>
      <c r="R34" s="311">
        <f t="shared" si="14"/>
        <v>0</v>
      </c>
      <c r="S34" s="311">
        <f t="shared" si="1"/>
        <v>0</v>
      </c>
      <c r="U34" s="1406">
        <f t="shared" si="3"/>
        <v>0</v>
      </c>
      <c r="V34" s="1406">
        <f t="shared" si="4"/>
        <v>0</v>
      </c>
      <c r="W34"/>
      <c r="X34"/>
      <c r="Y34"/>
      <c r="Z34"/>
    </row>
    <row r="35" spans="2:26" ht="14.5" hidden="1" outlineLevel="1" collapsed="1" x14ac:dyDescent="0.35">
      <c r="B35" s="314">
        <v>8.1</v>
      </c>
      <c r="C35" s="308" t="s">
        <v>195</v>
      </c>
      <c r="D35" s="316">
        <f>'KQKD PET'!D35</f>
        <v>0</v>
      </c>
      <c r="E35" s="316">
        <f>'KQKD PET'!E35</f>
        <v>0</v>
      </c>
      <c r="F35" s="1461">
        <f>'KQKD PET'!F35</f>
        <v>0</v>
      </c>
      <c r="G35" s="316">
        <f>'KQKD PET'!G35+'KQKD HD'!F35</f>
        <v>0</v>
      </c>
      <c r="H35" s="316">
        <f>'KQKD PET'!H35+'KQKD HD'!G35</f>
        <v>0</v>
      </c>
      <c r="I35" s="316">
        <f>'KQKD PET'!I35+'KQKD HD'!H35</f>
        <v>0</v>
      </c>
      <c r="J35" s="316">
        <f>'KQKD PET'!J35+'KQKD HD'!I35</f>
        <v>0</v>
      </c>
      <c r="K35" s="316">
        <f>'KQKD PET'!K35+'KQKD HD'!J35</f>
        <v>0</v>
      </c>
      <c r="L35" s="316">
        <f>'KQKD PET'!L35+'KQKD HD'!K35</f>
        <v>0</v>
      </c>
      <c r="M35" s="316">
        <f>'KQKD PET'!M35+'KQKD HD'!L35</f>
        <v>0</v>
      </c>
      <c r="N35" s="316">
        <f>'KQKD PET'!N35+'KQKD HD'!M35</f>
        <v>0</v>
      </c>
      <c r="O35" s="316">
        <f>'KQKD PET'!O35+'KQKD HD'!N35</f>
        <v>0</v>
      </c>
      <c r="P35" s="316">
        <f>'KQKD PET'!P35+'KQKD HD'!O35</f>
        <v>0</v>
      </c>
      <c r="Q35" s="316">
        <f>'KQKD PET'!Q35+'KQKD HD'!P35</f>
        <v>0</v>
      </c>
      <c r="R35" s="316">
        <f>'KQKD PET'!R35+'KQKD HD'!Q35</f>
        <v>0</v>
      </c>
      <c r="S35" s="316">
        <f t="shared" si="1"/>
        <v>0</v>
      </c>
      <c r="U35" s="1406">
        <f t="shared" si="3"/>
        <v>0</v>
      </c>
      <c r="V35" s="1406">
        <f t="shared" si="4"/>
        <v>0</v>
      </c>
      <c r="W35"/>
      <c r="X35"/>
      <c r="Y35"/>
      <c r="Z35"/>
    </row>
    <row r="36" spans="2:26" ht="14.5" hidden="1" outlineLevel="1" x14ac:dyDescent="0.35">
      <c r="B36" s="314">
        <v>8.1999999999999993</v>
      </c>
      <c r="C36" s="308" t="s">
        <v>229</v>
      </c>
      <c r="D36" s="316">
        <f>'KQKD PET'!D36</f>
        <v>0</v>
      </c>
      <c r="E36" s="316">
        <f>'KQKD PET'!E36</f>
        <v>0</v>
      </c>
      <c r="F36" s="1461">
        <f>'KQKD PET'!F36</f>
        <v>0</v>
      </c>
      <c r="G36" s="316">
        <f>'KQKD PET'!G36+'KQKD HD'!F36</f>
        <v>0</v>
      </c>
      <c r="H36" s="316">
        <f>'KQKD PET'!H36+'KQKD HD'!G36</f>
        <v>0</v>
      </c>
      <c r="I36" s="316">
        <f>'KQKD PET'!I36+'KQKD HD'!H36</f>
        <v>0</v>
      </c>
      <c r="J36" s="316">
        <f>'KQKD PET'!J36+'KQKD HD'!I36</f>
        <v>0</v>
      </c>
      <c r="K36" s="316">
        <f>'KQKD PET'!K36+'KQKD HD'!J36</f>
        <v>0</v>
      </c>
      <c r="L36" s="316">
        <f>'KQKD PET'!L36+'KQKD HD'!K36</f>
        <v>0</v>
      </c>
      <c r="M36" s="316">
        <f>'KQKD PET'!M36+'KQKD HD'!L36</f>
        <v>0</v>
      </c>
      <c r="N36" s="316">
        <f>'KQKD PET'!N36+'KQKD HD'!M36</f>
        <v>0</v>
      </c>
      <c r="O36" s="316">
        <f>'KQKD PET'!O36+'KQKD HD'!N36</f>
        <v>0</v>
      </c>
      <c r="P36" s="316">
        <f>'KQKD PET'!P36+'KQKD HD'!O36</f>
        <v>0</v>
      </c>
      <c r="Q36" s="316">
        <f>'KQKD PET'!Q36+'KQKD HD'!P36</f>
        <v>0</v>
      </c>
      <c r="R36" s="316">
        <f>'KQKD PET'!R36+'KQKD HD'!Q36</f>
        <v>0</v>
      </c>
      <c r="S36" s="316">
        <f t="shared" si="1"/>
        <v>0</v>
      </c>
      <c r="U36" s="1406">
        <f t="shared" si="3"/>
        <v>0</v>
      </c>
      <c r="V36" s="1406">
        <f t="shared" si="4"/>
        <v>0</v>
      </c>
      <c r="W36"/>
      <c r="X36"/>
      <c r="Y36"/>
      <c r="Z36"/>
    </row>
    <row r="37" spans="2:26" ht="14.5" hidden="1" outlineLevel="1" x14ac:dyDescent="0.35">
      <c r="B37" s="314">
        <v>83</v>
      </c>
      <c r="C37" s="308" t="s">
        <v>196</v>
      </c>
      <c r="D37" s="316">
        <f>'KQKD PET'!D37</f>
        <v>0</v>
      </c>
      <c r="E37" s="316">
        <f>'KQKD PET'!E37</f>
        <v>0</v>
      </c>
      <c r="F37" s="1461">
        <f>'KQKD PET'!F37</f>
        <v>0</v>
      </c>
      <c r="G37" s="316">
        <f>'KQKD PET'!G37+'KQKD HD'!F37</f>
        <v>0</v>
      </c>
      <c r="H37" s="316">
        <f>'KQKD PET'!H37+'KQKD HD'!G37</f>
        <v>0</v>
      </c>
      <c r="I37" s="316">
        <f>'KQKD PET'!I37+'KQKD HD'!H37</f>
        <v>0</v>
      </c>
      <c r="J37" s="316">
        <f>'KQKD PET'!J37+'KQKD HD'!I37</f>
        <v>0</v>
      </c>
      <c r="K37" s="316">
        <f>'KQKD PET'!K37+'KQKD HD'!J37</f>
        <v>0</v>
      </c>
      <c r="L37" s="316">
        <f>'KQKD PET'!L37+'KQKD HD'!K37</f>
        <v>0</v>
      </c>
      <c r="M37" s="316">
        <f>'KQKD PET'!M37+'KQKD HD'!L37</f>
        <v>0</v>
      </c>
      <c r="N37" s="316">
        <f>'KQKD PET'!N37+'KQKD HD'!M37</f>
        <v>0</v>
      </c>
      <c r="O37" s="316">
        <f>'KQKD PET'!O37+'KQKD HD'!N37</f>
        <v>0</v>
      </c>
      <c r="P37" s="316">
        <f>'KQKD PET'!P37+'KQKD HD'!O37</f>
        <v>0</v>
      </c>
      <c r="Q37" s="316">
        <f>'KQKD PET'!Q37+'KQKD HD'!P37</f>
        <v>0</v>
      </c>
      <c r="R37" s="316">
        <f>'KQKD PET'!R37+'KQKD HD'!Q37</f>
        <v>0</v>
      </c>
      <c r="S37" s="316">
        <f t="shared" si="1"/>
        <v>0</v>
      </c>
      <c r="U37" s="1406">
        <f t="shared" si="3"/>
        <v>0</v>
      </c>
      <c r="V37" s="1406">
        <f t="shared" si="4"/>
        <v>0</v>
      </c>
      <c r="W37"/>
      <c r="X37"/>
      <c r="Y37"/>
      <c r="Z37"/>
    </row>
    <row r="38" spans="2:26" s="112" customFormat="1" ht="14.5" collapsed="1" x14ac:dyDescent="0.35">
      <c r="B38" s="312">
        <v>9</v>
      </c>
      <c r="C38" s="310" t="s">
        <v>197</v>
      </c>
      <c r="D38" s="311">
        <f>'KQKD PET'!D38</f>
        <v>1414416772</v>
      </c>
      <c r="E38" s="311">
        <f>'KQKD PET'!E38</f>
        <v>2036034770</v>
      </c>
      <c r="F38" s="1460">
        <f>'KQKD PET'!F38</f>
        <v>3891070956.5161414</v>
      </c>
      <c r="G38" s="311">
        <f t="shared" ref="G38:R38" ca="1" si="15">G39+G40+G41</f>
        <v>471536610.03414291</v>
      </c>
      <c r="H38" s="311">
        <f t="shared" ca="1" si="15"/>
        <v>499621200.03414291</v>
      </c>
      <c r="I38" s="311">
        <f t="shared" ca="1" si="15"/>
        <v>438001005.03414291</v>
      </c>
      <c r="J38" s="311">
        <f t="shared" ca="1" si="15"/>
        <v>441430006.03414291</v>
      </c>
      <c r="K38" s="311">
        <f t="shared" ca="1" si="15"/>
        <v>440990570.03414291</v>
      </c>
      <c r="L38" s="311">
        <f t="shared" ca="1" si="15"/>
        <v>437891777.03414291</v>
      </c>
      <c r="M38" s="311">
        <f t="shared" ca="1" si="15"/>
        <v>437665344.03414291</v>
      </c>
      <c r="N38" s="311">
        <f t="shared" ca="1" si="15"/>
        <v>493579860.03414291</v>
      </c>
      <c r="O38" s="311">
        <f t="shared" ca="1" si="15"/>
        <v>435408150.03414291</v>
      </c>
      <c r="P38" s="311">
        <f t="shared" ca="1" si="15"/>
        <v>442013302.03414291</v>
      </c>
      <c r="Q38" s="311">
        <f t="shared" ca="1" si="15"/>
        <v>434477238.03414291</v>
      </c>
      <c r="R38" s="311">
        <f t="shared" ca="1" si="15"/>
        <v>441205120.03414291</v>
      </c>
      <c r="S38" s="311">
        <f t="shared" ca="1" si="1"/>
        <v>5413820182.4097137</v>
      </c>
      <c r="T38" s="123"/>
      <c r="U38" s="1406">
        <f t="shared" si="3"/>
        <v>3.9816162058960686E-2</v>
      </c>
      <c r="V38" s="1406">
        <f t="shared" ca="1" si="4"/>
        <v>5.4358898953849766E-2</v>
      </c>
      <c r="W38"/>
      <c r="X38"/>
      <c r="Y38"/>
      <c r="Z38"/>
    </row>
    <row r="39" spans="2:26" ht="14.5" collapsed="1" x14ac:dyDescent="0.35">
      <c r="B39" s="314">
        <v>9.1</v>
      </c>
      <c r="C39" s="315" t="s">
        <v>195</v>
      </c>
      <c r="D39" s="316">
        <f>'KQKD PET'!D39</f>
        <v>1124385437</v>
      </c>
      <c r="E39" s="316">
        <f>'KQKD PET'!E39</f>
        <v>1412576558</v>
      </c>
      <c r="F39" s="1461">
        <f>'KQKD PET'!F39</f>
        <v>2899094389.7888689</v>
      </c>
      <c r="G39" s="316">
        <f>'KQKD PET'!G39+'KQKD HD'!F39</f>
        <v>323945534</v>
      </c>
      <c r="H39" s="316">
        <f>'KQKD PET'!H39+'KQKD HD'!G39</f>
        <v>362007174</v>
      </c>
      <c r="I39" s="316">
        <f>'KQKD PET'!I39+'KQKD HD'!H39</f>
        <v>317132791</v>
      </c>
      <c r="J39" s="316">
        <f>'KQKD PET'!J39+'KQKD HD'!I39</f>
        <v>325999646</v>
      </c>
      <c r="K39" s="316">
        <f>'KQKD PET'!K39+'KQKD HD'!J39</f>
        <v>321392926</v>
      </c>
      <c r="L39" s="316">
        <f>'KQKD PET'!L39+'KQKD HD'!K39</f>
        <v>325999646</v>
      </c>
      <c r="M39" s="316">
        <f>'KQKD PET'!M39+'KQKD HD'!L39</f>
        <v>323044028</v>
      </c>
      <c r="N39" s="316">
        <f>'KQKD PET'!N39+'KQKD HD'!M39</f>
        <v>323044028</v>
      </c>
      <c r="O39" s="316">
        <f>'KQKD PET'!O39+'KQKD HD'!N39</f>
        <v>326402658</v>
      </c>
      <c r="P39" s="316">
        <f>'KQKD PET'!P39+'KQKD HD'!O39</f>
        <v>320088410</v>
      </c>
      <c r="Q39" s="316">
        <f>'KQKD PET'!Q39+'KQKD HD'!P39</f>
        <v>325999646</v>
      </c>
      <c r="R39" s="316">
        <f>'KQKD PET'!R39+'KQKD HD'!Q39</f>
        <v>323044028</v>
      </c>
      <c r="S39" s="316">
        <f t="shared" si="1"/>
        <v>3918100515</v>
      </c>
      <c r="T39" s="123"/>
      <c r="U39" s="1406">
        <f t="shared" si="3"/>
        <v>2.9665563372662827E-2</v>
      </c>
      <c r="V39" s="1406">
        <f t="shared" si="4"/>
        <v>3.9340728507741431E-2</v>
      </c>
      <c r="W39"/>
      <c r="X39"/>
      <c r="Y39"/>
      <c r="Z39"/>
    </row>
    <row r="40" spans="2:26" ht="14.5" x14ac:dyDescent="0.35">
      <c r="B40" s="314">
        <v>9.1999999999999993</v>
      </c>
      <c r="C40" s="315" t="s">
        <v>230</v>
      </c>
      <c r="D40" s="316">
        <f>'KQKD PET'!D40</f>
        <v>290031335</v>
      </c>
      <c r="E40" s="316">
        <f>'KQKD PET'!E40</f>
        <v>609710270</v>
      </c>
      <c r="F40" s="1461">
        <f>'KQKD PET'!F40</f>
        <v>902118544</v>
      </c>
      <c r="G40" s="316">
        <f ca="1">'KQKD PET'!G40+'KQKD HD'!F40</f>
        <v>136935259.3674762</v>
      </c>
      <c r="H40" s="316">
        <f ca="1">'KQKD PET'!H40+'KQKD HD'!G40</f>
        <v>126958209.36747621</v>
      </c>
      <c r="I40" s="316">
        <f ca="1">'KQKD PET'!I40+'KQKD HD'!H40</f>
        <v>110212397.36747621</v>
      </c>
      <c r="J40" s="316">
        <f ca="1">'KQKD PET'!J40+'KQKD HD'!I40</f>
        <v>104774543.36747621</v>
      </c>
      <c r="K40" s="316">
        <f ca="1">'KQKD PET'!K40+'KQKD HD'!J40</f>
        <v>108941827.36747621</v>
      </c>
      <c r="L40" s="316">
        <f ca="1">'KQKD PET'!L40+'KQKD HD'!K40</f>
        <v>101236314.36747621</v>
      </c>
      <c r="M40" s="316">
        <f ca="1">'KQKD PET'!M40+'KQKD HD'!L40</f>
        <v>103965499.36747621</v>
      </c>
      <c r="N40" s="316">
        <f ca="1">'KQKD PET'!N40+'KQKD HD'!M40</f>
        <v>159880015.3674762</v>
      </c>
      <c r="O40" s="316">
        <f ca="1">'KQKD PET'!O40+'KQKD HD'!N40</f>
        <v>98349675.36747621</v>
      </c>
      <c r="P40" s="316">
        <f ca="1">'KQKD PET'!P40+'KQKD HD'!O40</f>
        <v>111269075.36747621</v>
      </c>
      <c r="Q40" s="316">
        <f ca="1">'KQKD PET'!Q40+'KQKD HD'!P40</f>
        <v>97821775.36747621</v>
      </c>
      <c r="R40" s="316">
        <f ca="1">'KQKD PET'!R40+'KQKD HD'!Q40</f>
        <v>107505275.3674762</v>
      </c>
      <c r="S40" s="316">
        <f t="shared" ca="1" si="1"/>
        <v>1367849867.4097145</v>
      </c>
      <c r="T40" s="123"/>
      <c r="U40" s="1406">
        <f t="shared" si="3"/>
        <v>9.2311084906191321E-3</v>
      </c>
      <c r="V40" s="1406">
        <f t="shared" ca="1" si="4"/>
        <v>1.3734259768758304E-2</v>
      </c>
      <c r="W40"/>
      <c r="X40"/>
      <c r="Y40"/>
      <c r="Z40"/>
    </row>
    <row r="41" spans="2:26" ht="14.5" x14ac:dyDescent="0.35">
      <c r="B41" s="314">
        <v>9.3000000000000007</v>
      </c>
      <c r="C41" s="315" t="s">
        <v>196</v>
      </c>
      <c r="D41" s="316">
        <f>'KQKD PET'!D41</f>
        <v>0</v>
      </c>
      <c r="E41" s="316">
        <f>'KQKD PET'!E41</f>
        <v>13747942</v>
      </c>
      <c r="F41" s="1461">
        <f>'KQKD PET'!F41</f>
        <v>89858022.727272719</v>
      </c>
      <c r="G41" s="316">
        <f ca="1">'KQKD PET'!G41+'KQKD HD'!F41</f>
        <v>10655816.666666668</v>
      </c>
      <c r="H41" s="316">
        <f ca="1">'KQKD PET'!H41+'KQKD HD'!G41</f>
        <v>10655816.666666668</v>
      </c>
      <c r="I41" s="316">
        <f ca="1">'KQKD PET'!I41+'KQKD HD'!H41</f>
        <v>10655816.666666668</v>
      </c>
      <c r="J41" s="316">
        <f ca="1">'KQKD PET'!J41+'KQKD HD'!I41</f>
        <v>10655816.666666668</v>
      </c>
      <c r="K41" s="316">
        <f ca="1">'KQKD PET'!K41+'KQKD HD'!J41</f>
        <v>10655816.666666668</v>
      </c>
      <c r="L41" s="316">
        <f ca="1">'KQKD PET'!L41+'KQKD HD'!K41</f>
        <v>10655816.666666668</v>
      </c>
      <c r="M41" s="316">
        <f ca="1">'KQKD PET'!M41+'KQKD HD'!L41</f>
        <v>10655816.666666668</v>
      </c>
      <c r="N41" s="316">
        <f ca="1">'KQKD PET'!N41+'KQKD HD'!M41</f>
        <v>10655816.666666668</v>
      </c>
      <c r="O41" s="316">
        <f ca="1">'KQKD PET'!O41+'KQKD HD'!N41</f>
        <v>10655816.666666668</v>
      </c>
      <c r="P41" s="316">
        <f ca="1">'KQKD PET'!P41+'KQKD HD'!O41</f>
        <v>10655816.666666668</v>
      </c>
      <c r="Q41" s="316">
        <f ca="1">'KQKD PET'!Q41+'KQKD HD'!P41</f>
        <v>10655816.666666668</v>
      </c>
      <c r="R41" s="316">
        <f ca="1">'KQKD PET'!R41+'KQKD HD'!Q41</f>
        <v>10655816.666666668</v>
      </c>
      <c r="S41" s="316">
        <f t="shared" ca="1" si="1"/>
        <v>127869800.00000004</v>
      </c>
      <c r="T41" s="123"/>
      <c r="U41" s="1406">
        <f t="shared" si="3"/>
        <v>9.1949019567873344E-4</v>
      </c>
      <c r="V41" s="1406">
        <f t="shared" ca="1" si="4"/>
        <v>1.2839106773500416E-3</v>
      </c>
      <c r="W41"/>
      <c r="X41"/>
      <c r="Y41"/>
      <c r="Z41"/>
    </row>
    <row r="42" spans="2:26" s="112" customFormat="1" ht="14.5" x14ac:dyDescent="0.35">
      <c r="B42" s="312">
        <v>10</v>
      </c>
      <c r="C42" s="313" t="s">
        <v>198</v>
      </c>
      <c r="D42" s="311">
        <f>'KQKD PET'!D42</f>
        <v>114814093</v>
      </c>
      <c r="E42" s="311">
        <f>'KQKD PET'!E42</f>
        <v>-59489094</v>
      </c>
      <c r="F42" s="1460">
        <f>'KQKD PET'!F42</f>
        <v>283673552</v>
      </c>
      <c r="G42" s="311">
        <f>'KQKD PET'!G42+'KQKD HD'!F42</f>
        <v>0</v>
      </c>
      <c r="H42" s="311">
        <f>'KQKD PET'!H42+'KQKD HD'!G42</f>
        <v>0</v>
      </c>
      <c r="I42" s="311">
        <f>'KQKD PET'!I42+'KQKD HD'!H42</f>
        <v>0</v>
      </c>
      <c r="J42" s="311">
        <f>'KQKD PET'!J42+'KQKD HD'!I42</f>
        <v>0</v>
      </c>
      <c r="K42" s="311">
        <f>'KQKD PET'!K42+'KQKD HD'!J42</f>
        <v>0</v>
      </c>
      <c r="L42" s="311">
        <f>'KQKD PET'!L42+'KQKD HD'!K42</f>
        <v>0</v>
      </c>
      <c r="M42" s="311">
        <f>'KQKD PET'!M42+'KQKD HD'!L42</f>
        <v>0</v>
      </c>
      <c r="N42" s="311">
        <f>'KQKD PET'!N42+'KQKD HD'!M42</f>
        <v>0</v>
      </c>
      <c r="O42" s="311">
        <f>'KQKD PET'!O42+'KQKD HD'!N42</f>
        <v>0</v>
      </c>
      <c r="P42" s="311">
        <f>'KQKD PET'!P42+'KQKD HD'!O42</f>
        <v>0</v>
      </c>
      <c r="Q42" s="311">
        <f>'KQKD PET'!Q42+'KQKD HD'!P42</f>
        <v>0</v>
      </c>
      <c r="R42" s="311">
        <f>'KQKD PET'!R42+'KQKD HD'!Q42</f>
        <v>0</v>
      </c>
      <c r="S42" s="311">
        <f t="shared" ref="S42" si="16">SUM(G42:R42)</f>
        <v>0</v>
      </c>
      <c r="U42" s="1406">
        <f t="shared" si="3"/>
        <v>2.90274637612514E-3</v>
      </c>
      <c r="V42" s="1406">
        <f t="shared" si="4"/>
        <v>0</v>
      </c>
      <c r="W42"/>
      <c r="X42"/>
      <c r="Y42"/>
      <c r="Z42"/>
    </row>
    <row r="43" spans="2:26" s="112" customFormat="1" ht="26" collapsed="1" x14ac:dyDescent="0.35">
      <c r="B43" s="303">
        <v>11</v>
      </c>
      <c r="C43" s="304" t="s">
        <v>199</v>
      </c>
      <c r="D43" s="305">
        <f>'KQKD PET'!D43</f>
        <v>-428401141</v>
      </c>
      <c r="E43" s="305">
        <f>'KQKD PET'!E43</f>
        <v>-2285349765</v>
      </c>
      <c r="F43" s="1400">
        <f>'KQKD PET'!F43</f>
        <v>964664328.17675257</v>
      </c>
      <c r="G43" s="305">
        <f t="shared" ref="G43:R43" ca="1" si="17">G32-G34-G38+G42</f>
        <v>-307153648.70298159</v>
      </c>
      <c r="H43" s="305">
        <f t="shared" ca="1" si="17"/>
        <v>-648003978.93160462</v>
      </c>
      <c r="I43" s="305">
        <f t="shared" ca="1" si="17"/>
        <v>-138157997.39343894</v>
      </c>
      <c r="J43" s="305">
        <f t="shared" ca="1" si="17"/>
        <v>-88161731.18389833</v>
      </c>
      <c r="K43" s="305">
        <f t="shared" ca="1" si="17"/>
        <v>-43936535.383898258</v>
      </c>
      <c r="L43" s="305">
        <f t="shared" ca="1" si="17"/>
        <v>-87441745.650565028</v>
      </c>
      <c r="M43" s="305">
        <f t="shared" ca="1" si="17"/>
        <v>-99125290.017231703</v>
      </c>
      <c r="N43" s="305">
        <f t="shared" ca="1" si="17"/>
        <v>-172572450.60056496</v>
      </c>
      <c r="O43" s="305">
        <f t="shared" ca="1" si="17"/>
        <v>-103932866.21723163</v>
      </c>
      <c r="P43" s="305">
        <f t="shared" ca="1" si="17"/>
        <v>-49510908.550565004</v>
      </c>
      <c r="Q43" s="305">
        <f t="shared" ca="1" si="17"/>
        <v>-61328310.850564957</v>
      </c>
      <c r="R43" s="305">
        <f t="shared" ca="1" si="17"/>
        <v>-65415549.150565028</v>
      </c>
      <c r="S43" s="305">
        <f t="shared" ca="1" si="1"/>
        <v>-1864741012.63311</v>
      </c>
      <c r="U43" s="1406">
        <f t="shared" si="3"/>
        <v>9.8711207409010113E-3</v>
      </c>
      <c r="V43" s="1406">
        <f t="shared" ca="1" si="4"/>
        <v>-1.8723427240929274E-2</v>
      </c>
      <c r="W43"/>
      <c r="X43"/>
      <c r="Y43"/>
      <c r="Z43"/>
    </row>
    <row r="44" spans="2:26" s="112" customFormat="1" ht="14.5" x14ac:dyDescent="0.35">
      <c r="B44" s="312">
        <v>12</v>
      </c>
      <c r="C44" s="313" t="s">
        <v>200</v>
      </c>
      <c r="D44" s="311">
        <f>'KQKD PET'!D44</f>
        <v>4823037</v>
      </c>
      <c r="E44" s="311">
        <f>'KQKD PET'!E44</f>
        <v>438643</v>
      </c>
      <c r="F44" s="1460">
        <f>'KQKD PET'!F44</f>
        <v>6026805</v>
      </c>
      <c r="G44" s="311">
        <f>'KQKD PET'!G44+'KQKD HD'!F44</f>
        <v>60000</v>
      </c>
      <c r="H44" s="311">
        <f>'KQKD PET'!H44+'KQKD HD'!G44</f>
        <v>60000</v>
      </c>
      <c r="I44" s="311">
        <f>'KQKD PET'!I44+'KQKD HD'!H44</f>
        <v>60000</v>
      </c>
      <c r="J44" s="311">
        <f>'KQKD PET'!J44+'KQKD HD'!I44</f>
        <v>60000</v>
      </c>
      <c r="K44" s="311">
        <f>'KQKD PET'!K44+'KQKD HD'!J44</f>
        <v>60000</v>
      </c>
      <c r="L44" s="311">
        <f>'KQKD PET'!L44+'KQKD HD'!K44</f>
        <v>60000</v>
      </c>
      <c r="M44" s="311">
        <f>'KQKD PET'!M44+'KQKD HD'!L44</f>
        <v>60000</v>
      </c>
      <c r="N44" s="311">
        <f>'KQKD PET'!N44+'KQKD HD'!M44</f>
        <v>60000</v>
      </c>
      <c r="O44" s="311">
        <f>'KQKD PET'!O44+'KQKD HD'!N44</f>
        <v>60000</v>
      </c>
      <c r="P44" s="311">
        <f>'KQKD PET'!P44+'KQKD HD'!O44</f>
        <v>60000</v>
      </c>
      <c r="Q44" s="311">
        <f>'KQKD PET'!Q44+'KQKD HD'!P44</f>
        <v>60000</v>
      </c>
      <c r="R44" s="311">
        <f>'KQKD PET'!R44+'KQKD HD'!Q44</f>
        <v>60000</v>
      </c>
      <c r="S44" s="311">
        <f t="shared" si="1"/>
        <v>720000</v>
      </c>
      <c r="U44" s="1406">
        <f t="shared" si="3"/>
        <v>6.1670487960621979E-5</v>
      </c>
      <c r="V44" s="1406">
        <f t="shared" si="4"/>
        <v>7.2293511657328753E-6</v>
      </c>
      <c r="W44"/>
      <c r="X44"/>
      <c r="Y44"/>
      <c r="Z44"/>
    </row>
    <row r="45" spans="2:26" s="112" customFormat="1" ht="14.5" x14ac:dyDescent="0.35">
      <c r="B45" s="312">
        <v>13</v>
      </c>
      <c r="C45" s="313" t="s">
        <v>201</v>
      </c>
      <c r="D45" s="311">
        <f>'KQKD PET'!D45</f>
        <v>0</v>
      </c>
      <c r="E45" s="311">
        <f>'KQKD PET'!E45</f>
        <v>0</v>
      </c>
      <c r="F45" s="1460">
        <f>'KQKD PET'!F45</f>
        <v>0</v>
      </c>
      <c r="G45" s="311">
        <f>'KQKD PET'!G45+'KQKD HD'!F45</f>
        <v>0</v>
      </c>
      <c r="H45" s="311">
        <f>'KQKD PET'!H45+'KQKD HD'!G45</f>
        <v>0</v>
      </c>
      <c r="I45" s="311">
        <f>'KQKD PET'!I45+'KQKD HD'!H45</f>
        <v>0</v>
      </c>
      <c r="J45" s="311">
        <f>'KQKD PET'!J45+'KQKD HD'!I45</f>
        <v>0</v>
      </c>
      <c r="K45" s="311">
        <f>'KQKD PET'!K45+'KQKD HD'!J45</f>
        <v>0</v>
      </c>
      <c r="L45" s="311">
        <f>'KQKD PET'!L45+'KQKD HD'!K45</f>
        <v>0</v>
      </c>
      <c r="M45" s="311">
        <f>'KQKD PET'!M45+'KQKD HD'!L45</f>
        <v>0</v>
      </c>
      <c r="N45" s="311">
        <f>'KQKD PET'!N45+'KQKD HD'!M45</f>
        <v>0</v>
      </c>
      <c r="O45" s="311">
        <f>'KQKD PET'!O45+'KQKD HD'!N45</f>
        <v>0</v>
      </c>
      <c r="P45" s="311">
        <f>'KQKD PET'!P45+'KQKD HD'!O45</f>
        <v>0</v>
      </c>
      <c r="Q45" s="311">
        <f>'KQKD PET'!Q45+'KQKD HD'!P45</f>
        <v>0</v>
      </c>
      <c r="R45" s="311">
        <f>'KQKD PET'!R45+'KQKD HD'!Q45</f>
        <v>0</v>
      </c>
      <c r="S45" s="311">
        <f t="shared" si="1"/>
        <v>0</v>
      </c>
      <c r="U45" s="1406">
        <f t="shared" si="3"/>
        <v>0</v>
      </c>
      <c r="V45" s="1406">
        <f t="shared" si="4"/>
        <v>0</v>
      </c>
      <c r="W45"/>
      <c r="X45"/>
      <c r="Y45"/>
      <c r="Z45"/>
    </row>
    <row r="46" spans="2:26" s="125" customFormat="1" ht="14.5" x14ac:dyDescent="0.35">
      <c r="B46" s="317">
        <v>13.1</v>
      </c>
      <c r="C46" s="318" t="s">
        <v>202</v>
      </c>
      <c r="D46" s="307">
        <f>'KQKD PET'!D46</f>
        <v>0</v>
      </c>
      <c r="E46" s="307">
        <f>'KQKD PET'!E46</f>
        <v>0</v>
      </c>
      <c r="F46" s="1459">
        <f>'KQKD PET'!F46</f>
        <v>0</v>
      </c>
      <c r="G46" s="307">
        <f>'KQKD PET'!G46+'KQKD HD'!F46</f>
        <v>0</v>
      </c>
      <c r="H46" s="307">
        <f>'KQKD PET'!H46+'KQKD HD'!G46</f>
        <v>0</v>
      </c>
      <c r="I46" s="307">
        <f>'KQKD PET'!I46+'KQKD HD'!H46</f>
        <v>0</v>
      </c>
      <c r="J46" s="307">
        <f>'KQKD PET'!J46+'KQKD HD'!I46</f>
        <v>0</v>
      </c>
      <c r="K46" s="307">
        <f>'KQKD PET'!K46+'KQKD HD'!J46</f>
        <v>0</v>
      </c>
      <c r="L46" s="307">
        <f>'KQKD PET'!L46+'KQKD HD'!K46</f>
        <v>0</v>
      </c>
      <c r="M46" s="307">
        <f>'KQKD PET'!M46+'KQKD HD'!L46</f>
        <v>0</v>
      </c>
      <c r="N46" s="307">
        <f>'KQKD PET'!N46+'KQKD HD'!M46</f>
        <v>0</v>
      </c>
      <c r="O46" s="307">
        <f>'KQKD PET'!O46+'KQKD HD'!N46</f>
        <v>0</v>
      </c>
      <c r="P46" s="307">
        <f>'KQKD PET'!P46+'KQKD HD'!O46</f>
        <v>0</v>
      </c>
      <c r="Q46" s="307">
        <f>'KQKD PET'!Q46+'KQKD HD'!P46</f>
        <v>0</v>
      </c>
      <c r="R46" s="307">
        <f>'KQKD PET'!R46+'KQKD HD'!Q46</f>
        <v>0</v>
      </c>
      <c r="S46" s="307">
        <f t="shared" si="1"/>
        <v>0</v>
      </c>
      <c r="U46" s="1406">
        <f t="shared" si="3"/>
        <v>0</v>
      </c>
      <c r="V46" s="1406">
        <f t="shared" si="4"/>
        <v>0</v>
      </c>
      <c r="W46"/>
      <c r="X46"/>
      <c r="Y46"/>
      <c r="Z46"/>
    </row>
    <row r="47" spans="2:26" s="112" customFormat="1" ht="14.5" collapsed="1" x14ac:dyDescent="0.35">
      <c r="B47" s="303">
        <v>14</v>
      </c>
      <c r="C47" s="304" t="s">
        <v>203</v>
      </c>
      <c r="D47" s="305">
        <f>'KQKD PET'!D47</f>
        <v>-423578104</v>
      </c>
      <c r="E47" s="305">
        <f>'KQKD PET'!E47</f>
        <v>-2284911122</v>
      </c>
      <c r="F47" s="1400">
        <f>'KQKD PET'!F47</f>
        <v>970691133.17675257</v>
      </c>
      <c r="G47" s="305">
        <f t="shared" ref="G47:R47" ca="1" si="18">G43+G44-G45</f>
        <v>-307093648.70298159</v>
      </c>
      <c r="H47" s="305">
        <f t="shared" ca="1" si="18"/>
        <v>-647943978.93160462</v>
      </c>
      <c r="I47" s="305">
        <f t="shared" ca="1" si="18"/>
        <v>-138097997.39343894</v>
      </c>
      <c r="J47" s="305">
        <f t="shared" ca="1" si="18"/>
        <v>-88101731.18389833</v>
      </c>
      <c r="K47" s="305">
        <f t="shared" ca="1" si="18"/>
        <v>-43876535.383898258</v>
      </c>
      <c r="L47" s="305">
        <f t="shared" ca="1" si="18"/>
        <v>-87381745.650565028</v>
      </c>
      <c r="M47" s="305">
        <f t="shared" ca="1" si="18"/>
        <v>-99065290.017231703</v>
      </c>
      <c r="N47" s="305">
        <f t="shared" ca="1" si="18"/>
        <v>-172512450.60056496</v>
      </c>
      <c r="O47" s="305">
        <f t="shared" ca="1" si="18"/>
        <v>-103872866.21723163</v>
      </c>
      <c r="P47" s="305">
        <f t="shared" ca="1" si="18"/>
        <v>-49450908.550565004</v>
      </c>
      <c r="Q47" s="305">
        <f t="shared" ca="1" si="18"/>
        <v>-61268310.850564957</v>
      </c>
      <c r="R47" s="305">
        <f t="shared" ca="1" si="18"/>
        <v>-65355549.150565028</v>
      </c>
      <c r="S47" s="305">
        <f t="shared" ca="1" si="1"/>
        <v>-1864021012.63311</v>
      </c>
      <c r="U47" s="1406">
        <f t="shared" si="3"/>
        <v>9.9327912288616326E-3</v>
      </c>
      <c r="V47" s="1406">
        <f t="shared" ca="1" si="4"/>
        <v>-1.8716197889763541E-2</v>
      </c>
      <c r="W47"/>
      <c r="X47"/>
      <c r="Y47"/>
      <c r="Z47"/>
    </row>
    <row r="48" spans="2:26" ht="14.5" x14ac:dyDescent="0.35">
      <c r="B48" s="314">
        <v>15</v>
      </c>
      <c r="C48" s="315" t="s">
        <v>204</v>
      </c>
      <c r="D48" s="316">
        <f>'KQKD PET'!D48</f>
        <v>0</v>
      </c>
      <c r="E48" s="316">
        <f>'KQKD PET'!E48</f>
        <v>0</v>
      </c>
      <c r="F48" s="1461">
        <f>'KQKD PET'!F48</f>
        <v>0</v>
      </c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>
        <f t="shared" si="1"/>
        <v>0</v>
      </c>
      <c r="U48" s="1406">
        <f t="shared" si="3"/>
        <v>0</v>
      </c>
      <c r="V48" s="1406">
        <f t="shared" si="4"/>
        <v>0</v>
      </c>
      <c r="W48"/>
      <c r="X48"/>
      <c r="Y48"/>
      <c r="Z48"/>
    </row>
    <row r="49" spans="2:26" s="112" customFormat="1" ht="14.5" outlineLevel="1" collapsed="1" x14ac:dyDescent="0.35">
      <c r="B49" s="303">
        <v>16</v>
      </c>
      <c r="C49" s="304" t="s">
        <v>205</v>
      </c>
      <c r="D49" s="305">
        <f>'KQKD PET'!D49</f>
        <v>-423578104</v>
      </c>
      <c r="E49" s="305">
        <f>'KQKD PET'!E49</f>
        <v>-2284911122</v>
      </c>
      <c r="F49" s="1400">
        <f>'KQKD PET'!F49</f>
        <v>970691133.17675257</v>
      </c>
      <c r="G49" s="1400">
        <f t="shared" ref="G49:R49" ca="1" si="19">G47-G48</f>
        <v>-307093648.70298159</v>
      </c>
      <c r="H49" s="1400">
        <f t="shared" ca="1" si="19"/>
        <v>-647943978.93160462</v>
      </c>
      <c r="I49" s="1400">
        <f t="shared" ca="1" si="19"/>
        <v>-138097997.39343894</v>
      </c>
      <c r="J49" s="1400">
        <f t="shared" ca="1" si="19"/>
        <v>-88101731.18389833</v>
      </c>
      <c r="K49" s="1400">
        <f t="shared" ca="1" si="19"/>
        <v>-43876535.383898258</v>
      </c>
      <c r="L49" s="1400">
        <f t="shared" ca="1" si="19"/>
        <v>-87381745.650565028</v>
      </c>
      <c r="M49" s="1400">
        <f t="shared" ca="1" si="19"/>
        <v>-99065290.017231703</v>
      </c>
      <c r="N49" s="1400">
        <f t="shared" ca="1" si="19"/>
        <v>-172512450.60056496</v>
      </c>
      <c r="O49" s="1400">
        <f t="shared" ca="1" si="19"/>
        <v>-103872866.21723163</v>
      </c>
      <c r="P49" s="1400">
        <f t="shared" ca="1" si="19"/>
        <v>-49450908.550565004</v>
      </c>
      <c r="Q49" s="1400">
        <f t="shared" ca="1" si="19"/>
        <v>-61268310.850564957</v>
      </c>
      <c r="R49" s="1400">
        <f t="shared" ca="1" si="19"/>
        <v>-65355549.150565028</v>
      </c>
      <c r="S49" s="305">
        <f t="shared" ca="1" si="1"/>
        <v>-1864021012.63311</v>
      </c>
      <c r="U49" s="1406">
        <f t="shared" si="3"/>
        <v>9.9327912288616326E-3</v>
      </c>
      <c r="V49" s="1406">
        <f t="shared" ca="1" si="4"/>
        <v>-1.8716197889763541E-2</v>
      </c>
      <c r="W49"/>
      <c r="X49"/>
      <c r="Y49"/>
      <c r="Z49"/>
    </row>
    <row r="50" spans="2:26" s="180" customFormat="1" ht="14.5" outlineLevel="1" x14ac:dyDescent="0.35">
      <c r="B50" s="323" t="s">
        <v>224</v>
      </c>
      <c r="C50" s="320" t="s">
        <v>207</v>
      </c>
      <c r="D50" s="321">
        <f>'KQKD PET'!D50</f>
        <v>-5.3674780863361971E-3</v>
      </c>
      <c r="E50" s="321">
        <f>'KQKD PET'!E50</f>
        <v>-3.0660439471145252E-2</v>
      </c>
      <c r="F50" s="1462">
        <f>'KQKD PET'!F50</f>
        <v>9.9327912288616326E-3</v>
      </c>
      <c r="G50" s="324">
        <f ca="1">G49/G9</f>
        <v>-4.1112737541482633E-2</v>
      </c>
      <c r="H50" s="324">
        <f t="shared" ref="H50:S50" ca="1" si="20">H49/H9</f>
        <v>-0.11565961875108133</v>
      </c>
      <c r="I50" s="324">
        <f t="shared" ca="1" si="20"/>
        <v>-1.7065964417805699E-2</v>
      </c>
      <c r="J50" s="324">
        <f t="shared" ca="1" si="20"/>
        <v>-1.0109815127577774E-2</v>
      </c>
      <c r="K50" s="324">
        <f t="shared" ca="1" si="20"/>
        <v>-5.0349028924746766E-3</v>
      </c>
      <c r="L50" s="324">
        <f t="shared" ca="1" si="20"/>
        <v>-1.0027195631471204E-2</v>
      </c>
      <c r="M50" s="324">
        <f t="shared" ca="1" si="20"/>
        <v>-1.1367901109043482E-2</v>
      </c>
      <c r="N50" s="324">
        <f t="shared" ca="1" si="20"/>
        <v>-1.9796080727819514E-2</v>
      </c>
      <c r="O50" s="324">
        <f t="shared" ca="1" si="20"/>
        <v>-1.1919578198024739E-2</v>
      </c>
      <c r="P50" s="324">
        <f t="shared" ca="1" si="20"/>
        <v>-5.6745711647075703E-3</v>
      </c>
      <c r="Q50" s="324">
        <f t="shared" ca="1" si="20"/>
        <v>-7.0306370550796181E-3</v>
      </c>
      <c r="R50" s="324">
        <f t="shared" ca="1" si="20"/>
        <v>-7.4996542133134846E-3</v>
      </c>
      <c r="S50" s="324">
        <f t="shared" ca="1" si="20"/>
        <v>-1.8716197889763541E-2</v>
      </c>
      <c r="U50" s="1406">
        <f t="shared" si="3"/>
        <v>1.0163927352799418E-13</v>
      </c>
      <c r="V50" s="1406">
        <f t="shared" ca="1" si="4"/>
        <v>-1.8792495421173506E-13</v>
      </c>
      <c r="W50" s="1409"/>
      <c r="X50" s="1409"/>
      <c r="Y50" s="1409"/>
      <c r="Z50" s="1409"/>
    </row>
    <row r="51" spans="2:26" ht="14.5" outlineLevel="1" x14ac:dyDescent="0.35">
      <c r="B51" s="314">
        <v>17</v>
      </c>
      <c r="C51" s="315" t="s">
        <v>196</v>
      </c>
      <c r="D51" s="316">
        <f>'KQKD PET'!D51</f>
        <v>1036408270</v>
      </c>
      <c r="E51" s="316">
        <f>'KQKD PET'!E51</f>
        <v>1395798298</v>
      </c>
      <c r="F51" s="1461">
        <f>'KQKD PET'!F51</f>
        <v>1998357780.9062979</v>
      </c>
      <c r="G51" s="316">
        <f ca="1">'KQKD PET'!G51+'KQKD HD'!F51</f>
        <v>91983346.430555552</v>
      </c>
      <c r="H51" s="316">
        <f ca="1">'KQKD PET'!H51+'KQKD HD'!G51</f>
        <v>91983346.430555552</v>
      </c>
      <c r="I51" s="316">
        <f ca="1">'KQKD PET'!I51+'KQKD HD'!H51</f>
        <v>91983346.430555552</v>
      </c>
      <c r="J51" s="316">
        <f ca="1">'KQKD PET'!J51+'KQKD HD'!I51</f>
        <v>91983346.430555552</v>
      </c>
      <c r="K51" s="316">
        <f ca="1">'KQKD PET'!K51+'KQKD HD'!J51</f>
        <v>91983346.430555552</v>
      </c>
      <c r="L51" s="316">
        <f ca="1">'KQKD PET'!L51+'KQKD HD'!K51</f>
        <v>91983346.430555552</v>
      </c>
      <c r="M51" s="316">
        <f ca="1">'KQKD PET'!M51+'KQKD HD'!L51</f>
        <v>91983346.430555552</v>
      </c>
      <c r="N51" s="316">
        <f ca="1">'KQKD PET'!N51+'KQKD HD'!M51</f>
        <v>91983346.430555552</v>
      </c>
      <c r="O51" s="316">
        <f ca="1">'KQKD PET'!O51+'KQKD HD'!N51</f>
        <v>91983346.430555552</v>
      </c>
      <c r="P51" s="316">
        <f ca="1">'KQKD PET'!P51+'KQKD HD'!O51</f>
        <v>91983346.430555552</v>
      </c>
      <c r="Q51" s="316">
        <f ca="1">'KQKD PET'!Q51+'KQKD HD'!P51</f>
        <v>91983346.430555552</v>
      </c>
      <c r="R51" s="316">
        <f ca="1">'KQKD PET'!R51+'KQKD HD'!Q51</f>
        <v>91983346.430555552</v>
      </c>
      <c r="S51" s="316">
        <f t="shared" ca="1" si="1"/>
        <v>1103800157.1666667</v>
      </c>
      <c r="U51" s="1406">
        <f t="shared" si="3"/>
        <v>2.0448595809620041E-2</v>
      </c>
      <c r="V51" s="1406">
        <f t="shared" ca="1" si="4"/>
        <v>1.1082998545762463E-2</v>
      </c>
      <c r="W51"/>
      <c r="X51"/>
      <c r="Y51"/>
      <c r="Z51"/>
    </row>
    <row r="52" spans="2:26" s="112" customFormat="1" ht="26" outlineLevel="1" collapsed="1" x14ac:dyDescent="0.35">
      <c r="B52" s="303">
        <v>18</v>
      </c>
      <c r="C52" s="304" t="s">
        <v>208</v>
      </c>
      <c r="D52" s="305">
        <f>'KQKD PET'!D52</f>
        <v>612830166</v>
      </c>
      <c r="E52" s="305">
        <f>'KQKD PET'!E52</f>
        <v>-889112824</v>
      </c>
      <c r="F52" s="1400">
        <f>'KQKD PET'!F52</f>
        <v>2969048914.0830507</v>
      </c>
      <c r="G52" s="305">
        <f t="shared" ref="G52:R52" ca="1" si="21">G49+G51</f>
        <v>-215110302.27242604</v>
      </c>
      <c r="H52" s="305">
        <f t="shared" ca="1" si="21"/>
        <v>-555960632.50104904</v>
      </c>
      <c r="I52" s="305">
        <f t="shared" ca="1" si="21"/>
        <v>-46114650.962883383</v>
      </c>
      <c r="J52" s="305">
        <f ca="1">J49+J51</f>
        <v>3881615.2466572225</v>
      </c>
      <c r="K52" s="305">
        <f t="shared" ca="1" si="21"/>
        <v>48106811.046657294</v>
      </c>
      <c r="L52" s="305">
        <f t="shared" ca="1" si="21"/>
        <v>4601600.7799905241</v>
      </c>
      <c r="M52" s="305">
        <f t="shared" ca="1" si="21"/>
        <v>-7081943.5866761506</v>
      </c>
      <c r="N52" s="305">
        <f t="shared" ca="1" si="21"/>
        <v>-80529104.170009404</v>
      </c>
      <c r="O52" s="305">
        <f t="shared" ca="1" si="21"/>
        <v>-11889519.786676079</v>
      </c>
      <c r="P52" s="305">
        <f t="shared" ca="1" si="21"/>
        <v>42532437.879990548</v>
      </c>
      <c r="Q52" s="305">
        <f t="shared" ca="1" si="21"/>
        <v>30715035.579990596</v>
      </c>
      <c r="R52" s="305">
        <f t="shared" ca="1" si="21"/>
        <v>26627797.279990524</v>
      </c>
      <c r="S52" s="305">
        <f t="shared" ca="1" si="1"/>
        <v>-760220855.46644306</v>
      </c>
      <c r="U52" s="1406">
        <f t="shared" si="3"/>
        <v>3.0381387038481675E-2</v>
      </c>
      <c r="V52" s="1406">
        <f t="shared" ca="1" si="4"/>
        <v>-7.6331993440010753E-3</v>
      </c>
      <c r="W52" s="180"/>
      <c r="X52"/>
      <c r="Y52"/>
      <c r="Z52"/>
    </row>
    <row r="53" spans="2:26" s="180" customFormat="1" ht="14.5" outlineLevel="1" x14ac:dyDescent="0.35">
      <c r="B53" s="323" t="s">
        <v>206</v>
      </c>
      <c r="C53" s="320" t="s">
        <v>222</v>
      </c>
      <c r="D53" s="325">
        <f>'KQKD PET'!D53</f>
        <v>7.765633906918791E-3</v>
      </c>
      <c r="E53" s="325">
        <f>'KQKD PET'!E53</f>
        <v>-1.1930700350134242E-2</v>
      </c>
      <c r="F53" s="1463">
        <f>'KQKD PET'!F53</f>
        <v>3.0381387038481675E-2</v>
      </c>
      <c r="G53" s="325">
        <f t="shared" ref="G53:S53" ca="1" si="22">G52/G9</f>
        <v>-2.8798294712857674E-2</v>
      </c>
      <c r="H53" s="325">
        <f t="shared" ca="1" si="22"/>
        <v>-9.924036164624804E-2</v>
      </c>
      <c r="I53" s="325">
        <f t="shared" ca="1" si="22"/>
        <v>-5.6987864221518915E-3</v>
      </c>
      <c r="J53" s="325">
        <f t="shared" ca="1" si="22"/>
        <v>4.4542158267218881E-4</v>
      </c>
      <c r="K53" s="325">
        <f t="shared" ca="1" si="22"/>
        <v>5.5203338177752873E-3</v>
      </c>
      <c r="L53" s="325">
        <f t="shared" ca="1" si="22"/>
        <v>5.2804107877875883E-4</v>
      </c>
      <c r="M53" s="325">
        <f t="shared" ca="1" si="22"/>
        <v>-8.1266439879351888E-4</v>
      </c>
      <c r="N53" s="325">
        <f t="shared" ca="1" si="22"/>
        <v>-9.2408440175695498E-3</v>
      </c>
      <c r="O53" s="325">
        <f t="shared" ca="1" si="22"/>
        <v>-1.3643414877747746E-3</v>
      </c>
      <c r="P53" s="325">
        <f t="shared" ca="1" si="22"/>
        <v>4.8806655455423936E-3</v>
      </c>
      <c r="Q53" s="325">
        <f t="shared" ca="1" si="22"/>
        <v>3.5245996551703453E-3</v>
      </c>
      <c r="R53" s="325">
        <f t="shared" ca="1" si="22"/>
        <v>3.0555824969364792E-3</v>
      </c>
      <c r="S53" s="325">
        <f t="shared" ca="1" si="22"/>
        <v>-7.6331993440010753E-3</v>
      </c>
      <c r="U53" s="1406">
        <f t="shared" si="3"/>
        <v>3.1088362135222246E-13</v>
      </c>
      <c r="V53" s="1406">
        <f t="shared" ca="1" si="4"/>
        <v>-7.6643164688646654E-14</v>
      </c>
      <c r="X53"/>
      <c r="Y53"/>
      <c r="Z53"/>
    </row>
    <row r="54" spans="2:26" s="129" customFormat="1" ht="14.5" outlineLevel="1" collapsed="1" x14ac:dyDescent="0.35">
      <c r="B54" s="326"/>
      <c r="C54" s="327"/>
      <c r="D54" s="327"/>
      <c r="E54" s="327"/>
      <c r="F54" s="1464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U54" s="1406">
        <f t="shared" si="3"/>
        <v>0</v>
      </c>
      <c r="V54" s="1406">
        <f t="shared" si="4"/>
        <v>0</v>
      </c>
      <c r="W54"/>
      <c r="X54"/>
      <c r="Y54"/>
      <c r="Z54"/>
    </row>
    <row r="56" spans="2:26" s="112" customFormat="1" ht="26.5" customHeight="1" outlineLevel="1" x14ac:dyDescent="0.35">
      <c r="B56" s="332" t="s">
        <v>1807</v>
      </c>
      <c r="C56" s="136"/>
      <c r="D56" s="711" t="str">
        <f>D4</f>
        <v>Thực tế năm 2023</v>
      </c>
      <c r="E56" s="711" t="str">
        <f>E4</f>
        <v>Thực tế năm 2024</v>
      </c>
      <c r="F56" s="1465" t="str">
        <f>F4</f>
        <v>KQKD 2025</v>
      </c>
      <c r="G56" s="333" t="str">
        <f>G4</f>
        <v>T1</v>
      </c>
      <c r="H56" s="333" t="str">
        <f t="shared" ref="H56:S56" si="23">H4</f>
        <v>T2</v>
      </c>
      <c r="I56" s="333" t="str">
        <f t="shared" si="23"/>
        <v>T3</v>
      </c>
      <c r="J56" s="333" t="str">
        <f t="shared" si="23"/>
        <v>T4</v>
      </c>
      <c r="K56" s="333" t="str">
        <f t="shared" si="23"/>
        <v>T5</v>
      </c>
      <c r="L56" s="333" t="str">
        <f t="shared" si="23"/>
        <v>T6</v>
      </c>
      <c r="M56" s="333" t="str">
        <f t="shared" si="23"/>
        <v>T7</v>
      </c>
      <c r="N56" s="333" t="str">
        <f t="shared" si="23"/>
        <v>T8</v>
      </c>
      <c r="O56" s="333" t="str">
        <f t="shared" si="23"/>
        <v>T9</v>
      </c>
      <c r="P56" s="333" t="str">
        <f t="shared" si="23"/>
        <v>T10</v>
      </c>
      <c r="Q56" s="333" t="str">
        <f t="shared" si="23"/>
        <v>T11</v>
      </c>
      <c r="R56" s="333" t="str">
        <f t="shared" si="23"/>
        <v>T12</v>
      </c>
      <c r="S56" s="711" t="str">
        <f t="shared" si="23"/>
        <v>Kế hoạch 2026</v>
      </c>
    </row>
    <row r="57" spans="2:26" ht="18" customHeight="1" outlineLevel="1" x14ac:dyDescent="0.35">
      <c r="B57" s="80" t="s">
        <v>376</v>
      </c>
      <c r="D57" s="334">
        <f>D$58*(1+(D$17+D$18)/D$16)</f>
        <v>6834600.3868237957</v>
      </c>
      <c r="E57" s="334">
        <f>E$58*(1+(E$17+E$18)/E$16)</f>
        <v>8662919.1138616428</v>
      </c>
      <c r="F57" s="1466">
        <f>IFERROR(F$58*(1+(F$17+F$18)/F$16),0)</f>
        <v>6085582.7977694757</v>
      </c>
      <c r="G57" s="334">
        <f ca="1">G$58*(1+(G$17+G$18)/G$16)</f>
        <v>828918.76267404738</v>
      </c>
      <c r="H57" s="334">
        <f t="shared" ref="H57:S57" ca="1" si="24">H$58*(1+(H$17+H$18)/H$16)</f>
        <v>1060466.6132563772</v>
      </c>
      <c r="I57" s="334">
        <f t="shared" ca="1" si="24"/>
        <v>742935.04182072158</v>
      </c>
      <c r="J57" s="334">
        <f ca="1">J$58*(1+(J$17+J$18)/J$16)</f>
        <v>755517.30817861937</v>
      </c>
      <c r="K57" s="334">
        <f ca="1">K$58*(1+(K$17+K$18)/K$16)</f>
        <v>722567.20553118188</v>
      </c>
      <c r="L57" s="334">
        <f t="shared" ca="1" si="24"/>
        <v>754581.89342340466</v>
      </c>
      <c r="M57" s="334">
        <f t="shared" ca="1" si="24"/>
        <v>765452.9269357163</v>
      </c>
      <c r="N57" s="334">
        <f t="shared" ca="1" si="24"/>
        <v>821969.74488750158</v>
      </c>
      <c r="O57" s="334">
        <f t="shared" ca="1" si="24"/>
        <v>769458.06784856785</v>
      </c>
      <c r="P57" s="334">
        <f t="shared" ca="1" si="24"/>
        <v>726647.93309514411</v>
      </c>
      <c r="Q57" s="334">
        <f t="shared" ca="1" si="24"/>
        <v>735729.14980541798</v>
      </c>
      <c r="R57" s="334">
        <f ca="1">R$58*(1+(R$17+R$18)/R$16)</f>
        <v>738174.84305289481</v>
      </c>
      <c r="S57" s="334">
        <f t="shared" ca="1" si="24"/>
        <v>9284195.8226394337</v>
      </c>
    </row>
    <row r="58" spans="2:26" s="112" customFormat="1" ht="18" customHeight="1" outlineLevel="1" x14ac:dyDescent="0.35">
      <c r="B58" s="80" t="s">
        <v>377</v>
      </c>
      <c r="C58" s="135"/>
      <c r="D58" s="334">
        <f>(D$27+D$31+D$34+D$38)/(D$25/D$5)</f>
        <v>6420099.1792616704</v>
      </c>
      <c r="E58" s="334">
        <f>(E$27+E$31+E$34+E$38)/(E$25/E$5)</f>
        <v>7940684.0448409589</v>
      </c>
      <c r="F58" s="1466">
        <f>IFERROR((F$27+F$31+F$34+F$38)/(F$25/F$5),0)</f>
        <v>5505073.493742072</v>
      </c>
      <c r="G58" s="334">
        <f ca="1">(G$27+G$31+G$34+G$38)/(G$25/G$5)</f>
        <v>746437.42699148797</v>
      </c>
      <c r="H58" s="334">
        <f t="shared" ref="H58:S58" ca="1" si="25">(H$27+H$31+H$34+H$38)/(H$25/H$5)</f>
        <v>954945.17177521577</v>
      </c>
      <c r="I58" s="334">
        <f t="shared" ca="1" si="25"/>
        <v>669009.49285972223</v>
      </c>
      <c r="J58" s="334">
        <f t="shared" ca="1" si="25"/>
        <v>680339.7642310845</v>
      </c>
      <c r="K58" s="334">
        <f t="shared" ca="1" si="25"/>
        <v>650668.35257197823</v>
      </c>
      <c r="L58" s="334">
        <f t="shared" ca="1" si="25"/>
        <v>679497.42766628065</v>
      </c>
      <c r="M58" s="334">
        <f t="shared" ca="1" si="25"/>
        <v>689286.74195021729</v>
      </c>
      <c r="N58" s="334">
        <f t="shared" ca="1" si="25"/>
        <v>740179.86932688113</v>
      </c>
      <c r="O58" s="334">
        <f t="shared" ca="1" si="25"/>
        <v>692893.35240753519</v>
      </c>
      <c r="P58" s="334">
        <f t="shared" ca="1" si="25"/>
        <v>654343.02845127787</v>
      </c>
      <c r="Q58" s="334">
        <f t="shared" ca="1" si="25"/>
        <v>662520.62116651773</v>
      </c>
      <c r="R58" s="334">
        <f t="shared" ca="1" si="25"/>
        <v>664722.95637361077</v>
      </c>
      <c r="S58" s="334">
        <f t="shared" ca="1" si="25"/>
        <v>8360374.4463209659</v>
      </c>
    </row>
    <row r="59" spans="2:26" ht="18" customHeight="1" outlineLevel="1" x14ac:dyDescent="0.35">
      <c r="B59" s="80" t="s">
        <v>378</v>
      </c>
      <c r="D59" s="98">
        <f>D$58*(D$9/D$5)</f>
        <v>89627979381.861618</v>
      </c>
      <c r="E59" s="98">
        <f>E$58*(E$9/E$5)</f>
        <v>120891154072.02179</v>
      </c>
      <c r="F59" s="1467">
        <f>IFERROR(F$58*(F$9/F$5),0)</f>
        <v>91497746167.571762</v>
      </c>
      <c r="G59" s="98">
        <f ca="1">G$58*(G$9/G$5)</f>
        <v>10446977108.458439</v>
      </c>
      <c r="H59" s="98">
        <f t="shared" ref="H59:S59" ca="1" si="26">H$58*(H$9/H$5)</f>
        <v>13365206497.720747</v>
      </c>
      <c r="I59" s="98">
        <f t="shared" ca="1" si="26"/>
        <v>9363312455.293869</v>
      </c>
      <c r="J59" s="98">
        <f t="shared" ca="1" si="26"/>
        <v>9521888487.7502289</v>
      </c>
      <c r="K59" s="98">
        <f t="shared" ca="1" si="26"/>
        <v>9106613814.7911186</v>
      </c>
      <c r="L59" s="98">
        <f t="shared" ca="1" si="26"/>
        <v>9510099327.0089302</v>
      </c>
      <c r="M59" s="98">
        <f t="shared" ca="1" si="26"/>
        <v>9647108456.6877365</v>
      </c>
      <c r="N59" s="98">
        <f t="shared" ca="1" si="26"/>
        <v>10359397682.088448</v>
      </c>
      <c r="O59" s="98">
        <f t="shared" ca="1" si="26"/>
        <v>9697585798.155714</v>
      </c>
      <c r="P59" s="98">
        <f t="shared" ca="1" si="26"/>
        <v>9158043785.2131195</v>
      </c>
      <c r="Q59" s="98">
        <f t="shared" ca="1" si="26"/>
        <v>9272495607.7091293</v>
      </c>
      <c r="R59" s="98">
        <f t="shared" ca="1" si="26"/>
        <v>9303319015.8900204</v>
      </c>
      <c r="S59" s="98">
        <f t="shared" ca="1" si="26"/>
        <v>117009996150.49048</v>
      </c>
    </row>
    <row r="60" spans="2:26" s="112" customFormat="1" ht="26.5" customHeight="1" outlineLevel="1" x14ac:dyDescent="0.35">
      <c r="B60" s="332" t="s">
        <v>1808</v>
      </c>
      <c r="C60" s="136"/>
      <c r="D60" s="712" t="str">
        <f>D56</f>
        <v>Thực tế năm 2023</v>
      </c>
      <c r="E60" s="712" t="str">
        <f>E56</f>
        <v>Thực tế năm 2024</v>
      </c>
      <c r="F60" s="1468" t="str">
        <f>F56</f>
        <v>KQKD 2025</v>
      </c>
      <c r="G60" s="335" t="str">
        <f>G56</f>
        <v>T1</v>
      </c>
      <c r="H60" s="335" t="str">
        <f t="shared" ref="H60:S60" si="27">H56</f>
        <v>T2</v>
      </c>
      <c r="I60" s="335" t="str">
        <f t="shared" si="27"/>
        <v>T3</v>
      </c>
      <c r="J60" s="335" t="str">
        <f t="shared" si="27"/>
        <v>T4</v>
      </c>
      <c r="K60" s="335" t="str">
        <f t="shared" si="27"/>
        <v>T5</v>
      </c>
      <c r="L60" s="335" t="str">
        <f t="shared" si="27"/>
        <v>T6</v>
      </c>
      <c r="M60" s="335" t="str">
        <f t="shared" si="27"/>
        <v>T7</v>
      </c>
      <c r="N60" s="335" t="str">
        <f t="shared" si="27"/>
        <v>T8</v>
      </c>
      <c r="O60" s="335" t="str">
        <f t="shared" si="27"/>
        <v>T9</v>
      </c>
      <c r="P60" s="335" t="str">
        <f t="shared" si="27"/>
        <v>T10</v>
      </c>
      <c r="Q60" s="335" t="str">
        <f t="shared" si="27"/>
        <v>T11</v>
      </c>
      <c r="R60" s="335" t="str">
        <f t="shared" si="27"/>
        <v>T12</v>
      </c>
      <c r="S60" s="712" t="str">
        <f t="shared" si="27"/>
        <v>Kế hoạch 2026</v>
      </c>
    </row>
    <row r="61" spans="2:26" ht="18" customHeight="1" outlineLevel="1" x14ac:dyDescent="0.35">
      <c r="B61" s="80" t="s">
        <v>376</v>
      </c>
      <c r="D61" s="334">
        <f>D$62*(1+(D$17+D$18)/D$16)</f>
        <v>5276082.6506059673</v>
      </c>
      <c r="E61" s="334">
        <f>E$62*(1+(E$17+E$18)/E$16)</f>
        <v>6579324.3550627362</v>
      </c>
      <c r="F61" s="1466">
        <f>IFERROR(F$62*(1+(F$17+F$18)/F$16),0)</f>
        <v>4870000.6155465972</v>
      </c>
      <c r="G61" s="334">
        <f ca="1">G$62*(1+(G$17+G$18)/G$16)</f>
        <v>758170.46540746733</v>
      </c>
      <c r="H61" s="334">
        <f t="shared" ref="H61:S61" ca="1" si="28">H$62*(1+(H$17+H$18)/H$16)</f>
        <v>973031.6951715321</v>
      </c>
      <c r="I61" s="334">
        <f t="shared" ca="1" si="28"/>
        <v>675776.30256112851</v>
      </c>
      <c r="J61" s="334">
        <f ca="1">J$62*(1+(J$17+J$18)/J$16)</f>
        <v>688675.77193630801</v>
      </c>
      <c r="K61" s="334">
        <f ca="1">K$62*(1+(K$17+K$18)/K$16)</f>
        <v>657427.68512146163</v>
      </c>
      <c r="L61" s="334">
        <f t="shared" ca="1" si="28"/>
        <v>688173.99033975019</v>
      </c>
      <c r="M61" s="334">
        <f t="shared" ca="1" si="28"/>
        <v>696784.50729158567</v>
      </c>
      <c r="N61" s="334">
        <f t="shared" ca="1" si="28"/>
        <v>752402.53983662883</v>
      </c>
      <c r="O61" s="334">
        <f t="shared" ca="1" si="28"/>
        <v>700421.35658013728</v>
      </c>
      <c r="P61" s="334">
        <f t="shared" ca="1" si="28"/>
        <v>661261.05340841401</v>
      </c>
      <c r="Q61" s="334">
        <f t="shared" ca="1" si="28"/>
        <v>669321.24672176351</v>
      </c>
      <c r="R61" s="334">
        <f t="shared" ca="1" si="28"/>
        <v>672477.19733563066</v>
      </c>
      <c r="S61" s="334">
        <f t="shared" ca="1" si="28"/>
        <v>8466217.9117762446</v>
      </c>
    </row>
    <row r="62" spans="2:26" s="112" customFormat="1" ht="18" customHeight="1" outlineLevel="1" x14ac:dyDescent="0.35">
      <c r="B62" s="80" t="s">
        <v>377</v>
      </c>
      <c r="C62" s="135"/>
      <c r="D62" s="334">
        <f>(D$27+D$31+D$34+D$38-D51)/(D$25/D$5)</f>
        <v>4956101.5974210752</v>
      </c>
      <c r="E62" s="334">
        <f>(E$27+E$31+E$34+E$38-E51)/(E$25/E$5)</f>
        <v>6030800.3855748111</v>
      </c>
      <c r="F62" s="1469">
        <f>IFERROR((F$27+F$31+F$34+F$38-F51)/(F$25/F$5),0)</f>
        <v>4405446.8066689689</v>
      </c>
      <c r="G62" s="334">
        <f ca="1">(G$27+G$31+G$34+G$38-G51)/(G$25/G$5)</f>
        <v>682728.91977259552</v>
      </c>
      <c r="H62" s="334">
        <f t="shared" ref="H62:S62" ca="1" si="29">(H$27+H$31+H$34+H$38-H51)/(H$25/H$5)</f>
        <v>876210.44139714725</v>
      </c>
      <c r="I62" s="334">
        <f t="shared" ca="1" si="29"/>
        <v>608533.36565612652</v>
      </c>
      <c r="J62" s="334">
        <f ca="1">(J$27+J$31+J$34+J$38-J51)/(J$25/J$5)</f>
        <v>620149.27684494189</v>
      </c>
      <c r="K62" s="334">
        <f ca="1">(K$27+K$31+K$34+K$38-K51)/(K$25/K$5)</f>
        <v>592010.52239663363</v>
      </c>
      <c r="L62" s="334">
        <f t="shared" ca="1" si="29"/>
        <v>619697.4248894644</v>
      </c>
      <c r="M62" s="334">
        <f t="shared" ca="1" si="29"/>
        <v>627451.15469751076</v>
      </c>
      <c r="N62" s="334">
        <f t="shared" ca="1" si="29"/>
        <v>677534.93006450136</v>
      </c>
      <c r="O62" s="334">
        <f t="shared" ca="1" si="29"/>
        <v>630726.12028828205</v>
      </c>
      <c r="P62" s="334">
        <f t="shared" ca="1" si="29"/>
        <v>595462.45241640159</v>
      </c>
      <c r="Q62" s="334">
        <f t="shared" ca="1" si="29"/>
        <v>602720.61838970147</v>
      </c>
      <c r="R62" s="334">
        <f t="shared" ca="1" si="29"/>
        <v>605562.53699741617</v>
      </c>
      <c r="S62" s="334">
        <f t="shared" ca="1" si="29"/>
        <v>7623789.204661184</v>
      </c>
    </row>
    <row r="63" spans="2:26" ht="18" customHeight="1" outlineLevel="1" x14ac:dyDescent="0.35">
      <c r="B63" s="80" t="s">
        <v>378</v>
      </c>
      <c r="D63" s="98">
        <f>D$62*(D$9/D$5)</f>
        <v>69189799002.318909</v>
      </c>
      <c r="E63" s="98">
        <f>E$62*(E$9/E$5)</f>
        <v>91814560870.710876</v>
      </c>
      <c r="F63" s="1395">
        <f>IFERROR(F$62*(F$9/F$5),0)</f>
        <v>73221266551.58197</v>
      </c>
      <c r="G63" s="98">
        <f ca="1">G$62*(G$9/G$5)</f>
        <v>9555326593.0061646</v>
      </c>
      <c r="H63" s="98">
        <f t="shared" ref="H63:S63" ca="1" si="30">H$62*(H$9/H$5)</f>
        <v>12263252206.366987</v>
      </c>
      <c r="I63" s="98">
        <f t="shared" ca="1" si="30"/>
        <v>8516901632.8212843</v>
      </c>
      <c r="J63" s="98">
        <f t="shared" ca="1" si="30"/>
        <v>8679475418.5069046</v>
      </c>
      <c r="K63" s="98">
        <f ca="1">K$62*(K$9/K$5)</f>
        <v>8285651485.0436096</v>
      </c>
      <c r="L63" s="98">
        <f t="shared" ca="1" si="30"/>
        <v>8673151396.0710106</v>
      </c>
      <c r="M63" s="98">
        <f t="shared" ca="1" si="30"/>
        <v>8781670924.8094273</v>
      </c>
      <c r="N63" s="98">
        <f t="shared" ca="1" si="30"/>
        <v>9482632634.1826782</v>
      </c>
      <c r="O63" s="98">
        <f t="shared" ca="1" si="30"/>
        <v>8827506636.3112926</v>
      </c>
      <c r="P63" s="98">
        <f t="shared" ca="1" si="30"/>
        <v>8333963952.495657</v>
      </c>
      <c r="Q63" s="98">
        <f t="shared" ca="1" si="30"/>
        <v>8435547676.7712088</v>
      </c>
      <c r="R63" s="98">
        <f t="shared" ca="1" si="30"/>
        <v>8475322556.1721001</v>
      </c>
      <c r="S63" s="98">
        <f t="shared" ca="1" si="30"/>
        <v>106700908101.32462</v>
      </c>
    </row>
    <row r="66" spans="19:19" x14ac:dyDescent="0.35">
      <c r="S66" s="1395"/>
    </row>
  </sheetData>
  <phoneticPr fontId="8" type="noConversion"/>
  <conditionalFormatting sqref="B3:F3 B5:S18 B19:B22 F20:R20 C20:C22 G20:S25 F21:F40 B23:C24 F26:S26 G27:S40 F41:S55 B64:S65 B66:R66 B67:S1048576">
    <cfRule type="containsText" dxfId="133" priority="19" operator="containsText" text="xxx">
      <formula>NOT(ISERROR(SEARCH("xxx",B3)))</formula>
    </cfRule>
  </conditionalFormatting>
  <conditionalFormatting sqref="C19:S19">
    <cfRule type="containsText" dxfId="132" priority="10" operator="containsText" text="xxx">
      <formula>NOT(ISERROR(SEARCH("xxx",C19)))</formula>
    </cfRule>
  </conditionalFormatting>
  <conditionalFormatting sqref="C56:S56">
    <cfRule type="containsText" dxfId="131" priority="7" operator="containsText" text="xxx">
      <formula>NOT(ISERROR(SEARCH("xxx",C56)))</formula>
    </cfRule>
  </conditionalFormatting>
  <conditionalFormatting sqref="D20:E54 C25:C54 C55:E55">
    <cfRule type="containsText" dxfId="130" priority="17" operator="containsText" text="xxx">
      <formula>NOT(ISERROR(SEARCH("xxx",C20)))</formula>
    </cfRule>
  </conditionalFormatting>
  <conditionalFormatting sqref="F4:Q4">
    <cfRule type="containsText" dxfId="129" priority="5" operator="containsText" text="xxx">
      <formula>NOT(ISERROR(SEARCH("xxx",F4)))</formula>
    </cfRule>
  </conditionalFormatting>
  <conditionalFormatting sqref="H3:S3">
    <cfRule type="containsText" dxfId="128" priority="44" operator="containsText" text="xxx">
      <formula>NOT(ISERROR(SEARCH("xxx",H3)))</formula>
    </cfRule>
  </conditionalFormatting>
  <conditionalFormatting sqref="U3">
    <cfRule type="containsText" dxfId="127" priority="4" operator="containsText" text="xxx">
      <formula>NOT(ISERROR(SEARCH("xxx",U3)))</formula>
    </cfRule>
  </conditionalFormatting>
  <conditionalFormatting sqref="U5:U41 U49:Z1048576">
    <cfRule type="containsText" dxfId="126" priority="3" operator="containsText" text="xxx">
      <formula>NOT(ISERROR(SEARCH("xxx",U5)))</formula>
    </cfRule>
  </conditionalFormatting>
  <conditionalFormatting sqref="U43:U47">
    <cfRule type="containsText" dxfId="125" priority="1" operator="containsText" text="xxx">
      <formula>NOT(ISERROR(SEARCH("xxx",U43)))</formula>
    </cfRule>
  </conditionalFormatting>
  <conditionalFormatting sqref="V49 V3:Z48">
    <cfRule type="containsText" dxfId="124" priority="2" operator="containsText" text="xxx">
      <formula>NOT(ISERROR(SEARCH("xxx",V3)))</formula>
    </cfRule>
  </conditionalFormatting>
  <conditionalFormatting sqref="AA3:XFD1048576 B25:B63 T56:T63">
    <cfRule type="containsText" dxfId="123" priority="9" operator="containsText" text="xxx">
      <formula>NOT(ISERROR(SEARCH("xxx",B3)))</formula>
    </cfRule>
  </conditionalFormatting>
  <pageMargins left="0.7" right="0.7" top="0.75" bottom="0.75" header="0.3" footer="0.3"/>
  <ignoredErrors>
    <ignoredError sqref="F57:F63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373D-08F7-41D4-9B57-D746BEFF578D}">
  <sheetPr>
    <tabColor rgb="FFFF0000"/>
  </sheetPr>
  <dimension ref="B1:V66"/>
  <sheetViews>
    <sheetView showGridLines="0" zoomScale="99" zoomScaleNormal="99" workbookViewId="0">
      <pane xSplit="6" ySplit="4" topLeftCell="P46" activePane="bottomRight" state="frozen"/>
      <selection pane="topRight" activeCell="F1" sqref="F1"/>
      <selection pane="bottomLeft" activeCell="A5" sqref="A5"/>
      <selection pane="bottomRight" activeCell="R47" sqref="R47"/>
    </sheetView>
  </sheetViews>
  <sheetFormatPr defaultColWidth="8.453125" defaultRowHeight="12.5" outlineLevelRow="1" x14ac:dyDescent="0.35"/>
  <cols>
    <col min="1" max="1" width="3.81640625" style="94" customWidth="1"/>
    <col min="2" max="2" width="7.81640625" style="95" customWidth="1"/>
    <col min="3" max="3" width="45" style="96" customWidth="1"/>
    <col min="4" max="4" width="9.1796875" style="96" customWidth="1"/>
    <col min="5" max="5" width="10.54296875" style="96" customWidth="1"/>
    <col min="6" max="6" width="10.1796875" style="97" customWidth="1"/>
    <col min="7" max="9" width="8.54296875" style="98" customWidth="1"/>
    <col min="10" max="10" width="9.54296875" style="98" customWidth="1"/>
    <col min="11" max="11" width="8.54296875" style="98" customWidth="1"/>
    <col min="12" max="12" width="8.81640625" style="98" customWidth="1"/>
    <col min="13" max="18" width="8.54296875" style="98" customWidth="1"/>
    <col min="19" max="19" width="10.54296875" style="98" customWidth="1"/>
    <col min="20" max="20" width="5" style="94" customWidth="1"/>
    <col min="21" max="21" width="27.54296875" style="94" bestFit="1" customWidth="1"/>
    <col min="22" max="22" width="14.453125" style="94" bestFit="1" customWidth="1"/>
    <col min="23" max="16384" width="8.453125" style="94"/>
  </cols>
  <sheetData>
    <row r="1" spans="2:21" ht="7.5" customHeight="1" x14ac:dyDescent="0.35">
      <c r="B1" s="223"/>
    </row>
    <row r="2" spans="2:21" ht="9" customHeight="1" x14ac:dyDescent="0.35">
      <c r="E2" s="330"/>
      <c r="F2" s="330"/>
      <c r="G2" s="330"/>
      <c r="S2" s="330"/>
    </row>
    <row r="3" spans="2:21" s="36" customFormat="1" ht="17.5" customHeight="1" x14ac:dyDescent="0.3">
      <c r="B3" s="137" t="s">
        <v>400</v>
      </c>
      <c r="C3" s="39"/>
      <c r="D3" s="39"/>
      <c r="E3" s="39"/>
      <c r="F3" s="100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204" t="s">
        <v>233</v>
      </c>
    </row>
    <row r="4" spans="2:21" s="101" customFormat="1" ht="30" customHeight="1" x14ac:dyDescent="0.35">
      <c r="B4" s="141" t="s">
        <v>0</v>
      </c>
      <c r="C4" s="141" t="s">
        <v>100</v>
      </c>
      <c r="D4" s="1230" t="s">
        <v>2210</v>
      </c>
      <c r="E4" s="397" t="s">
        <v>373</v>
      </c>
      <c r="F4" s="1231" t="s">
        <v>405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7" t="s">
        <v>63</v>
      </c>
      <c r="O4" s="7" t="s">
        <v>64</v>
      </c>
      <c r="P4" s="7" t="s">
        <v>65</v>
      </c>
      <c r="Q4" s="7" t="s">
        <v>66</v>
      </c>
      <c r="R4" s="7" t="s">
        <v>67</v>
      </c>
      <c r="S4" s="7" t="s">
        <v>2246</v>
      </c>
      <c r="U4" s="101" t="s">
        <v>690</v>
      </c>
    </row>
    <row r="5" spans="2:21" s="102" customFormat="1" ht="13" x14ac:dyDescent="0.35">
      <c r="B5" s="103" t="s">
        <v>184</v>
      </c>
      <c r="C5" s="104" t="s">
        <v>228</v>
      </c>
      <c r="D5" s="1236">
        <f>D6+D7+D8</f>
        <v>5652770.5</v>
      </c>
      <c r="E5" s="1236">
        <f>E6+E7+E8</f>
        <v>4895018.4000000004</v>
      </c>
      <c r="F5" s="1236">
        <f>F6+F7+F8</f>
        <v>5879799</v>
      </c>
      <c r="G5" s="105">
        <f>G6+G7+G8</f>
        <v>533700</v>
      </c>
      <c r="H5" s="105">
        <f t="shared" ref="H5:R5" si="0">H6+H7+H8</f>
        <v>400275</v>
      </c>
      <c r="I5" s="105">
        <f t="shared" si="0"/>
        <v>578175</v>
      </c>
      <c r="J5" s="105">
        <f t="shared" si="0"/>
        <v>622650</v>
      </c>
      <c r="K5" s="105">
        <f t="shared" si="0"/>
        <v>622650</v>
      </c>
      <c r="L5" s="105">
        <f t="shared" si="0"/>
        <v>622650</v>
      </c>
      <c r="M5" s="105">
        <f t="shared" si="0"/>
        <v>622650</v>
      </c>
      <c r="N5" s="105">
        <f t="shared" si="0"/>
        <v>622650</v>
      </c>
      <c r="O5" s="105">
        <f t="shared" si="0"/>
        <v>622650</v>
      </c>
      <c r="P5" s="105">
        <f t="shared" si="0"/>
        <v>622650</v>
      </c>
      <c r="Q5" s="105">
        <f t="shared" si="0"/>
        <v>622650</v>
      </c>
      <c r="R5" s="105">
        <f t="shared" si="0"/>
        <v>622650</v>
      </c>
      <c r="S5" s="105">
        <f>SUM(G5:R5)</f>
        <v>7116000</v>
      </c>
      <c r="T5" s="106"/>
      <c r="U5" s="102">
        <f>'3.Thanh pham'!$T$136+'3.Thanh pham'!$T$97</f>
        <v>7116000</v>
      </c>
    </row>
    <row r="6" spans="2:21" s="107" customFormat="1" x14ac:dyDescent="0.35">
      <c r="B6" s="108" t="s">
        <v>209</v>
      </c>
      <c r="C6" s="109" t="s">
        <v>327</v>
      </c>
      <c r="D6" s="1237">
        <f>'4.Doanh thu'!AJ22</f>
        <v>5652770.5</v>
      </c>
      <c r="E6" s="1237">
        <f>'4.Doanh thu'!AH22</f>
        <v>4895018.4000000004</v>
      </c>
      <c r="F6" s="1237">
        <f>'4.Doanh thu'!AF22</f>
        <v>5879799</v>
      </c>
      <c r="G6" s="110">
        <f>'4.Doanh thu'!F22</f>
        <v>533700</v>
      </c>
      <c r="H6" s="110">
        <f>'4.Doanh thu'!G22</f>
        <v>400275</v>
      </c>
      <c r="I6" s="110">
        <f>'4.Doanh thu'!H22</f>
        <v>578175</v>
      </c>
      <c r="J6" s="110">
        <f>'4.Doanh thu'!I22</f>
        <v>622650</v>
      </c>
      <c r="K6" s="110">
        <f>'4.Doanh thu'!J22</f>
        <v>622650</v>
      </c>
      <c r="L6" s="110">
        <f>'4.Doanh thu'!K22</f>
        <v>622650</v>
      </c>
      <c r="M6" s="110">
        <f>'4.Doanh thu'!L22</f>
        <v>622650</v>
      </c>
      <c r="N6" s="110">
        <f>'4.Doanh thu'!M22</f>
        <v>622650</v>
      </c>
      <c r="O6" s="110">
        <f>'4.Doanh thu'!N22</f>
        <v>622650</v>
      </c>
      <c r="P6" s="110">
        <f>'4.Doanh thu'!O22</f>
        <v>622650</v>
      </c>
      <c r="Q6" s="110">
        <f>'4.Doanh thu'!P22</f>
        <v>622650</v>
      </c>
      <c r="R6" s="110">
        <f>'4.Doanh thu'!Q22</f>
        <v>622650</v>
      </c>
      <c r="S6" s="110">
        <f t="shared" ref="S6:S49" si="1">SUM(G6:R6)</f>
        <v>7116000</v>
      </c>
      <c r="T6" s="111"/>
    </row>
    <row r="7" spans="2:21" s="107" customFormat="1" x14ac:dyDescent="0.35">
      <c r="B7" s="108" t="s">
        <v>210</v>
      </c>
      <c r="C7" s="109" t="s">
        <v>328</v>
      </c>
      <c r="D7" s="1237">
        <f>'4.Doanh thu'!AJ80</f>
        <v>0</v>
      </c>
      <c r="E7" s="1237">
        <f>'4.Doanh thu'!AH80</f>
        <v>0</v>
      </c>
      <c r="F7" s="1237">
        <f>'4.Doanh thu'!AF80</f>
        <v>0</v>
      </c>
      <c r="G7" s="110">
        <f>'4.Doanh thu'!F80</f>
        <v>0</v>
      </c>
      <c r="H7" s="110">
        <f>'4.Doanh thu'!G80</f>
        <v>0</v>
      </c>
      <c r="I7" s="110">
        <f>'4.Doanh thu'!H80</f>
        <v>0</v>
      </c>
      <c r="J7" s="110">
        <f>'4.Doanh thu'!I80</f>
        <v>0</v>
      </c>
      <c r="K7" s="110">
        <f>'4.Doanh thu'!J80</f>
        <v>0</v>
      </c>
      <c r="L7" s="110">
        <f>'4.Doanh thu'!K80</f>
        <v>0</v>
      </c>
      <c r="M7" s="110">
        <f>'4.Doanh thu'!L80</f>
        <v>0</v>
      </c>
      <c r="N7" s="110">
        <f>'4.Doanh thu'!M80</f>
        <v>0</v>
      </c>
      <c r="O7" s="110">
        <f>'4.Doanh thu'!N80</f>
        <v>0</v>
      </c>
      <c r="P7" s="110">
        <f>'4.Doanh thu'!O80</f>
        <v>0</v>
      </c>
      <c r="Q7" s="110">
        <f>'4.Doanh thu'!P80</f>
        <v>0</v>
      </c>
      <c r="R7" s="110">
        <f>'4.Doanh thu'!Q80</f>
        <v>0</v>
      </c>
      <c r="S7" s="110">
        <f t="shared" si="1"/>
        <v>0</v>
      </c>
      <c r="T7" s="111"/>
    </row>
    <row r="8" spans="2:21" s="107" customFormat="1" x14ac:dyDescent="0.35">
      <c r="B8" s="108" t="s">
        <v>211</v>
      </c>
      <c r="C8" s="109" t="s">
        <v>329</v>
      </c>
      <c r="D8" s="1237"/>
      <c r="E8" s="1237"/>
      <c r="F8" s="1237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>
        <f t="shared" si="1"/>
        <v>0</v>
      </c>
      <c r="T8" s="111"/>
    </row>
    <row r="9" spans="2:21" s="112" customFormat="1" ht="13" x14ac:dyDescent="0.35">
      <c r="B9" s="145">
        <v>2</v>
      </c>
      <c r="C9" s="146" t="s">
        <v>185</v>
      </c>
      <c r="D9" s="1238">
        <f>D10+D11+D12+D13</f>
        <v>78915665269</v>
      </c>
      <c r="E9" s="1238">
        <f>E10+E11+E12+E13</f>
        <v>74523104085</v>
      </c>
      <c r="F9" s="1232">
        <f>F10+F11+F12+F13</f>
        <v>97725917198</v>
      </c>
      <c r="G9" s="147">
        <f t="shared" ref="G9:R9" si="2">G10+G11+G12+G13</f>
        <v>7469550000</v>
      </c>
      <c r="H9" s="147">
        <f t="shared" si="2"/>
        <v>5602162500</v>
      </c>
      <c r="I9" s="147">
        <f t="shared" si="2"/>
        <v>8092012500</v>
      </c>
      <c r="J9" s="147">
        <f t="shared" si="2"/>
        <v>8714475000</v>
      </c>
      <c r="K9" s="147">
        <f t="shared" si="2"/>
        <v>8714475000</v>
      </c>
      <c r="L9" s="147">
        <f t="shared" si="2"/>
        <v>8714475000</v>
      </c>
      <c r="M9" s="147">
        <f t="shared" si="2"/>
        <v>8714475000</v>
      </c>
      <c r="N9" s="147">
        <f t="shared" si="2"/>
        <v>8714475000</v>
      </c>
      <c r="O9" s="147">
        <f t="shared" si="2"/>
        <v>8714475000</v>
      </c>
      <c r="P9" s="147">
        <f t="shared" si="2"/>
        <v>8714475000</v>
      </c>
      <c r="Q9" s="147">
        <f t="shared" si="2"/>
        <v>8714475000</v>
      </c>
      <c r="R9" s="147">
        <f t="shared" si="2"/>
        <v>8714475000</v>
      </c>
      <c r="S9" s="147">
        <f t="shared" si="1"/>
        <v>99594000000</v>
      </c>
      <c r="U9" s="460">
        <f>'4.Doanh thu'!$R$60+'4.Doanh thu'!$R$119</f>
        <v>99594000000</v>
      </c>
    </row>
    <row r="10" spans="2:21" outlineLevel="1" x14ac:dyDescent="0.35">
      <c r="B10" s="116" t="s">
        <v>214</v>
      </c>
      <c r="C10" s="109" t="s">
        <v>327</v>
      </c>
      <c r="D10" s="1239">
        <f>'4.Doanh thu'!AJ60</f>
        <v>78915665269</v>
      </c>
      <c r="E10" s="1239">
        <f>'4.Doanh thu'!AH60</f>
        <v>74523104085</v>
      </c>
      <c r="F10" s="1239">
        <f>'4.Doanh thu'!AF60</f>
        <v>97725917198</v>
      </c>
      <c r="G10" s="117">
        <f>'4.Doanh thu'!F60</f>
        <v>7469550000</v>
      </c>
      <c r="H10" s="117">
        <f>'4.Doanh thu'!G60</f>
        <v>5602162500</v>
      </c>
      <c r="I10" s="117">
        <f>'4.Doanh thu'!H60</f>
        <v>8092012500</v>
      </c>
      <c r="J10" s="117">
        <f>'4.Doanh thu'!I60</f>
        <v>8714475000</v>
      </c>
      <c r="K10" s="117">
        <f>'4.Doanh thu'!J60</f>
        <v>8714475000</v>
      </c>
      <c r="L10" s="117">
        <f>'4.Doanh thu'!K60</f>
        <v>8714475000</v>
      </c>
      <c r="M10" s="117">
        <f>'4.Doanh thu'!L60</f>
        <v>8714475000</v>
      </c>
      <c r="N10" s="117">
        <f>'4.Doanh thu'!M60</f>
        <v>8714475000</v>
      </c>
      <c r="O10" s="117">
        <f>'4.Doanh thu'!N60</f>
        <v>8714475000</v>
      </c>
      <c r="P10" s="117">
        <f>'4.Doanh thu'!O60</f>
        <v>8714475000</v>
      </c>
      <c r="Q10" s="117">
        <f>'4.Doanh thu'!P60</f>
        <v>8714475000</v>
      </c>
      <c r="R10" s="117">
        <f>'4.Doanh thu'!Q60</f>
        <v>8714475000</v>
      </c>
      <c r="S10" s="117">
        <f t="shared" si="1"/>
        <v>99594000000</v>
      </c>
      <c r="U10" s="107"/>
    </row>
    <row r="11" spans="2:21" outlineLevel="1" x14ac:dyDescent="0.35">
      <c r="B11" s="116" t="s">
        <v>212</v>
      </c>
      <c r="C11" s="109" t="s">
        <v>328</v>
      </c>
      <c r="D11" s="1239">
        <f>'4.Doanh thu'!AJ119</f>
        <v>0</v>
      </c>
      <c r="E11" s="1239">
        <f>'4.Doanh thu'!AH119</f>
        <v>0</v>
      </c>
      <c r="F11" s="1239">
        <f>'4.Doanh thu'!AF119</f>
        <v>0</v>
      </c>
      <c r="G11" s="117">
        <f>'4.Doanh thu'!F119</f>
        <v>0</v>
      </c>
      <c r="H11" s="117">
        <f>'4.Doanh thu'!G119</f>
        <v>0</v>
      </c>
      <c r="I11" s="117">
        <f>'4.Doanh thu'!H119</f>
        <v>0</v>
      </c>
      <c r="J11" s="117">
        <f>'4.Doanh thu'!I119</f>
        <v>0</v>
      </c>
      <c r="K11" s="117">
        <f>'4.Doanh thu'!J119</f>
        <v>0</v>
      </c>
      <c r="L11" s="117">
        <f>'4.Doanh thu'!K119</f>
        <v>0</v>
      </c>
      <c r="M11" s="117">
        <f>'4.Doanh thu'!L119</f>
        <v>0</v>
      </c>
      <c r="N11" s="117">
        <f>'4.Doanh thu'!M119</f>
        <v>0</v>
      </c>
      <c r="O11" s="117">
        <f>'4.Doanh thu'!N119</f>
        <v>0</v>
      </c>
      <c r="P11" s="117">
        <f>'4.Doanh thu'!O119</f>
        <v>0</v>
      </c>
      <c r="Q11" s="117">
        <f>'4.Doanh thu'!P119</f>
        <v>0</v>
      </c>
      <c r="R11" s="117">
        <f>'4.Doanh thu'!Q119</f>
        <v>0</v>
      </c>
      <c r="S11" s="117">
        <f t="shared" si="1"/>
        <v>0</v>
      </c>
      <c r="U11" s="107"/>
    </row>
    <row r="12" spans="2:21" outlineLevel="1" x14ac:dyDescent="0.35">
      <c r="B12" s="116" t="s">
        <v>213</v>
      </c>
      <c r="C12" s="109" t="s">
        <v>329</v>
      </c>
      <c r="D12" s="1239"/>
      <c r="E12" s="1239"/>
      <c r="F12" s="1239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>
        <f t="shared" si="1"/>
        <v>0</v>
      </c>
      <c r="U12" s="107"/>
    </row>
    <row r="13" spans="2:21" outlineLevel="1" x14ac:dyDescent="0.35">
      <c r="B13" s="116" t="s">
        <v>215</v>
      </c>
      <c r="C13" s="118" t="s">
        <v>25</v>
      </c>
      <c r="D13" s="1239"/>
      <c r="E13" s="1239"/>
      <c r="F13" s="1239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>
        <f t="shared" si="1"/>
        <v>0</v>
      </c>
      <c r="U13" s="107"/>
    </row>
    <row r="14" spans="2:21" s="112" customFormat="1" ht="13" x14ac:dyDescent="0.35">
      <c r="B14" s="113">
        <v>3</v>
      </c>
      <c r="C14" s="114" t="s">
        <v>85</v>
      </c>
      <c r="D14" s="1240">
        <f>D15+D23</f>
        <v>74913897665.5</v>
      </c>
      <c r="E14" s="1240">
        <f>E15+E23</f>
        <v>70945682854</v>
      </c>
      <c r="F14" s="1240">
        <f>F15+F23</f>
        <v>87040525310.058365</v>
      </c>
      <c r="G14" s="115">
        <f ca="1">G15+G23</f>
        <v>6698985531.7207994</v>
      </c>
      <c r="H14" s="115">
        <f t="shared" ref="H14:Q14" ca="1" si="3">H15+H23</f>
        <v>5134533617.3494225</v>
      </c>
      <c r="I14" s="115">
        <f t="shared" ca="1" si="3"/>
        <v>7212616384.8445902</v>
      </c>
      <c r="J14" s="115">
        <f t="shared" ca="1" si="3"/>
        <v>7762938749.9683828</v>
      </c>
      <c r="K14" s="115">
        <f t="shared" ca="1" si="3"/>
        <v>7738076273.9683828</v>
      </c>
      <c r="L14" s="115">
        <f t="shared" ca="1" si="3"/>
        <v>7756725367.9683828</v>
      </c>
      <c r="M14" s="115">
        <f t="shared" ca="1" si="3"/>
        <v>7788253818.9683828</v>
      </c>
      <c r="N14" s="115">
        <f t="shared" ca="1" si="3"/>
        <v>7800220291.9683828</v>
      </c>
      <c r="O14" s="115">
        <f t="shared" ca="1" si="3"/>
        <v>7793194950.9683828</v>
      </c>
      <c r="P14" s="115">
        <f t="shared" ca="1" si="3"/>
        <v>7741770000.9683828</v>
      </c>
      <c r="Q14" s="115">
        <f t="shared" ca="1" si="3"/>
        <v>7756725367.9683828</v>
      </c>
      <c r="R14" s="115">
        <f ca="1">R15+R23</f>
        <v>7746371134.9683828</v>
      </c>
      <c r="S14" s="115">
        <f t="shared" ca="1" si="1"/>
        <v>88930411491.630264</v>
      </c>
      <c r="U14" s="107"/>
    </row>
    <row r="15" spans="2:21" s="112" customFormat="1" ht="13" x14ac:dyDescent="0.35">
      <c r="B15" s="119">
        <v>3.1</v>
      </c>
      <c r="C15" s="120" t="s">
        <v>186</v>
      </c>
      <c r="D15" s="115">
        <f>D16+D20+D21+D22</f>
        <v>73435298631.5</v>
      </c>
      <c r="E15" s="115">
        <f>E16+E20+E21+E22</f>
        <v>69651631026</v>
      </c>
      <c r="F15" s="115">
        <f>F16+F20+F21+F22</f>
        <v>85723903881.486938</v>
      </c>
      <c r="G15" s="115">
        <f ca="1">G16+G20+G21+G22</f>
        <v>6584621246.0065136</v>
      </c>
      <c r="H15" s="115">
        <f t="shared" ref="H15:Q15" ca="1" si="4">H16+H20+H21+H22</f>
        <v>5048760403.0637083</v>
      </c>
      <c r="I15" s="115">
        <f t="shared" ca="1" si="4"/>
        <v>7088721741.9874477</v>
      </c>
      <c r="J15" s="115">
        <f t="shared" ca="1" si="4"/>
        <v>7629513749.9683828</v>
      </c>
      <c r="K15" s="115">
        <f ca="1">K16+K20+K21+K22</f>
        <v>7604651273.9683828</v>
      </c>
      <c r="L15" s="115">
        <f ca="1">L16+L20+L21+L22</f>
        <v>7623300367.9683828</v>
      </c>
      <c r="M15" s="115">
        <f t="shared" ca="1" si="4"/>
        <v>7654828818.9683828</v>
      </c>
      <c r="N15" s="115">
        <f t="shared" ca="1" si="4"/>
        <v>7666795291.9683828</v>
      </c>
      <c r="O15" s="115">
        <f t="shared" ca="1" si="4"/>
        <v>7659769950.9683828</v>
      </c>
      <c r="P15" s="115">
        <f t="shared" ca="1" si="4"/>
        <v>7608345000.9683828</v>
      </c>
      <c r="Q15" s="115">
        <f t="shared" ca="1" si="4"/>
        <v>7623300367.9683828</v>
      </c>
      <c r="R15" s="115">
        <f ca="1">R16+R20+R21+R22</f>
        <v>7612946134.9683828</v>
      </c>
      <c r="S15" s="115">
        <f ca="1">SUM(G15:R15)</f>
        <v>87405554348.773117</v>
      </c>
      <c r="U15" s="107"/>
    </row>
    <row r="16" spans="2:21" ht="13" x14ac:dyDescent="0.35">
      <c r="B16" s="121" t="s">
        <v>216</v>
      </c>
      <c r="C16" s="122" t="s">
        <v>293</v>
      </c>
      <c r="D16" s="1239">
        <f>65387977661-414619518-4421623024+792534516+1021205404+3891200+D17</f>
        <v>66674046263</v>
      </c>
      <c r="E16" s="1239">
        <f>58200191176+E17</f>
        <v>64023356129</v>
      </c>
      <c r="F16" s="1239">
        <f>57301760425+13642350000+F17</f>
        <v>79307026326</v>
      </c>
      <c r="G16" s="117">
        <f>'1.NVL Chai'!H42</f>
        <v>6000000000</v>
      </c>
      <c r="H16" s="117">
        <f>'1.NVL Chai'!I42</f>
        <v>4500000000</v>
      </c>
      <c r="I16" s="117">
        <f>'1.NVL Chai'!J42</f>
        <v>6500000000</v>
      </c>
      <c r="J16" s="117">
        <f>'1.NVL Chai'!K42</f>
        <v>7000000000</v>
      </c>
      <c r="K16" s="117">
        <f>'1.NVL Chai'!L42</f>
        <v>7000000000</v>
      </c>
      <c r="L16" s="117">
        <f>'1.NVL Chai'!M42</f>
        <v>7000000000</v>
      </c>
      <c r="M16" s="117">
        <f>'1.NVL Chai'!N42</f>
        <v>7000000000</v>
      </c>
      <c r="N16" s="117">
        <f>'1.NVL Chai'!O42</f>
        <v>7000000000</v>
      </c>
      <c r="O16" s="117">
        <f>'1.NVL Chai'!P42</f>
        <v>7000000000</v>
      </c>
      <c r="P16" s="117">
        <f>'1.NVL Chai'!Q42</f>
        <v>7000000000</v>
      </c>
      <c r="Q16" s="117">
        <f>'1.NVL Chai'!R42</f>
        <v>7000000000</v>
      </c>
      <c r="R16" s="117">
        <f>'1.NVL Chai'!S42</f>
        <v>7000000000</v>
      </c>
      <c r="S16" s="117">
        <f>SUM(G16:R16)</f>
        <v>80000000000</v>
      </c>
      <c r="T16" s="123"/>
      <c r="U16" s="460">
        <f>'3.Thanh pham'!T198</f>
        <v>80000000000</v>
      </c>
    </row>
    <row r="17" spans="2:21" s="125" customFormat="1" ht="13" outlineLevel="1" x14ac:dyDescent="0.35">
      <c r="B17" s="126" t="s">
        <v>217</v>
      </c>
      <c r="C17" s="127" t="s">
        <v>307</v>
      </c>
      <c r="D17" s="1241">
        <f>4421623024+172191089-312083318+201538626-178589397</f>
        <v>4304680024</v>
      </c>
      <c r="E17" s="1241">
        <v>5823164953</v>
      </c>
      <c r="F17" s="1241">
        <f>6555265901+1807650000</f>
        <v>8362915901</v>
      </c>
      <c r="G17" s="128">
        <f>SUM('3.Thanh pham'!H$187:H$189)*'1.NVL Chai'!H$34</f>
        <v>663000000</v>
      </c>
      <c r="H17" s="128">
        <f>SUM('3.Thanh pham'!I$187:I$189)*'1.NVL Chai'!I$34</f>
        <v>497250000</v>
      </c>
      <c r="I17" s="128">
        <f>SUM('3.Thanh pham'!J$187:J$189)*'1.NVL Chai'!J$34</f>
        <v>718250000</v>
      </c>
      <c r="J17" s="128">
        <f>SUM('3.Thanh pham'!K$187:K$189)*'1.NVL Chai'!K$34</f>
        <v>773500000</v>
      </c>
      <c r="K17" s="128">
        <f>SUM('3.Thanh pham'!L$187:L$189)*'1.NVL Chai'!L$34</f>
        <v>773500000</v>
      </c>
      <c r="L17" s="128">
        <f>SUM('3.Thanh pham'!M$187:M$189)*'1.NVL Chai'!M$34</f>
        <v>773500000</v>
      </c>
      <c r="M17" s="128">
        <f>SUM('3.Thanh pham'!N$187:N$189)*'1.NVL Chai'!N$34</f>
        <v>773500000</v>
      </c>
      <c r="N17" s="128">
        <f>SUM('3.Thanh pham'!O$187:O$189)*'1.NVL Chai'!O$34</f>
        <v>773500000</v>
      </c>
      <c r="O17" s="128">
        <f>SUM('3.Thanh pham'!P$187:P$189)*'1.NVL Chai'!P$34</f>
        <v>773500000</v>
      </c>
      <c r="P17" s="128">
        <f>SUM('3.Thanh pham'!Q$187:Q$189)*'1.NVL Chai'!Q$34</f>
        <v>773500000</v>
      </c>
      <c r="Q17" s="128">
        <f>SUM('3.Thanh pham'!R$187:R$189)*'1.NVL Chai'!R$34</f>
        <v>773500000</v>
      </c>
      <c r="R17" s="128">
        <f>SUM('3.Thanh pham'!S$187:S$189)*'1.NVL Chai'!S$34</f>
        <v>773500000</v>
      </c>
      <c r="S17" s="128">
        <f>SUM(G17:R17)</f>
        <v>8840000000</v>
      </c>
      <c r="T17" s="267"/>
      <c r="U17" s="460">
        <f>'3.Thanh pham'!T196</f>
        <v>8840000000</v>
      </c>
    </row>
    <row r="18" spans="2:21" s="125" customFormat="1" ht="13" outlineLevel="1" x14ac:dyDescent="0.35">
      <c r="B18" s="126"/>
      <c r="C18" s="127" t="s">
        <v>308</v>
      </c>
      <c r="D18" s="1241"/>
      <c r="E18" s="1241"/>
      <c r="F18" s="1233"/>
      <c r="G18" s="128">
        <f>('3.Thanh pham'!H$190*'1.NVL Chai'!H$34)</f>
        <v>0</v>
      </c>
      <c r="H18" s="128">
        <f>('3.Thanh pham'!I$190*'1.NVL Chai'!I$34)</f>
        <v>0</v>
      </c>
      <c r="I18" s="128">
        <f>('3.Thanh pham'!J$190*'1.NVL Chai'!J$34)</f>
        <v>0</v>
      </c>
      <c r="J18" s="128">
        <f>('3.Thanh pham'!K$190*'1.NVL Chai'!K$34)</f>
        <v>0</v>
      </c>
      <c r="K18" s="128">
        <f>('3.Thanh pham'!L$190*'1.NVL Chai'!L$34)</f>
        <v>0</v>
      </c>
      <c r="L18" s="128">
        <f>('3.Thanh pham'!M$190*'1.NVL Chai'!M$34)</f>
        <v>0</v>
      </c>
      <c r="M18" s="128">
        <f>('3.Thanh pham'!N$190*'1.NVL Chai'!N$34)</f>
        <v>0</v>
      </c>
      <c r="N18" s="128">
        <f>('3.Thanh pham'!O$190*'1.NVL Chai'!O$34)</f>
        <v>0</v>
      </c>
      <c r="O18" s="128">
        <f>('3.Thanh pham'!P$190*'1.NVL Chai'!P$34)</f>
        <v>0</v>
      </c>
      <c r="P18" s="128">
        <f>('3.Thanh pham'!Q$190*'1.NVL Chai'!Q$34)</f>
        <v>0</v>
      </c>
      <c r="Q18" s="128">
        <f>('3.Thanh pham'!R$190*'1.NVL Chai'!R$34)</f>
        <v>0</v>
      </c>
      <c r="R18" s="128">
        <f>('3.Thanh pham'!S$190*'1.NVL Chai'!S$34)</f>
        <v>0</v>
      </c>
      <c r="S18" s="128">
        <f>SUM(G18:R18)</f>
        <v>0</v>
      </c>
      <c r="T18" s="129"/>
      <c r="U18" s="461">
        <f>U17-S17-S18</f>
        <v>0</v>
      </c>
    </row>
    <row r="19" spans="2:21" s="178" customFormat="1" ht="13" x14ac:dyDescent="0.35">
      <c r="B19" s="179" t="s">
        <v>218</v>
      </c>
      <c r="C19" s="176" t="s">
        <v>297</v>
      </c>
      <c r="D19" s="1242">
        <f>D16/D9</f>
        <v>0.84487719942204165</v>
      </c>
      <c r="E19" s="1242">
        <f>E16/E9</f>
        <v>0.85910747968812284</v>
      </c>
      <c r="F19" s="1234">
        <f>IFERROR(F16/$F$9,0)</f>
        <v>0.81152501403817012</v>
      </c>
      <c r="G19" s="177">
        <f>G16/G9</f>
        <v>0.80326124063698612</v>
      </c>
      <c r="H19" s="177">
        <f t="shared" ref="H19:S19" si="5">H16/H9</f>
        <v>0.80326124063698612</v>
      </c>
      <c r="I19" s="177">
        <f t="shared" si="5"/>
        <v>0.80326124063698612</v>
      </c>
      <c r="J19" s="177">
        <f t="shared" si="5"/>
        <v>0.80326124063698612</v>
      </c>
      <c r="K19" s="177">
        <f>K16/K9</f>
        <v>0.80326124063698612</v>
      </c>
      <c r="L19" s="177">
        <f t="shared" si="5"/>
        <v>0.80326124063698612</v>
      </c>
      <c r="M19" s="177">
        <f t="shared" si="5"/>
        <v>0.80326124063698612</v>
      </c>
      <c r="N19" s="177">
        <f t="shared" si="5"/>
        <v>0.80326124063698612</v>
      </c>
      <c r="O19" s="177">
        <f t="shared" si="5"/>
        <v>0.80326124063698612</v>
      </c>
      <c r="P19" s="177">
        <f t="shared" si="5"/>
        <v>0.80326124063698612</v>
      </c>
      <c r="Q19" s="177">
        <f t="shared" si="5"/>
        <v>0.80326124063698612</v>
      </c>
      <c r="R19" s="177">
        <f t="shared" si="5"/>
        <v>0.80326124063698612</v>
      </c>
      <c r="S19" s="177">
        <f t="shared" si="5"/>
        <v>0.80326124063698612</v>
      </c>
    </row>
    <row r="20" spans="2:21" ht="13" x14ac:dyDescent="0.35">
      <c r="B20" s="126" t="s">
        <v>219</v>
      </c>
      <c r="C20" s="122" t="s">
        <v>220</v>
      </c>
      <c r="D20" s="1239">
        <f>SUM(CPSX!AO19:AO25)</f>
        <v>630817585</v>
      </c>
      <c r="E20" s="1239">
        <f>SUM(CPSX!AM19:AM25)</f>
        <v>620417107</v>
      </c>
      <c r="F20" s="1239">
        <f>SUM(CPSX!AK19:AK25)</f>
        <v>564414632.88692963</v>
      </c>
      <c r="G20" s="117">
        <f>SUM(CPSX!K19:K25)</f>
        <v>129158394.10939693</v>
      </c>
      <c r="H20" s="117">
        <f>SUM(CPSX!L19:L25)</f>
        <v>96868795.582047686</v>
      </c>
      <c r="I20" s="117">
        <f>SUM(CPSX!M19:M25)</f>
        <v>139921593.61851332</v>
      </c>
      <c r="J20" s="117">
        <f>SUM(CPSX!N19:N25)</f>
        <v>150684793.12762973</v>
      </c>
      <c r="K20" s="117">
        <f>SUM(CPSX!O19:O25)</f>
        <v>150684793.12762973</v>
      </c>
      <c r="L20" s="117">
        <f>SUM(CPSX!P19:P25)</f>
        <v>150684793.12762973</v>
      </c>
      <c r="M20" s="117">
        <f>SUM(CPSX!Q19:Q25)</f>
        <v>150684793.12762973</v>
      </c>
      <c r="N20" s="117">
        <f>SUM(CPSX!R19:R25)</f>
        <v>150684793.12762973</v>
      </c>
      <c r="O20" s="117">
        <f>SUM(CPSX!S19:S25)</f>
        <v>150684793.12762973</v>
      </c>
      <c r="P20" s="117">
        <f>SUM(CPSX!T19:T25)</f>
        <v>150684793.12762973</v>
      </c>
      <c r="Q20" s="117">
        <f>SUM(CPSX!U19:U25)</f>
        <v>150684793.12762973</v>
      </c>
      <c r="R20" s="117">
        <f>SUM(CPSX!V19:V25)</f>
        <v>150684793.12762973</v>
      </c>
      <c r="S20" s="117">
        <f>SUM(G20:R20)</f>
        <v>1722111921.4586258</v>
      </c>
      <c r="T20" s="123"/>
      <c r="U20" s="706">
        <f>SUM(CPSX!W19:W25)</f>
        <v>1722111921.4586258</v>
      </c>
    </row>
    <row r="21" spans="2:21" ht="13" x14ac:dyDescent="0.35">
      <c r="B21" s="126" t="s">
        <v>255</v>
      </c>
      <c r="C21" s="122" t="s">
        <v>23</v>
      </c>
      <c r="D21" s="1239">
        <f>CPSX!AO$18</f>
        <v>326356700</v>
      </c>
      <c r="E21" s="1239">
        <f>CPSX!AM$18</f>
        <v>377182809</v>
      </c>
      <c r="F21" s="1239">
        <f>CPSX!AK$18</f>
        <v>453250096</v>
      </c>
      <c r="G21" s="117">
        <f>CPSX!K$18</f>
        <v>45584273.661822051</v>
      </c>
      <c r="H21" s="117">
        <f>CPSX!L$18</f>
        <v>34188205.246366538</v>
      </c>
      <c r="I21" s="117">
        <f>CPSX!M$18</f>
        <v>49382963.133640558</v>
      </c>
      <c r="J21" s="117">
        <f>CPSX!N$18</f>
        <v>53181652.605459057</v>
      </c>
      <c r="K21" s="117">
        <f>CPSX!O$18</f>
        <v>53181652.605459057</v>
      </c>
      <c r="L21" s="117">
        <f>CPSX!P$18</f>
        <v>53181652.605459057</v>
      </c>
      <c r="M21" s="117">
        <f>CPSX!Q$18</f>
        <v>53181652.605459057</v>
      </c>
      <c r="N21" s="117">
        <f>CPSX!R$18</f>
        <v>53181652.605459057</v>
      </c>
      <c r="O21" s="117">
        <f>CPSX!S$18</f>
        <v>53181652.605459057</v>
      </c>
      <c r="P21" s="117">
        <f>CPSX!T$18</f>
        <v>53181652.605459057</v>
      </c>
      <c r="Q21" s="117">
        <f>CPSX!U$18</f>
        <v>53181652.605459057</v>
      </c>
      <c r="R21" s="117">
        <f>CPSX!V$18</f>
        <v>53181652.605459057</v>
      </c>
      <c r="S21" s="117">
        <f t="shared" si="1"/>
        <v>607790315.4909606</v>
      </c>
      <c r="T21" s="123"/>
      <c r="U21" s="706">
        <f>CPSX!W18</f>
        <v>607790315.4909606</v>
      </c>
    </row>
    <row r="22" spans="2:21" ht="13" x14ac:dyDescent="0.35">
      <c r="B22" s="126" t="s">
        <v>296</v>
      </c>
      <c r="C22" s="122" t="s">
        <v>187</v>
      </c>
      <c r="D22" s="1239">
        <f>SUM(CPSX!AO6:AO16)</f>
        <v>5804078083.499999</v>
      </c>
      <c r="E22" s="1239">
        <f>SUM(CPSX!AM6:AM16)</f>
        <v>4630674981</v>
      </c>
      <c r="F22" s="1239">
        <f>SUM(CPSX!AK6:AK16)</f>
        <v>5399212826.5999994</v>
      </c>
      <c r="G22" s="117">
        <f ca="1">SUM(CPSX!K6:K16)</f>
        <v>409878578.2352941</v>
      </c>
      <c r="H22" s="117">
        <f ca="1">SUM(CPSX!L6:L16)</f>
        <v>417703402.2352941</v>
      </c>
      <c r="I22" s="117">
        <f ca="1">SUM(CPSX!M6:M16)</f>
        <v>399417185.2352941</v>
      </c>
      <c r="J22" s="117">
        <f ca="1">SUM(CPSX!N6:N16)</f>
        <v>425647304.2352941</v>
      </c>
      <c r="K22" s="117">
        <f ca="1">SUM(CPSX!O6:O16)</f>
        <v>400784828.2352941</v>
      </c>
      <c r="L22" s="117">
        <f ca="1">SUM(CPSX!P6:P16)</f>
        <v>419433922.2352941</v>
      </c>
      <c r="M22" s="117">
        <f ca="1">SUM(CPSX!Q6:Q16)</f>
        <v>450962373.2352941</v>
      </c>
      <c r="N22" s="117">
        <f ca="1">SUM(CPSX!R6:R16)</f>
        <v>462928846.2352941</v>
      </c>
      <c r="O22" s="117">
        <f ca="1">SUM(CPSX!S6:S16)</f>
        <v>455903505.2352941</v>
      </c>
      <c r="P22" s="117">
        <f ca="1">SUM(CPSX!T6:T16)</f>
        <v>404478555.2352941</v>
      </c>
      <c r="Q22" s="117">
        <f ca="1">SUM(CPSX!U6:U16)</f>
        <v>419433922.2352941</v>
      </c>
      <c r="R22" s="117">
        <f ca="1">SUM(CPSX!V6:V16)</f>
        <v>409079689.2352941</v>
      </c>
      <c r="S22" s="117">
        <f t="shared" ca="1" si="1"/>
        <v>5075652111.8235302</v>
      </c>
      <c r="T22" s="123"/>
      <c r="U22" s="706">
        <f ca="1">SUM(CPSX!W6:W16)</f>
        <v>5075652111.8235292</v>
      </c>
    </row>
    <row r="23" spans="2:21" s="112" customFormat="1" ht="13" x14ac:dyDescent="0.35">
      <c r="B23" s="119">
        <v>3.2</v>
      </c>
      <c r="C23" s="120" t="s">
        <v>188</v>
      </c>
      <c r="D23" s="1240">
        <f>D24</f>
        <v>1478599034</v>
      </c>
      <c r="E23" s="1240">
        <f>E24</f>
        <v>1294051828</v>
      </c>
      <c r="F23" s="1240">
        <f>F24</f>
        <v>1316621428.5714288</v>
      </c>
      <c r="G23" s="115">
        <f t="shared" ref="G23:R23" si="6">G24</f>
        <v>114364285.71428572</v>
      </c>
      <c r="H23" s="115">
        <f t="shared" si="6"/>
        <v>85773214.285714284</v>
      </c>
      <c r="I23" s="115">
        <f t="shared" si="6"/>
        <v>123894642.85714285</v>
      </c>
      <c r="J23" s="115">
        <f t="shared" si="6"/>
        <v>133425000</v>
      </c>
      <c r="K23" s="115">
        <f t="shared" si="6"/>
        <v>133425000</v>
      </c>
      <c r="L23" s="115">
        <f t="shared" si="6"/>
        <v>133425000</v>
      </c>
      <c r="M23" s="115">
        <f t="shared" si="6"/>
        <v>133425000</v>
      </c>
      <c r="N23" s="115">
        <f t="shared" si="6"/>
        <v>133425000</v>
      </c>
      <c r="O23" s="115">
        <f t="shared" si="6"/>
        <v>133425000</v>
      </c>
      <c r="P23" s="115">
        <f t="shared" si="6"/>
        <v>133425000</v>
      </c>
      <c r="Q23" s="115">
        <f t="shared" si="6"/>
        <v>133425000</v>
      </c>
      <c r="R23" s="115">
        <f t="shared" si="6"/>
        <v>133425000</v>
      </c>
      <c r="S23" s="115">
        <f t="shared" si="1"/>
        <v>1524857142.8571429</v>
      </c>
      <c r="T23" s="123"/>
      <c r="U23" s="460">
        <f>CPBH!W8</f>
        <v>1524857142.8571429</v>
      </c>
    </row>
    <row r="24" spans="2:21" outlineLevel="1" collapsed="1" x14ac:dyDescent="0.35">
      <c r="B24" s="121"/>
      <c r="C24" s="122" t="s">
        <v>172</v>
      </c>
      <c r="D24" s="1239">
        <f>CPBH!AO$8</f>
        <v>1478599034</v>
      </c>
      <c r="E24" s="1239">
        <f>CPBH!AM$8</f>
        <v>1294051828</v>
      </c>
      <c r="F24" s="1239">
        <f>CPBH!AK$8</f>
        <v>1316621428.5714288</v>
      </c>
      <c r="G24" s="117">
        <f>CPBH!K$8</f>
        <v>114364285.71428572</v>
      </c>
      <c r="H24" s="117">
        <f>CPBH!L$8</f>
        <v>85773214.285714284</v>
      </c>
      <c r="I24" s="117">
        <f>CPBH!M$8</f>
        <v>123894642.85714285</v>
      </c>
      <c r="J24" s="117">
        <f>CPBH!N$8</f>
        <v>133425000</v>
      </c>
      <c r="K24" s="117">
        <f>CPBH!O$8</f>
        <v>133425000</v>
      </c>
      <c r="L24" s="117">
        <f>CPBH!P$8</f>
        <v>133425000</v>
      </c>
      <c r="M24" s="117">
        <f>CPBH!Q$8</f>
        <v>133425000</v>
      </c>
      <c r="N24" s="117">
        <f>CPBH!R$8</f>
        <v>133425000</v>
      </c>
      <c r="O24" s="117">
        <f>CPBH!S$8</f>
        <v>133425000</v>
      </c>
      <c r="P24" s="117">
        <f>CPBH!T$8</f>
        <v>133425000</v>
      </c>
      <c r="Q24" s="117">
        <f>CPBH!U$8</f>
        <v>133425000</v>
      </c>
      <c r="R24" s="117">
        <f>CPBH!V$8</f>
        <v>133425000</v>
      </c>
      <c r="S24" s="117">
        <f t="shared" si="1"/>
        <v>1524857142.8571429</v>
      </c>
    </row>
    <row r="25" spans="2:21" s="112" customFormat="1" ht="13" x14ac:dyDescent="0.35">
      <c r="B25" s="145">
        <v>4</v>
      </c>
      <c r="C25" s="146" t="s">
        <v>189</v>
      </c>
      <c r="D25" s="1238">
        <f>D9-D14</f>
        <v>4001767603.5</v>
      </c>
      <c r="E25" s="1238">
        <f>E9-E14</f>
        <v>3577421231</v>
      </c>
      <c r="F25" s="1232">
        <f>F9-F14</f>
        <v>10685391887.941635</v>
      </c>
      <c r="G25" s="147">
        <f t="shared" ref="G25:Q25" ca="1" si="7">G9-G14</f>
        <v>770564468.27920055</v>
      </c>
      <c r="H25" s="147">
        <f t="shared" ca="1" si="7"/>
        <v>467628882.65057755</v>
      </c>
      <c r="I25" s="147">
        <f t="shared" ca="1" si="7"/>
        <v>879396115.15540981</v>
      </c>
      <c r="J25" s="147">
        <f ca="1">J9-J14</f>
        <v>951536250.03161716</v>
      </c>
      <c r="K25" s="147">
        <f ca="1">K9-K14</f>
        <v>976398726.03161716</v>
      </c>
      <c r="L25" s="147">
        <f t="shared" ca="1" si="7"/>
        <v>957749632.03161716</v>
      </c>
      <c r="M25" s="147">
        <f t="shared" ca="1" si="7"/>
        <v>926221181.03161716</v>
      </c>
      <c r="N25" s="147">
        <f t="shared" ca="1" si="7"/>
        <v>914254708.03161716</v>
      </c>
      <c r="O25" s="147">
        <f t="shared" ca="1" si="7"/>
        <v>921280049.03161716</v>
      </c>
      <c r="P25" s="147">
        <f t="shared" ca="1" si="7"/>
        <v>972704999.03161716</v>
      </c>
      <c r="Q25" s="147">
        <f t="shared" ca="1" si="7"/>
        <v>957749632.03161716</v>
      </c>
      <c r="R25" s="147">
        <f ca="1">R9-R14</f>
        <v>968103865.03161716</v>
      </c>
      <c r="S25" s="147">
        <f t="shared" ca="1" si="1"/>
        <v>10663588508.36974</v>
      </c>
    </row>
    <row r="26" spans="2:21" s="178" customFormat="1" ht="13" x14ac:dyDescent="0.35">
      <c r="B26" s="175" t="s">
        <v>294</v>
      </c>
      <c r="C26" s="176" t="s">
        <v>295</v>
      </c>
      <c r="D26" s="1242">
        <f>D25/D9</f>
        <v>5.0709419858011286E-2</v>
      </c>
      <c r="E26" s="1242">
        <f>E25/E9</f>
        <v>4.8004189773410991E-2</v>
      </c>
      <c r="F26" s="1234">
        <f>IFERROR(F23/$F$9,0)</f>
        <v>1.3472592187636934E-2</v>
      </c>
      <c r="G26" s="177">
        <f ca="1">G25/G9</f>
        <v>0.10316076179678836</v>
      </c>
      <c r="H26" s="177">
        <f t="shared" ref="H26:S26" ca="1" si="8">H25/H9</f>
        <v>8.3472923652353453E-2</v>
      </c>
      <c r="I26" s="177">
        <f t="shared" ca="1" si="8"/>
        <v>0.10867458684170468</v>
      </c>
      <c r="J26" s="177">
        <f t="shared" ca="1" si="8"/>
        <v>0.10919031267306605</v>
      </c>
      <c r="K26" s="177">
        <f t="shared" ca="1" si="8"/>
        <v>0.11204332171836137</v>
      </c>
      <c r="L26" s="177">
        <f t="shared" ca="1" si="8"/>
        <v>0.10990330823504768</v>
      </c>
      <c r="M26" s="177">
        <f t="shared" ca="1" si="8"/>
        <v>0.10628536785424449</v>
      </c>
      <c r="N26" s="177">
        <f t="shared" ca="1" si="8"/>
        <v>0.1049121958616689</v>
      </c>
      <c r="O26" s="177">
        <f t="shared" ca="1" si="8"/>
        <v>0.1057183650227486</v>
      </c>
      <c r="P26" s="177">
        <f t="shared" ca="1" si="8"/>
        <v>0.11161946061370503</v>
      </c>
      <c r="Q26" s="177">
        <f t="shared" ca="1" si="8"/>
        <v>0.10990330823504768</v>
      </c>
      <c r="R26" s="177">
        <f t="shared" ca="1" si="8"/>
        <v>0.11109147309867974</v>
      </c>
      <c r="S26" s="177">
        <f t="shared" ca="1" si="8"/>
        <v>0.10707059168594232</v>
      </c>
    </row>
    <row r="27" spans="2:21" s="112" customFormat="1" ht="13" x14ac:dyDescent="0.35">
      <c r="B27" s="119">
        <v>5</v>
      </c>
      <c r="C27" s="120" t="s">
        <v>190</v>
      </c>
      <c r="D27" s="1240">
        <f>D28+D29+D30</f>
        <v>2094157795.5</v>
      </c>
      <c r="E27" s="1240">
        <f>E28+E29+E30</f>
        <v>2385196776</v>
      </c>
      <c r="F27" s="1240">
        <f>F28+F29+F30</f>
        <v>4204830397.0697165</v>
      </c>
      <c r="G27" s="115">
        <f ca="1">G28+G29+G30</f>
        <v>524853977.18415034</v>
      </c>
      <c r="H27" s="115">
        <f t="shared" ref="H27:R27" ca="1" si="9">H28+H29+H30</f>
        <v>534684131.78415036</v>
      </c>
      <c r="I27" s="115">
        <f t="shared" ca="1" si="9"/>
        <v>498225577.75081694</v>
      </c>
      <c r="J27" s="115">
        <f t="shared" ca="1" si="9"/>
        <v>516940445.41748369</v>
      </c>
      <c r="K27" s="115">
        <f t="shared" ca="1" si="9"/>
        <v>498017161.61748362</v>
      </c>
      <c r="L27" s="115">
        <f t="shared" ca="1" si="9"/>
        <v>525972070.88415039</v>
      </c>
      <c r="M27" s="115">
        <f t="shared" ca="1" si="9"/>
        <v>506353597.25081706</v>
      </c>
      <c r="N27" s="115">
        <f t="shared" ca="1" si="9"/>
        <v>511919768.83415031</v>
      </c>
      <c r="O27" s="115">
        <f t="shared" ca="1" si="9"/>
        <v>508477235.45081699</v>
      </c>
      <c r="P27" s="115">
        <f t="shared" ca="1" si="9"/>
        <v>498875075.78415036</v>
      </c>
      <c r="Q27" s="115">
        <f t="shared" ca="1" si="9"/>
        <v>503273175.08415031</v>
      </c>
      <c r="R27" s="115">
        <f t="shared" ca="1" si="9"/>
        <v>510986764.38415039</v>
      </c>
      <c r="S27" s="115">
        <f t="shared" ca="1" si="1"/>
        <v>6138578981.4264708</v>
      </c>
      <c r="T27" s="124"/>
    </row>
    <row r="28" spans="2:21" collapsed="1" x14ac:dyDescent="0.35">
      <c r="B28" s="121" t="s">
        <v>545</v>
      </c>
      <c r="C28" s="118" t="s">
        <v>191</v>
      </c>
      <c r="D28" s="1239">
        <f>SUM(CPSX!AO$72:AO$81)</f>
        <v>315172859.5</v>
      </c>
      <c r="E28" s="1239">
        <f>SUM(CPSX!AM$72:AM$81)</f>
        <v>220439144</v>
      </c>
      <c r="F28" s="1239">
        <f>SUM(CPSX!AK$72:AK$81)</f>
        <v>1016231475.6</v>
      </c>
      <c r="G28" s="117">
        <f>SUM(CPSX!K$72:K$81)</f>
        <v>201407919.66666669</v>
      </c>
      <c r="H28" s="117">
        <f>SUM(CPSX!L$72:L$81)</f>
        <v>222914805.16666669</v>
      </c>
      <c r="I28" s="117">
        <f>SUM(CPSX!M$72:M$81)</f>
        <v>191743509.83333331</v>
      </c>
      <c r="J28" s="117">
        <f>SUM(CPSX!N$72:N$81)</f>
        <v>207295411.5</v>
      </c>
      <c r="K28" s="117">
        <f>SUM(CPSX!O$72:O$81)</f>
        <v>197959424</v>
      </c>
      <c r="L28" s="117">
        <f>SUM(CPSX!P$72:P$81)</f>
        <v>205619713.16666669</v>
      </c>
      <c r="M28" s="117">
        <f>SUM(CPSX!Q$72:Q$81)</f>
        <v>205585952.33333334</v>
      </c>
      <c r="N28" s="117">
        <f>SUM(CPSX!R$72:R$81)</f>
        <v>206806725.66666669</v>
      </c>
      <c r="O28" s="117">
        <f>SUM(CPSX!S$72:S$81)</f>
        <v>211188583.83333334</v>
      </c>
      <c r="P28" s="117">
        <f>SUM(CPSX!T$72:T$81)</f>
        <v>196551853.16666669</v>
      </c>
      <c r="Q28" s="117">
        <f>SUM(CPSX!U$72:U$81)</f>
        <v>206661547.16666669</v>
      </c>
      <c r="R28" s="117">
        <f>SUM(CPSX!V$72:V$81)</f>
        <v>201313245.66666669</v>
      </c>
      <c r="S28" s="117">
        <f>SUM(G28:R28)</f>
        <v>2455048691.1666665</v>
      </c>
      <c r="T28" s="123"/>
    </row>
    <row r="29" spans="2:21" ht="17.5" customHeight="1" x14ac:dyDescent="0.35">
      <c r="B29" s="121" t="s">
        <v>1777</v>
      </c>
      <c r="C29" s="118" t="s">
        <v>16</v>
      </c>
      <c r="D29" s="1239">
        <f>CPSX!AO$88</f>
        <v>1118310000</v>
      </c>
      <c r="E29" s="1239">
        <f>CPSX!AM$88</f>
        <v>1557000000</v>
      </c>
      <c r="F29" s="1239">
        <f>CPSX!AK$88</f>
        <v>1800000000</v>
      </c>
      <c r="G29" s="117">
        <f>CPSX!K$88</f>
        <v>150000000</v>
      </c>
      <c r="H29" s="117">
        <f>CPSX!L$88</f>
        <v>150000000</v>
      </c>
      <c r="I29" s="117">
        <f>CPSX!M$88</f>
        <v>150000000</v>
      </c>
      <c r="J29" s="117">
        <f>CPSX!N$88</f>
        <v>150000000</v>
      </c>
      <c r="K29" s="117">
        <f>CPSX!O$88</f>
        <v>150000000</v>
      </c>
      <c r="L29" s="117">
        <f>CPSX!P$88</f>
        <v>150000000</v>
      </c>
      <c r="M29" s="117">
        <f>CPSX!Q$88</f>
        <v>150000000</v>
      </c>
      <c r="N29" s="117">
        <f>CPSX!R$88</f>
        <v>150000000</v>
      </c>
      <c r="O29" s="117">
        <f>CPSX!S$88</f>
        <v>150000000</v>
      </c>
      <c r="P29" s="117">
        <f>CPSX!T$88</f>
        <v>150000000</v>
      </c>
      <c r="Q29" s="117">
        <f>CPSX!U$88</f>
        <v>150000000</v>
      </c>
      <c r="R29" s="117">
        <f>CPSX!V$88</f>
        <v>150000000</v>
      </c>
      <c r="S29" s="117">
        <f t="shared" si="1"/>
        <v>1800000000</v>
      </c>
      <c r="T29" s="123"/>
    </row>
    <row r="30" spans="2:21" ht="25" x14ac:dyDescent="0.35">
      <c r="B30" s="121" t="s">
        <v>1778</v>
      </c>
      <c r="C30" s="118" t="s">
        <v>221</v>
      </c>
      <c r="D30" s="1239">
        <f>CPSX!AO17+SUM(CPSX!AO82:AO87)+SUM(CPSX!AO89:AO98)</f>
        <v>660674936</v>
      </c>
      <c r="E30" s="1239">
        <f>CPSX!AM17+SUM(CPSX!AM82:AM87)+SUM(CPSX!AM89:AM98)</f>
        <v>607757632</v>
      </c>
      <c r="F30" s="1239">
        <f>CPSX!AK17+SUM(CPSX!AK82:AK87)+SUM(CPSX!AK89:AK98)</f>
        <v>1388598921.4697163</v>
      </c>
      <c r="G30" s="1239">
        <f ca="1">CPSX!K17+SUM(CPSX!K82:K87)+SUM(CPSX!K89:K98)</f>
        <v>173446057.51748368</v>
      </c>
      <c r="H30" s="1239">
        <f ca="1">CPSX!L17+SUM(CPSX!L82:L87)+SUM(CPSX!L89:L98)</f>
        <v>161769326.61748368</v>
      </c>
      <c r="I30" s="1239">
        <f ca="1">CPSX!M17+SUM(CPSX!M82:M87)+SUM(CPSX!M89:M98)</f>
        <v>156482067.91748366</v>
      </c>
      <c r="J30" s="1239">
        <f ca="1">CPSX!N17+SUM(CPSX!N82:N87)+SUM(CPSX!N89:N98)</f>
        <v>159645033.91748366</v>
      </c>
      <c r="K30" s="1239">
        <f ca="1">CPSX!O17+SUM(CPSX!O82:O87)+SUM(CPSX!O89:O98)</f>
        <v>150057737.61748365</v>
      </c>
      <c r="L30" s="1239">
        <f ca="1">CPSX!P17+SUM(CPSX!P82:P87)+SUM(CPSX!P89:P98)</f>
        <v>170352357.71748367</v>
      </c>
      <c r="M30" s="1239">
        <f ca="1">CPSX!Q17+SUM(CPSX!Q82:Q87)+SUM(CPSX!Q89:Q98)</f>
        <v>150767644.91748366</v>
      </c>
      <c r="N30" s="1239">
        <f ca="1">CPSX!R17+SUM(CPSX!R82:R87)+SUM(CPSX!R89:R98)</f>
        <v>155113043.16748366</v>
      </c>
      <c r="O30" s="1239">
        <f ca="1">CPSX!S17+SUM(CPSX!S82:S87)+SUM(CPSX!S89:S98)</f>
        <v>147288651.61748365</v>
      </c>
      <c r="P30" s="1239">
        <f ca="1">CPSX!T17+SUM(CPSX!T82:T87)+SUM(CPSX!T89:T98)</f>
        <v>152323222.61748365</v>
      </c>
      <c r="Q30" s="1239">
        <f ca="1">CPSX!U17+SUM(CPSX!U82:U87)+SUM(CPSX!U89:U98)</f>
        <v>146611627.91748366</v>
      </c>
      <c r="R30" s="1239">
        <f ca="1">CPSX!V17+SUM(CPSX!V82:V87)+SUM(CPSX!V89:V98)</f>
        <v>159673518.71748367</v>
      </c>
      <c r="S30" s="117">
        <f t="shared" ca="1" si="1"/>
        <v>1883530290.2598038</v>
      </c>
      <c r="T30" s="123"/>
    </row>
    <row r="31" spans="2:21" s="112" customFormat="1" ht="13" x14ac:dyDescent="0.35">
      <c r="B31" s="119">
        <v>6</v>
      </c>
      <c r="C31" s="114" t="s">
        <v>2220</v>
      </c>
      <c r="D31" s="1240">
        <f>CPSX!AO99</f>
        <v>1036408270</v>
      </c>
      <c r="E31" s="1240">
        <f>CPSX!AM99</f>
        <v>1382050356</v>
      </c>
      <c r="F31" s="1240">
        <f>CPSX!AK99</f>
        <v>1908499758.1790252</v>
      </c>
      <c r="G31" s="115">
        <f ca="1">SUM(CPSX!K100:K104)</f>
        <v>81327529.763888881</v>
      </c>
      <c r="H31" s="115">
        <f ca="1">SUM(CPSX!L100:L104)</f>
        <v>81327529.763888881</v>
      </c>
      <c r="I31" s="115">
        <f ca="1">SUM(CPSX!M100:M104)</f>
        <v>81327529.763888881</v>
      </c>
      <c r="J31" s="115">
        <f ca="1">SUM(CPSX!N100:N104)</f>
        <v>81327529.763888881</v>
      </c>
      <c r="K31" s="115">
        <f ca="1">SUM(CPSX!O100:O104)</f>
        <v>81327529.763888881</v>
      </c>
      <c r="L31" s="115">
        <f ca="1">SUM(CPSX!P100:P104)</f>
        <v>81327529.763888881</v>
      </c>
      <c r="M31" s="115">
        <f ca="1">SUM(CPSX!Q100:Q104)</f>
        <v>81327529.763888881</v>
      </c>
      <c r="N31" s="115">
        <f ca="1">SUM(CPSX!R100:R104)</f>
        <v>81327529.763888881</v>
      </c>
      <c r="O31" s="115">
        <f ca="1">SUM(CPSX!S100:S104)</f>
        <v>81327529.763888881</v>
      </c>
      <c r="P31" s="115">
        <f ca="1">SUM(CPSX!T100:T104)</f>
        <v>81327529.763888881</v>
      </c>
      <c r="Q31" s="115">
        <f ca="1">SUM(CPSX!U100:U104)</f>
        <v>81327529.763888881</v>
      </c>
      <c r="R31" s="115">
        <f ca="1">SUM(CPSX!V100:V104)</f>
        <v>81327529.763888881</v>
      </c>
      <c r="S31" s="115">
        <f t="shared" ca="1" si="1"/>
        <v>975930357.16666639</v>
      </c>
    </row>
    <row r="32" spans="2:21" s="112" customFormat="1" ht="13" collapsed="1" x14ac:dyDescent="0.35">
      <c r="B32" s="145">
        <v>7</v>
      </c>
      <c r="C32" s="146" t="s">
        <v>192</v>
      </c>
      <c r="D32" s="1238">
        <f>D25-D27-D31</f>
        <v>871201538</v>
      </c>
      <c r="E32" s="1238">
        <f>E25-E27-E31</f>
        <v>-189825901</v>
      </c>
      <c r="F32" s="1238">
        <f>F25-F27-F31</f>
        <v>4572061732.692894</v>
      </c>
      <c r="G32" s="147">
        <f t="shared" ref="G32:Q32" ca="1" si="10">G25-G27-G31</f>
        <v>164382961.33116132</v>
      </c>
      <c r="H32" s="147">
        <f t="shared" ca="1" si="10"/>
        <v>-148382778.89746171</v>
      </c>
      <c r="I32" s="147">
        <f t="shared" ca="1" si="10"/>
        <v>299843007.64070398</v>
      </c>
      <c r="J32" s="147">
        <f t="shared" ca="1" si="10"/>
        <v>353268274.85024458</v>
      </c>
      <c r="K32" s="147">
        <f ca="1">K25-K27-K31</f>
        <v>397054034.65024465</v>
      </c>
      <c r="L32" s="147">
        <f t="shared" ca="1" si="10"/>
        <v>350450031.38357788</v>
      </c>
      <c r="M32" s="147">
        <f t="shared" ca="1" si="10"/>
        <v>338540054.01691121</v>
      </c>
      <c r="N32" s="147">
        <f t="shared" ca="1" si="10"/>
        <v>321007409.43357795</v>
      </c>
      <c r="O32" s="147">
        <f t="shared" ca="1" si="10"/>
        <v>331475283.81691128</v>
      </c>
      <c r="P32" s="147">
        <f t="shared" ca="1" si="10"/>
        <v>392502393.48357791</v>
      </c>
      <c r="Q32" s="147">
        <f t="shared" ca="1" si="10"/>
        <v>373148927.18357795</v>
      </c>
      <c r="R32" s="147">
        <f ca="1">R25-R27-R31</f>
        <v>375789570.88357788</v>
      </c>
      <c r="S32" s="147">
        <f t="shared" ca="1" si="1"/>
        <v>3549079169.7766047</v>
      </c>
    </row>
    <row r="33" spans="2:22" s="178" customFormat="1" ht="13" x14ac:dyDescent="0.35">
      <c r="B33" s="175" t="s">
        <v>223</v>
      </c>
      <c r="C33" s="176" t="s">
        <v>193</v>
      </c>
      <c r="D33" s="1242">
        <f>D32/D9</f>
        <v>1.1039652710654258E-2</v>
      </c>
      <c r="E33" s="1242">
        <f>E32/E9</f>
        <v>-2.5472087258132359E-3</v>
      </c>
      <c r="F33" s="1242">
        <f>F32/F9</f>
        <v>4.6784536423736561E-2</v>
      </c>
      <c r="G33" s="177">
        <f t="shared" ref="G33:S33" ca="1" si="11">G32/G9</f>
        <v>2.2007076909741727E-2</v>
      </c>
      <c r="H33" s="177">
        <f t="shared" ca="1" si="11"/>
        <v>-2.64866966814086E-2</v>
      </c>
      <c r="I33" s="177">
        <f t="shared" ca="1" si="11"/>
        <v>3.7054194817507262E-2</v>
      </c>
      <c r="J33" s="177">
        <f t="shared" ca="1" si="11"/>
        <v>4.0538101819127897E-2</v>
      </c>
      <c r="K33" s="177">
        <f t="shared" ca="1" si="11"/>
        <v>4.5562588067582344E-2</v>
      </c>
      <c r="L33" s="177">
        <f t="shared" ca="1" si="11"/>
        <v>4.0214703855777641E-2</v>
      </c>
      <c r="M33" s="177">
        <f t="shared" ca="1" si="11"/>
        <v>3.8848014827848061E-2</v>
      </c>
      <c r="N33" s="177">
        <f t="shared" ca="1" si="11"/>
        <v>3.6836115707897257E-2</v>
      </c>
      <c r="O33" s="177">
        <f t="shared" ca="1" si="11"/>
        <v>3.803732110275275E-2</v>
      </c>
      <c r="P33" s="177">
        <f t="shared" ca="1" si="11"/>
        <v>4.5040279934657902E-2</v>
      </c>
      <c r="Q33" s="177">
        <f t="shared" ca="1" si="11"/>
        <v>4.2819438598834463E-2</v>
      </c>
      <c r="R33" s="177">
        <f t="shared" ca="1" si="11"/>
        <v>4.312245670376906E-2</v>
      </c>
      <c r="S33" s="177">
        <f t="shared" ca="1" si="11"/>
        <v>3.5635471712920502E-2</v>
      </c>
    </row>
    <row r="34" spans="2:22" s="112" customFormat="1" ht="13" x14ac:dyDescent="0.35">
      <c r="B34" s="119">
        <v>8</v>
      </c>
      <c r="C34" s="114" t="s">
        <v>194</v>
      </c>
      <c r="D34" s="1240">
        <f>D35+D36+D37</f>
        <v>0</v>
      </c>
      <c r="E34" s="1240">
        <f>E35+E36+E37</f>
        <v>0</v>
      </c>
      <c r="F34" s="1240">
        <f>F35+F36+F37</f>
        <v>0</v>
      </c>
      <c r="G34" s="115">
        <f t="shared" ref="G34:R34" si="12">G35+G36+G37</f>
        <v>0</v>
      </c>
      <c r="H34" s="115">
        <f t="shared" si="12"/>
        <v>0</v>
      </c>
      <c r="I34" s="115">
        <f t="shared" si="12"/>
        <v>0</v>
      </c>
      <c r="J34" s="115">
        <f t="shared" si="12"/>
        <v>0</v>
      </c>
      <c r="K34" s="115">
        <f t="shared" si="12"/>
        <v>0</v>
      </c>
      <c r="L34" s="115">
        <f t="shared" si="12"/>
        <v>0</v>
      </c>
      <c r="M34" s="115">
        <f t="shared" si="12"/>
        <v>0</v>
      </c>
      <c r="N34" s="115">
        <f t="shared" si="12"/>
        <v>0</v>
      </c>
      <c r="O34" s="115">
        <f t="shared" si="12"/>
        <v>0</v>
      </c>
      <c r="P34" s="115">
        <f t="shared" si="12"/>
        <v>0</v>
      </c>
      <c r="Q34" s="115">
        <f t="shared" si="12"/>
        <v>0</v>
      </c>
      <c r="R34" s="115">
        <f t="shared" si="12"/>
        <v>0</v>
      </c>
      <c r="S34" s="115">
        <f t="shared" si="1"/>
        <v>0</v>
      </c>
      <c r="U34" s="178"/>
      <c r="V34" s="178"/>
    </row>
    <row r="35" spans="2:22" ht="13" outlineLevel="1" collapsed="1" x14ac:dyDescent="0.35">
      <c r="B35" s="121" t="s">
        <v>547</v>
      </c>
      <c r="C35" s="118" t="s">
        <v>195</v>
      </c>
      <c r="D35" s="1239"/>
      <c r="E35" s="1239"/>
      <c r="F35" s="1239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>
        <f t="shared" si="1"/>
        <v>0</v>
      </c>
      <c r="U35" s="178"/>
      <c r="V35" s="178"/>
    </row>
    <row r="36" spans="2:22" ht="13" outlineLevel="1" x14ac:dyDescent="0.35">
      <c r="B36" s="121" t="s">
        <v>1779</v>
      </c>
      <c r="C36" s="118" t="s">
        <v>229</v>
      </c>
      <c r="D36" s="1239"/>
      <c r="E36" s="1239"/>
      <c r="F36" s="1239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>
        <f t="shared" si="1"/>
        <v>0</v>
      </c>
      <c r="U36" s="178"/>
      <c r="V36" s="178"/>
    </row>
    <row r="37" spans="2:22" ht="13" outlineLevel="1" x14ac:dyDescent="0.35">
      <c r="B37" s="121" t="s">
        <v>1780</v>
      </c>
      <c r="C37" s="118" t="s">
        <v>196</v>
      </c>
      <c r="D37" s="1239"/>
      <c r="E37" s="1239"/>
      <c r="F37" s="1239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>
        <f t="shared" si="1"/>
        <v>0</v>
      </c>
      <c r="U37" s="178"/>
      <c r="V37" s="178"/>
    </row>
    <row r="38" spans="2:22" s="112" customFormat="1" ht="13" x14ac:dyDescent="0.35">
      <c r="B38" s="119">
        <v>9</v>
      </c>
      <c r="C38" s="114" t="s">
        <v>197</v>
      </c>
      <c r="D38" s="1240">
        <f>D39+D40+D41</f>
        <v>1414416772</v>
      </c>
      <c r="E38" s="1240">
        <f>E39+E40+E41</f>
        <v>2036034770</v>
      </c>
      <c r="F38" s="1240">
        <f>F39+F40+F41</f>
        <v>3891070956.5161414</v>
      </c>
      <c r="G38" s="115">
        <f t="shared" ref="G38:R38" ca="1" si="13">G39+G40+G41</f>
        <v>471536610.03414291</v>
      </c>
      <c r="H38" s="115">
        <f t="shared" ca="1" si="13"/>
        <v>499621200.03414291</v>
      </c>
      <c r="I38" s="115">
        <f t="shared" ca="1" si="13"/>
        <v>438001005.03414291</v>
      </c>
      <c r="J38" s="115">
        <f t="shared" ca="1" si="13"/>
        <v>441430006.03414291</v>
      </c>
      <c r="K38" s="115">
        <f t="shared" ca="1" si="13"/>
        <v>440990570.03414291</v>
      </c>
      <c r="L38" s="115">
        <f t="shared" ca="1" si="13"/>
        <v>437891777.03414291</v>
      </c>
      <c r="M38" s="115">
        <f t="shared" ca="1" si="13"/>
        <v>437665344.03414291</v>
      </c>
      <c r="N38" s="115">
        <f t="shared" ca="1" si="13"/>
        <v>493579860.03414291</v>
      </c>
      <c r="O38" s="115">
        <f t="shared" ca="1" si="13"/>
        <v>435408150.03414291</v>
      </c>
      <c r="P38" s="115">
        <f t="shared" ca="1" si="13"/>
        <v>442013302.03414291</v>
      </c>
      <c r="Q38" s="115">
        <f t="shared" ca="1" si="13"/>
        <v>434477238.03414291</v>
      </c>
      <c r="R38" s="115">
        <f t="shared" ca="1" si="13"/>
        <v>441205120.03414291</v>
      </c>
      <c r="S38" s="115">
        <f t="shared" ca="1" si="1"/>
        <v>5413820182.4097137</v>
      </c>
      <c r="T38" s="123"/>
      <c r="U38" s="178"/>
      <c r="V38" s="178"/>
    </row>
    <row r="39" spans="2:22" ht="13" collapsed="1" x14ac:dyDescent="0.35">
      <c r="B39" s="121" t="s">
        <v>548</v>
      </c>
      <c r="C39" s="122" t="s">
        <v>195</v>
      </c>
      <c r="D39" s="1239">
        <f>SUM(CPQL!AO5:AO14)</f>
        <v>1124385437</v>
      </c>
      <c r="E39" s="1239">
        <f>SUM(CPQL!AM5:AM14)</f>
        <v>1412576558</v>
      </c>
      <c r="F39" s="1239">
        <f>SUM(CPQL!AK5:AK14)</f>
        <v>2899094389.7888689</v>
      </c>
      <c r="G39" s="1239">
        <f>SUM(CPQL!K5:K14)</f>
        <v>323945534</v>
      </c>
      <c r="H39" s="1239">
        <f>SUM(CPQL!L5:L14)</f>
        <v>362007174</v>
      </c>
      <c r="I39" s="1239">
        <f>SUM(CPQL!M5:M14)</f>
        <v>317132791</v>
      </c>
      <c r="J39" s="1239">
        <f>SUM(CPQL!N5:N14)</f>
        <v>325999646</v>
      </c>
      <c r="K39" s="1239">
        <f>SUM(CPQL!O5:O14)</f>
        <v>321392926</v>
      </c>
      <c r="L39" s="1239">
        <f>SUM(CPQL!P5:P14)</f>
        <v>325999646</v>
      </c>
      <c r="M39" s="1239">
        <f>SUM(CPQL!Q5:Q14)</f>
        <v>323044028</v>
      </c>
      <c r="N39" s="1239">
        <f>SUM(CPQL!R5:R14)</f>
        <v>323044028</v>
      </c>
      <c r="O39" s="1239">
        <f>SUM(CPQL!S5:S14)</f>
        <v>326402658</v>
      </c>
      <c r="P39" s="1239">
        <f>SUM(CPQL!T5:T14)</f>
        <v>320088410</v>
      </c>
      <c r="Q39" s="1239">
        <f>SUM(CPQL!U5:U14)</f>
        <v>325999646</v>
      </c>
      <c r="R39" s="1239">
        <f>SUM(CPQL!V5:V14)</f>
        <v>323044028</v>
      </c>
      <c r="S39" s="117">
        <f t="shared" si="1"/>
        <v>3918100515</v>
      </c>
      <c r="T39" s="123"/>
      <c r="U39" s="178"/>
      <c r="V39" s="178"/>
    </row>
    <row r="40" spans="2:22" ht="13" x14ac:dyDescent="0.35">
      <c r="B40" s="121" t="s">
        <v>1781</v>
      </c>
      <c r="C40" s="122" t="s">
        <v>230</v>
      </c>
      <c r="D40" s="1239">
        <f>SUM(CPQL!AO15:AO62)</f>
        <v>290031335</v>
      </c>
      <c r="E40" s="1239">
        <f>SUM(CPQL!AM15:AM62)</f>
        <v>609710270</v>
      </c>
      <c r="F40" s="1239">
        <f>SUM(CPQL!AK15:AK62)</f>
        <v>902118544</v>
      </c>
      <c r="G40" s="1239">
        <f ca="1">SUM(CPQL!K15:K62)</f>
        <v>136935259.3674762</v>
      </c>
      <c r="H40" s="1239">
        <f ca="1">SUM(CPQL!L15:L62)</f>
        <v>126958209.36747621</v>
      </c>
      <c r="I40" s="1239">
        <f ca="1">SUM(CPQL!M15:M62)</f>
        <v>110212397.36747621</v>
      </c>
      <c r="J40" s="1239">
        <f ca="1">SUM(CPQL!N15:N62)</f>
        <v>104774543.36747621</v>
      </c>
      <c r="K40" s="1239">
        <f ca="1">SUM(CPQL!O15:O62)</f>
        <v>108941827.36747621</v>
      </c>
      <c r="L40" s="1239">
        <f ca="1">SUM(CPQL!P15:P62)</f>
        <v>101236314.36747621</v>
      </c>
      <c r="M40" s="1239">
        <f ca="1">SUM(CPQL!Q15:Q62)</f>
        <v>103965499.36747621</v>
      </c>
      <c r="N40" s="1239">
        <f ca="1">SUM(CPQL!R15:R62)</f>
        <v>159880015.3674762</v>
      </c>
      <c r="O40" s="1239">
        <f ca="1">SUM(CPQL!S15:S62)</f>
        <v>98349675.36747621</v>
      </c>
      <c r="P40" s="1239">
        <f ca="1">SUM(CPQL!T15:T62)</f>
        <v>111269075.36747621</v>
      </c>
      <c r="Q40" s="1239">
        <f ca="1">SUM(CPQL!U15:U62)</f>
        <v>97821775.36747621</v>
      </c>
      <c r="R40" s="1239">
        <f ca="1">SUM(CPQL!V15:V62)</f>
        <v>107505275.3674762</v>
      </c>
      <c r="S40" s="117">
        <f t="shared" ca="1" si="1"/>
        <v>1367849867.4097145</v>
      </c>
      <c r="T40" s="123"/>
      <c r="U40" s="178"/>
      <c r="V40" s="178"/>
    </row>
    <row r="41" spans="2:22" ht="13" x14ac:dyDescent="0.35">
      <c r="B41" s="121" t="s">
        <v>1782</v>
      </c>
      <c r="C41" s="122" t="s">
        <v>196</v>
      </c>
      <c r="D41" s="1239">
        <f>CPQL!AO63</f>
        <v>0</v>
      </c>
      <c r="E41" s="1239">
        <f>CPQL!AM63</f>
        <v>13747942</v>
      </c>
      <c r="F41" s="1239">
        <f>CPQL!AK63</f>
        <v>89858022.727272719</v>
      </c>
      <c r="G41" s="117">
        <f ca="1">CPQL!K63</f>
        <v>10655816.666666668</v>
      </c>
      <c r="H41" s="117">
        <f ca="1">CPQL!L63</f>
        <v>10655816.666666668</v>
      </c>
      <c r="I41" s="117">
        <f ca="1">CPQL!M63</f>
        <v>10655816.666666668</v>
      </c>
      <c r="J41" s="117">
        <f ca="1">CPQL!N63</f>
        <v>10655816.666666668</v>
      </c>
      <c r="K41" s="117">
        <f ca="1">CPQL!O63</f>
        <v>10655816.666666668</v>
      </c>
      <c r="L41" s="117">
        <f ca="1">CPQL!P63</f>
        <v>10655816.666666668</v>
      </c>
      <c r="M41" s="117">
        <f ca="1">CPQL!Q63</f>
        <v>10655816.666666668</v>
      </c>
      <c r="N41" s="117">
        <f ca="1">CPQL!R63</f>
        <v>10655816.666666668</v>
      </c>
      <c r="O41" s="117">
        <f ca="1">CPQL!S63</f>
        <v>10655816.666666668</v>
      </c>
      <c r="P41" s="117">
        <f ca="1">CPQL!T63</f>
        <v>10655816.666666668</v>
      </c>
      <c r="Q41" s="117">
        <f ca="1">CPQL!U63</f>
        <v>10655816.666666668</v>
      </c>
      <c r="R41" s="117">
        <f ca="1">CPQL!V63</f>
        <v>10655816.666666668</v>
      </c>
      <c r="S41" s="117">
        <f t="shared" ca="1" si="1"/>
        <v>127869800.00000004</v>
      </c>
      <c r="T41" s="123"/>
      <c r="U41" s="178"/>
      <c r="V41" s="178"/>
    </row>
    <row r="42" spans="2:22" s="112" customFormat="1" ht="13" x14ac:dyDescent="0.3">
      <c r="B42" s="119">
        <v>10</v>
      </c>
      <c r="C42" s="120" t="s">
        <v>198</v>
      </c>
      <c r="D42" s="1239">
        <v>114814093</v>
      </c>
      <c r="E42" s="1239">
        <f>4158777-63647871</f>
        <v>-59489094</v>
      </c>
      <c r="F42" s="1239">
        <v>283673552</v>
      </c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>
        <f t="shared" si="1"/>
        <v>0</v>
      </c>
      <c r="U42" s="425" t="s">
        <v>1772</v>
      </c>
    </row>
    <row r="43" spans="2:22" s="112" customFormat="1" ht="13" collapsed="1" x14ac:dyDescent="0.35">
      <c r="B43" s="145">
        <v>11</v>
      </c>
      <c r="C43" s="146" t="s">
        <v>199</v>
      </c>
      <c r="D43" s="1238">
        <f>D32-D34-D38+D42</f>
        <v>-428401141</v>
      </c>
      <c r="E43" s="1238">
        <f>E32-E34-E38+E42</f>
        <v>-2285349765</v>
      </c>
      <c r="F43" s="1238">
        <f>F32-F34-F38+F42</f>
        <v>964664328.17675257</v>
      </c>
      <c r="G43" s="147">
        <f ca="1">G32-G34-G38+G42</f>
        <v>-307153648.70298159</v>
      </c>
      <c r="H43" s="147">
        <f t="shared" ref="H43:Q43" ca="1" si="14">H32-H34-H38+H42</f>
        <v>-648003978.93160462</v>
      </c>
      <c r="I43" s="147">
        <f t="shared" ca="1" si="14"/>
        <v>-138157997.39343894</v>
      </c>
      <c r="J43" s="147">
        <f t="shared" ca="1" si="14"/>
        <v>-88161731.18389833</v>
      </c>
      <c r="K43" s="147">
        <f t="shared" ca="1" si="14"/>
        <v>-43936535.383898258</v>
      </c>
      <c r="L43" s="147">
        <f ca="1">L32-L34-L38+L42</f>
        <v>-87441745.650565028</v>
      </c>
      <c r="M43" s="147">
        <f t="shared" ca="1" si="14"/>
        <v>-99125290.017231703</v>
      </c>
      <c r="N43" s="147">
        <f t="shared" ca="1" si="14"/>
        <v>-172572450.60056496</v>
      </c>
      <c r="O43" s="147">
        <f t="shared" ca="1" si="14"/>
        <v>-103932866.21723163</v>
      </c>
      <c r="P43" s="147">
        <f t="shared" ca="1" si="14"/>
        <v>-49510908.550565004</v>
      </c>
      <c r="Q43" s="147">
        <f t="shared" ca="1" si="14"/>
        <v>-61328310.850564957</v>
      </c>
      <c r="R43" s="147">
        <f ca="1">R32-R34-R38+R42</f>
        <v>-65415549.150565028</v>
      </c>
      <c r="S43" s="147">
        <f t="shared" ca="1" si="1"/>
        <v>-1864741012.63311</v>
      </c>
    </row>
    <row r="44" spans="2:22" s="112" customFormat="1" ht="13" x14ac:dyDescent="0.3">
      <c r="B44" s="119">
        <v>12</v>
      </c>
      <c r="C44" s="120" t="s">
        <v>200</v>
      </c>
      <c r="D44" s="1240">
        <v>4823037</v>
      </c>
      <c r="E44" s="1240">
        <f>438643</f>
        <v>438643</v>
      </c>
      <c r="F44" s="1240">
        <v>6026805</v>
      </c>
      <c r="G44" s="115">
        <v>60000</v>
      </c>
      <c r="H44" s="115">
        <v>60000</v>
      </c>
      <c r="I44" s="115">
        <v>60000</v>
      </c>
      <c r="J44" s="115">
        <v>60000</v>
      </c>
      <c r="K44" s="115">
        <v>60000</v>
      </c>
      <c r="L44" s="115">
        <v>60000</v>
      </c>
      <c r="M44" s="115">
        <v>60000</v>
      </c>
      <c r="N44" s="115">
        <v>60000</v>
      </c>
      <c r="O44" s="115">
        <v>60000</v>
      </c>
      <c r="P44" s="115">
        <v>60000</v>
      </c>
      <c r="Q44" s="115">
        <v>60000</v>
      </c>
      <c r="R44" s="115">
        <v>60000</v>
      </c>
      <c r="S44" s="115">
        <f t="shared" si="1"/>
        <v>720000</v>
      </c>
      <c r="U44" s="425" t="s">
        <v>1772</v>
      </c>
    </row>
    <row r="45" spans="2:22" s="112" customFormat="1" ht="13" x14ac:dyDescent="0.3">
      <c r="B45" s="119">
        <v>13</v>
      </c>
      <c r="C45" s="120" t="s">
        <v>201</v>
      </c>
      <c r="D45" s="1240"/>
      <c r="E45" s="1240"/>
      <c r="F45" s="1240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>
        <f t="shared" si="1"/>
        <v>0</v>
      </c>
      <c r="U45" s="425" t="s">
        <v>1772</v>
      </c>
    </row>
    <row r="46" spans="2:22" s="125" customFormat="1" ht="13" x14ac:dyDescent="0.35">
      <c r="B46" s="126" t="s">
        <v>551</v>
      </c>
      <c r="C46" s="127" t="s">
        <v>202</v>
      </c>
      <c r="D46" s="1240"/>
      <c r="E46" s="1240"/>
      <c r="F46" s="1240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>
        <f t="shared" si="1"/>
        <v>0</v>
      </c>
    </row>
    <row r="47" spans="2:22" s="112" customFormat="1" ht="13" collapsed="1" x14ac:dyDescent="0.35">
      <c r="B47" s="145">
        <v>14</v>
      </c>
      <c r="C47" s="146" t="s">
        <v>203</v>
      </c>
      <c r="D47" s="1238">
        <f>D43+D44-D45</f>
        <v>-423578104</v>
      </c>
      <c r="E47" s="1238">
        <f>E43+E44-E45</f>
        <v>-2284911122</v>
      </c>
      <c r="F47" s="1238">
        <f>F43+F44-F45</f>
        <v>970691133.17675257</v>
      </c>
      <c r="G47" s="147">
        <f ca="1">G43+G44-G45</f>
        <v>-307093648.70298159</v>
      </c>
      <c r="H47" s="147">
        <f t="shared" ref="H47:R47" ca="1" si="15">H43+H44-H45</f>
        <v>-647943978.93160462</v>
      </c>
      <c r="I47" s="147">
        <f t="shared" ca="1" si="15"/>
        <v>-138097997.39343894</v>
      </c>
      <c r="J47" s="147">
        <f ca="1">J43+J44-J45</f>
        <v>-88101731.18389833</v>
      </c>
      <c r="K47" s="147">
        <f ca="1">K43+K44-K45</f>
        <v>-43876535.383898258</v>
      </c>
      <c r="L47" s="147">
        <f t="shared" ca="1" si="15"/>
        <v>-87381745.650565028</v>
      </c>
      <c r="M47" s="147">
        <f t="shared" ca="1" si="15"/>
        <v>-99065290.017231703</v>
      </c>
      <c r="N47" s="147">
        <f t="shared" ca="1" si="15"/>
        <v>-172512450.60056496</v>
      </c>
      <c r="O47" s="147">
        <f t="shared" ca="1" si="15"/>
        <v>-103872866.21723163</v>
      </c>
      <c r="P47" s="147">
        <f t="shared" ca="1" si="15"/>
        <v>-49450908.550565004</v>
      </c>
      <c r="Q47" s="147">
        <f t="shared" ca="1" si="15"/>
        <v>-61268310.850564957</v>
      </c>
      <c r="R47" s="147">
        <f t="shared" ca="1" si="15"/>
        <v>-65355549.150565028</v>
      </c>
      <c r="S47" s="147">
        <f t="shared" ca="1" si="1"/>
        <v>-1864021012.63311</v>
      </c>
    </row>
    <row r="48" spans="2:22" ht="13" x14ac:dyDescent="0.3">
      <c r="B48" s="121">
        <v>15</v>
      </c>
      <c r="C48" s="122" t="s">
        <v>204</v>
      </c>
      <c r="D48" s="1240"/>
      <c r="E48" s="1240"/>
      <c r="F48" s="1240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>
        <f t="shared" si="1"/>
        <v>0</v>
      </c>
      <c r="U48" s="425" t="s">
        <v>1772</v>
      </c>
    </row>
    <row r="49" spans="2:19" s="112" customFormat="1" ht="13" collapsed="1" x14ac:dyDescent="0.35">
      <c r="B49" s="145">
        <v>16</v>
      </c>
      <c r="C49" s="146" t="s">
        <v>205</v>
      </c>
      <c r="D49" s="1238">
        <f>D47-D48</f>
        <v>-423578104</v>
      </c>
      <c r="E49" s="1238">
        <f>E47-E48</f>
        <v>-2284911122</v>
      </c>
      <c r="F49" s="1238">
        <f>F47-F48</f>
        <v>970691133.17675257</v>
      </c>
      <c r="G49" s="147">
        <f t="shared" ref="G49:R49" ca="1" si="16">G47-G48</f>
        <v>-307093648.70298159</v>
      </c>
      <c r="H49" s="147">
        <f t="shared" ca="1" si="16"/>
        <v>-647943978.93160462</v>
      </c>
      <c r="I49" s="147">
        <f t="shared" ca="1" si="16"/>
        <v>-138097997.39343894</v>
      </c>
      <c r="J49" s="147">
        <f t="shared" ca="1" si="16"/>
        <v>-88101731.18389833</v>
      </c>
      <c r="K49" s="147">
        <f ca="1">K47-K48</f>
        <v>-43876535.383898258</v>
      </c>
      <c r="L49" s="147">
        <f t="shared" ca="1" si="16"/>
        <v>-87381745.650565028</v>
      </c>
      <c r="M49" s="147">
        <f t="shared" ca="1" si="16"/>
        <v>-99065290.017231703</v>
      </c>
      <c r="N49" s="147">
        <f t="shared" ca="1" si="16"/>
        <v>-172512450.60056496</v>
      </c>
      <c r="O49" s="147">
        <f t="shared" ca="1" si="16"/>
        <v>-103872866.21723163</v>
      </c>
      <c r="P49" s="147">
        <f t="shared" ca="1" si="16"/>
        <v>-49450908.550565004</v>
      </c>
      <c r="Q49" s="147">
        <f t="shared" ca="1" si="16"/>
        <v>-61268310.850564957</v>
      </c>
      <c r="R49" s="147">
        <f t="shared" ca="1" si="16"/>
        <v>-65355549.150565028</v>
      </c>
      <c r="S49" s="147">
        <f t="shared" ca="1" si="1"/>
        <v>-1864021012.63311</v>
      </c>
    </row>
    <row r="50" spans="2:19" s="180" customFormat="1" ht="13" x14ac:dyDescent="0.35">
      <c r="B50" s="181" t="s">
        <v>224</v>
      </c>
      <c r="C50" s="176" t="s">
        <v>207</v>
      </c>
      <c r="D50" s="1242">
        <f>D49/D9</f>
        <v>-5.3674780863361971E-3</v>
      </c>
      <c r="E50" s="1242">
        <f>E49/E9</f>
        <v>-3.0660439471145252E-2</v>
      </c>
      <c r="F50" s="1242">
        <f>F49/F9</f>
        <v>9.9327912288616326E-3</v>
      </c>
      <c r="G50" s="177">
        <f ca="1">G49/G9</f>
        <v>-4.1112737541482633E-2</v>
      </c>
      <c r="H50" s="177">
        <f t="shared" ref="H50:S50" ca="1" si="17">H49/H9</f>
        <v>-0.11565961875108133</v>
      </c>
      <c r="I50" s="177">
        <f t="shared" ca="1" si="17"/>
        <v>-1.7065964417805699E-2</v>
      </c>
      <c r="J50" s="177">
        <f t="shared" ca="1" si="17"/>
        <v>-1.0109815127577774E-2</v>
      </c>
      <c r="K50" s="177">
        <f t="shared" ca="1" si="17"/>
        <v>-5.0349028924746766E-3</v>
      </c>
      <c r="L50" s="177">
        <f t="shared" ca="1" si="17"/>
        <v>-1.0027195631471204E-2</v>
      </c>
      <c r="M50" s="177">
        <f t="shared" ca="1" si="17"/>
        <v>-1.1367901109043482E-2</v>
      </c>
      <c r="N50" s="177">
        <f t="shared" ca="1" si="17"/>
        <v>-1.9796080727819514E-2</v>
      </c>
      <c r="O50" s="177">
        <f t="shared" ca="1" si="17"/>
        <v>-1.1919578198024739E-2</v>
      </c>
      <c r="P50" s="177">
        <f t="shared" ca="1" si="17"/>
        <v>-5.6745711647075703E-3</v>
      </c>
      <c r="Q50" s="177">
        <f t="shared" ca="1" si="17"/>
        <v>-7.0306370550796181E-3</v>
      </c>
      <c r="R50" s="177">
        <f t="shared" ca="1" si="17"/>
        <v>-7.4996542133134846E-3</v>
      </c>
      <c r="S50" s="177">
        <f t="shared" ca="1" si="17"/>
        <v>-1.8716197889763541E-2</v>
      </c>
    </row>
    <row r="51" spans="2:19" x14ac:dyDescent="0.35">
      <c r="B51" s="121">
        <v>17</v>
      </c>
      <c r="C51" s="122" t="s">
        <v>196</v>
      </c>
      <c r="D51" s="1239">
        <f>D31+D41+D37</f>
        <v>1036408270</v>
      </c>
      <c r="E51" s="1239">
        <f>E31+E41+E37</f>
        <v>1395798298</v>
      </c>
      <c r="F51" s="1239">
        <f>F31+F41+F37</f>
        <v>1998357780.9062979</v>
      </c>
      <c r="G51" s="1239">
        <f ca="1">G31+G41+G37</f>
        <v>91983346.430555552</v>
      </c>
      <c r="H51" s="1239">
        <f t="shared" ref="H51:S51" ca="1" si="18">H31+H41+H37</f>
        <v>91983346.430555552</v>
      </c>
      <c r="I51" s="1239">
        <f t="shared" ca="1" si="18"/>
        <v>91983346.430555552</v>
      </c>
      <c r="J51" s="1239">
        <f t="shared" ca="1" si="18"/>
        <v>91983346.430555552</v>
      </c>
      <c r="K51" s="1239">
        <f t="shared" ca="1" si="18"/>
        <v>91983346.430555552</v>
      </c>
      <c r="L51" s="1239">
        <f t="shared" ca="1" si="18"/>
        <v>91983346.430555552</v>
      </c>
      <c r="M51" s="1239">
        <f t="shared" ca="1" si="18"/>
        <v>91983346.430555552</v>
      </c>
      <c r="N51" s="1239">
        <f t="shared" ca="1" si="18"/>
        <v>91983346.430555552</v>
      </c>
      <c r="O51" s="1239">
        <f t="shared" ca="1" si="18"/>
        <v>91983346.430555552</v>
      </c>
      <c r="P51" s="1239">
        <f t="shared" ca="1" si="18"/>
        <v>91983346.430555552</v>
      </c>
      <c r="Q51" s="1239">
        <f t="shared" ca="1" si="18"/>
        <v>91983346.430555552</v>
      </c>
      <c r="R51" s="1239">
        <f t="shared" ca="1" si="18"/>
        <v>91983346.430555552</v>
      </c>
      <c r="S51" s="1239">
        <f t="shared" ca="1" si="18"/>
        <v>1103800157.1666665</v>
      </c>
    </row>
    <row r="52" spans="2:19" s="112" customFormat="1" ht="26" collapsed="1" x14ac:dyDescent="0.35">
      <c r="B52" s="145">
        <v>18</v>
      </c>
      <c r="C52" s="146" t="s">
        <v>208</v>
      </c>
      <c r="D52" s="1238">
        <f>D49+D51</f>
        <v>612830166</v>
      </c>
      <c r="E52" s="1238">
        <f>E49+E51</f>
        <v>-889112824</v>
      </c>
      <c r="F52" s="1238">
        <f>F49+F51</f>
        <v>2969048914.0830507</v>
      </c>
      <c r="G52" s="147">
        <f ca="1">G49+G51</f>
        <v>-215110302.27242604</v>
      </c>
      <c r="H52" s="147">
        <f t="shared" ref="H52:I52" ca="1" si="19">H49+H51</f>
        <v>-555960632.50104904</v>
      </c>
      <c r="I52" s="147">
        <f t="shared" ca="1" si="19"/>
        <v>-46114650.962883383</v>
      </c>
      <c r="J52" s="147">
        <f ca="1">J49+J51</f>
        <v>3881615.2466572225</v>
      </c>
      <c r="K52" s="147">
        <f t="shared" ref="K52:R52" ca="1" si="20">K49+K51</f>
        <v>48106811.046657294</v>
      </c>
      <c r="L52" s="147">
        <f t="shared" ca="1" si="20"/>
        <v>4601600.7799905241</v>
      </c>
      <c r="M52" s="147">
        <f t="shared" ca="1" si="20"/>
        <v>-7081943.5866761506</v>
      </c>
      <c r="N52" s="147">
        <f t="shared" ca="1" si="20"/>
        <v>-80529104.170009404</v>
      </c>
      <c r="O52" s="147">
        <f t="shared" ca="1" si="20"/>
        <v>-11889519.786676079</v>
      </c>
      <c r="P52" s="147">
        <f t="shared" ca="1" si="20"/>
        <v>42532437.879990548</v>
      </c>
      <c r="Q52" s="147">
        <f t="shared" ca="1" si="20"/>
        <v>30715035.579990596</v>
      </c>
      <c r="R52" s="147">
        <f t="shared" ca="1" si="20"/>
        <v>26627797.279990524</v>
      </c>
      <c r="S52" s="147">
        <f ca="1">SUM(G52:R52)</f>
        <v>-760220855.46644306</v>
      </c>
    </row>
    <row r="53" spans="2:19" s="180" customFormat="1" ht="13" x14ac:dyDescent="0.35">
      <c r="B53" s="181" t="s">
        <v>206</v>
      </c>
      <c r="C53" s="176" t="s">
        <v>222</v>
      </c>
      <c r="D53" s="1243">
        <f>D52/D9</f>
        <v>7.765633906918791E-3</v>
      </c>
      <c r="E53" s="1243">
        <f>E52/E9</f>
        <v>-1.1930700350134242E-2</v>
      </c>
      <c r="F53" s="1243">
        <f>F52/F9</f>
        <v>3.0381387038481675E-2</v>
      </c>
      <c r="G53" s="177">
        <f t="shared" ref="G53:S53" ca="1" si="21">G52/G9</f>
        <v>-2.8798294712857674E-2</v>
      </c>
      <c r="H53" s="177">
        <f t="shared" ca="1" si="21"/>
        <v>-9.924036164624804E-2</v>
      </c>
      <c r="I53" s="177">
        <f t="shared" ca="1" si="21"/>
        <v>-5.6987864221518915E-3</v>
      </c>
      <c r="J53" s="177">
        <f t="shared" ca="1" si="21"/>
        <v>4.4542158267218881E-4</v>
      </c>
      <c r="K53" s="177">
        <f t="shared" ca="1" si="21"/>
        <v>5.5203338177752873E-3</v>
      </c>
      <c r="L53" s="177">
        <f t="shared" ca="1" si="21"/>
        <v>5.2804107877875883E-4</v>
      </c>
      <c r="M53" s="177">
        <f t="shared" ca="1" si="21"/>
        <v>-8.1266439879351888E-4</v>
      </c>
      <c r="N53" s="177">
        <f t="shared" ca="1" si="21"/>
        <v>-9.2408440175695498E-3</v>
      </c>
      <c r="O53" s="177">
        <f t="shared" ca="1" si="21"/>
        <v>-1.3643414877747746E-3</v>
      </c>
      <c r="P53" s="177">
        <f t="shared" ca="1" si="21"/>
        <v>4.8806655455423936E-3</v>
      </c>
      <c r="Q53" s="177">
        <f t="shared" ca="1" si="21"/>
        <v>3.5245996551703453E-3</v>
      </c>
      <c r="R53" s="177">
        <f t="shared" ca="1" si="21"/>
        <v>3.0555824969364792E-3</v>
      </c>
      <c r="S53" s="177">
        <f t="shared" ca="1" si="21"/>
        <v>-7.6331993440010753E-3</v>
      </c>
    </row>
    <row r="54" spans="2:19" s="129" customFormat="1" ht="13" collapsed="1" x14ac:dyDescent="0.35">
      <c r="B54" s="130"/>
      <c r="C54" s="131"/>
      <c r="D54" s="1244"/>
      <c r="E54" s="1244"/>
      <c r="F54" s="1235"/>
      <c r="G54" s="133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</row>
    <row r="55" spans="2:19" x14ac:dyDescent="0.35">
      <c r="D55" s="1352"/>
      <c r="E55" s="1352"/>
      <c r="F55" s="96"/>
    </row>
    <row r="56" spans="2:19" s="112" customFormat="1" ht="30" customHeight="1" x14ac:dyDescent="0.35">
      <c r="B56" s="332" t="s">
        <v>1807</v>
      </c>
      <c r="C56" s="136"/>
      <c r="D56" s="711" t="str">
        <f>D4</f>
        <v>Thực tế năm 2023</v>
      </c>
      <c r="E56" s="711" t="str">
        <f>E4</f>
        <v>Thực tế năm 2024</v>
      </c>
      <c r="F56" s="711" t="str">
        <f>F4</f>
        <v>KQKD 2025</v>
      </c>
      <c r="G56" s="333" t="str">
        <f>G4</f>
        <v>T1</v>
      </c>
      <c r="H56" s="333" t="str">
        <f t="shared" ref="H56:S56" si="22">H4</f>
        <v>T2</v>
      </c>
      <c r="I56" s="333" t="str">
        <f t="shared" si="22"/>
        <v>T3</v>
      </c>
      <c r="J56" s="333" t="str">
        <f t="shared" si="22"/>
        <v>T4</v>
      </c>
      <c r="K56" s="333" t="str">
        <f t="shared" si="22"/>
        <v>T5</v>
      </c>
      <c r="L56" s="333" t="str">
        <f t="shared" si="22"/>
        <v>T6</v>
      </c>
      <c r="M56" s="333" t="str">
        <f t="shared" si="22"/>
        <v>T7</v>
      </c>
      <c r="N56" s="333" t="str">
        <f t="shared" si="22"/>
        <v>T8</v>
      </c>
      <c r="O56" s="333" t="str">
        <f t="shared" si="22"/>
        <v>T9</v>
      </c>
      <c r="P56" s="333" t="str">
        <f t="shared" si="22"/>
        <v>T10</v>
      </c>
      <c r="Q56" s="333" t="str">
        <f t="shared" si="22"/>
        <v>T11</v>
      </c>
      <c r="R56" s="333" t="str">
        <f t="shared" si="22"/>
        <v>T12</v>
      </c>
      <c r="S56" s="333" t="str">
        <f t="shared" si="22"/>
        <v>Kế hoạch 2026</v>
      </c>
    </row>
    <row r="57" spans="2:19" x14ac:dyDescent="0.35">
      <c r="B57" s="80" t="s">
        <v>376</v>
      </c>
      <c r="D57" s="334">
        <f>D$58*(1+(D$17+D$18)/D$16)</f>
        <v>6834600.3868237957</v>
      </c>
      <c r="E57" s="334">
        <f>E$58*(1+(E$17+E$18)/E$16)</f>
        <v>8662919.1138616428</v>
      </c>
      <c r="F57" s="733">
        <f>IFERROR(F$58*(1+(F$17+F$18)/F$16),0)</f>
        <v>6085582.7977694757</v>
      </c>
      <c r="G57" s="334">
        <f ca="1">G$58*(1+(G$17+G$18)/G$16)</f>
        <v>828918.76267404738</v>
      </c>
      <c r="H57" s="334">
        <f t="shared" ref="H57:S57" ca="1" si="23">H$58*(1+(H$17+H$18)/H$16)</f>
        <v>1060466.6132563772</v>
      </c>
      <c r="I57" s="334">
        <f t="shared" ca="1" si="23"/>
        <v>742935.04182072158</v>
      </c>
      <c r="J57" s="334">
        <f ca="1">J$58*(1+(J$17+J$18)/J$16)</f>
        <v>755517.30817861937</v>
      </c>
      <c r="K57" s="334">
        <f ca="1">K$58*(1+(K$17+K$18)/K$16)</f>
        <v>722567.20553118188</v>
      </c>
      <c r="L57" s="334">
        <f t="shared" ca="1" si="23"/>
        <v>754581.89342340466</v>
      </c>
      <c r="M57" s="334">
        <f t="shared" ca="1" si="23"/>
        <v>765452.9269357163</v>
      </c>
      <c r="N57" s="334">
        <f t="shared" ca="1" si="23"/>
        <v>821969.74488750158</v>
      </c>
      <c r="O57" s="334">
        <f t="shared" ca="1" si="23"/>
        <v>769458.06784856785</v>
      </c>
      <c r="P57" s="334">
        <f t="shared" ca="1" si="23"/>
        <v>726647.93309514411</v>
      </c>
      <c r="Q57" s="334">
        <f t="shared" ca="1" si="23"/>
        <v>735729.14980541798</v>
      </c>
      <c r="R57" s="334">
        <f t="shared" ca="1" si="23"/>
        <v>738174.84305289481</v>
      </c>
      <c r="S57" s="334">
        <f t="shared" ca="1" si="23"/>
        <v>9284195.8226394337</v>
      </c>
    </row>
    <row r="58" spans="2:19" s="112" customFormat="1" ht="13" x14ac:dyDescent="0.35">
      <c r="B58" s="80" t="s">
        <v>377</v>
      </c>
      <c r="C58" s="135"/>
      <c r="D58" s="334">
        <f>(D$27+D$31+D$34+D$38)/(D$25/D$5)</f>
        <v>6420099.1792616704</v>
      </c>
      <c r="E58" s="334">
        <f>(E$27+E$31+E$34+E$38)/(E$25/E$5)</f>
        <v>7940684.0448409589</v>
      </c>
      <c r="F58" s="733">
        <f>IFERROR((F$27+F$31+F$34+F$38)/(F$25/F$5),0)</f>
        <v>5505073.493742072</v>
      </c>
      <c r="G58" s="334">
        <f ca="1">(G$27+G$31+G$34+G$38)/(G$25/G$5)</f>
        <v>746437.42699148797</v>
      </c>
      <c r="H58" s="334">
        <f t="shared" ref="H58:R58" ca="1" si="24">(H$27+H$31+H$34+H$38)/(H$25/H$5)</f>
        <v>954945.17177521577</v>
      </c>
      <c r="I58" s="334">
        <f t="shared" ca="1" si="24"/>
        <v>669009.49285972223</v>
      </c>
      <c r="J58" s="334">
        <f ca="1">(J$27+J$31+J$34+J$38)/(J$25/J$5)</f>
        <v>680339.7642310845</v>
      </c>
      <c r="K58" s="334">
        <f t="shared" ca="1" si="24"/>
        <v>650668.35257197823</v>
      </c>
      <c r="L58" s="334">
        <f t="shared" ca="1" si="24"/>
        <v>679497.42766628065</v>
      </c>
      <c r="M58" s="334">
        <f t="shared" ca="1" si="24"/>
        <v>689286.74195021729</v>
      </c>
      <c r="N58" s="334">
        <f t="shared" ca="1" si="24"/>
        <v>740179.86932688113</v>
      </c>
      <c r="O58" s="334">
        <f t="shared" ca="1" si="24"/>
        <v>692893.35240753519</v>
      </c>
      <c r="P58" s="334">
        <f t="shared" ca="1" si="24"/>
        <v>654343.02845127787</v>
      </c>
      <c r="Q58" s="334">
        <f t="shared" ca="1" si="24"/>
        <v>662520.62116651773</v>
      </c>
      <c r="R58" s="334">
        <f t="shared" ca="1" si="24"/>
        <v>664722.95637361077</v>
      </c>
      <c r="S58" s="334">
        <f ca="1">(S$27+S$31+S$34+S$38)/(S$25/S$5)</f>
        <v>8360374.4463209659</v>
      </c>
    </row>
    <row r="59" spans="2:19" x14ac:dyDescent="0.35">
      <c r="B59" s="80" t="s">
        <v>378</v>
      </c>
      <c r="D59" s="98">
        <f>D$58*(D$9/D$5)</f>
        <v>89627979381.861618</v>
      </c>
      <c r="E59" s="98">
        <f>E$58*(E$9/E$5)</f>
        <v>120891154072.02179</v>
      </c>
      <c r="F59" s="734">
        <f>IFERROR(F$58*(F$9/F$5),0)</f>
        <v>91497746167.571762</v>
      </c>
      <c r="G59" s="98">
        <f ca="1">G$58*(G$9/G$5)</f>
        <v>10446977108.458439</v>
      </c>
      <c r="H59" s="98">
        <f t="shared" ref="H59:R59" ca="1" si="25">H$58*(H$9/H$5)</f>
        <v>13365206497.720747</v>
      </c>
      <c r="I59" s="98">
        <f t="shared" ca="1" si="25"/>
        <v>9363312455.293869</v>
      </c>
      <c r="J59" s="98">
        <f t="shared" ca="1" si="25"/>
        <v>9521888487.7502289</v>
      </c>
      <c r="K59" s="98">
        <f t="shared" ca="1" si="25"/>
        <v>9106613814.7911186</v>
      </c>
      <c r="L59" s="98">
        <f t="shared" ca="1" si="25"/>
        <v>9510099327.0089302</v>
      </c>
      <c r="M59" s="98">
        <f t="shared" ca="1" si="25"/>
        <v>9647108456.6877365</v>
      </c>
      <c r="N59" s="98">
        <f t="shared" ca="1" si="25"/>
        <v>10359397682.088448</v>
      </c>
      <c r="O59" s="98">
        <f t="shared" ca="1" si="25"/>
        <v>9697585798.155714</v>
      </c>
      <c r="P59" s="98">
        <f t="shared" ca="1" si="25"/>
        <v>9158043785.2131195</v>
      </c>
      <c r="Q59" s="98">
        <f t="shared" ca="1" si="25"/>
        <v>9272495607.7091293</v>
      </c>
      <c r="R59" s="98">
        <f t="shared" ca="1" si="25"/>
        <v>9303319015.8900204</v>
      </c>
      <c r="S59" s="98">
        <f ca="1">S$58*(S$9/S$5)</f>
        <v>117009996150.49048</v>
      </c>
    </row>
    <row r="60" spans="2:19" s="112" customFormat="1" ht="30" customHeight="1" x14ac:dyDescent="0.35">
      <c r="B60" s="332" t="s">
        <v>1808</v>
      </c>
      <c r="C60" s="136"/>
      <c r="D60" s="712" t="str">
        <f>D56</f>
        <v>Thực tế năm 2023</v>
      </c>
      <c r="E60" s="712" t="str">
        <f>E56</f>
        <v>Thực tế năm 2024</v>
      </c>
      <c r="F60" s="712" t="str">
        <f>F56</f>
        <v>KQKD 2025</v>
      </c>
      <c r="G60" s="335" t="str">
        <f>G56</f>
        <v>T1</v>
      </c>
      <c r="H60" s="335" t="str">
        <f t="shared" ref="H60:S60" si="26">H56</f>
        <v>T2</v>
      </c>
      <c r="I60" s="335" t="str">
        <f t="shared" si="26"/>
        <v>T3</v>
      </c>
      <c r="J60" s="335" t="str">
        <f t="shared" si="26"/>
        <v>T4</v>
      </c>
      <c r="K60" s="335" t="str">
        <f t="shared" si="26"/>
        <v>T5</v>
      </c>
      <c r="L60" s="335" t="str">
        <f t="shared" si="26"/>
        <v>T6</v>
      </c>
      <c r="M60" s="335" t="str">
        <f t="shared" si="26"/>
        <v>T7</v>
      </c>
      <c r="N60" s="335" t="str">
        <f t="shared" si="26"/>
        <v>T8</v>
      </c>
      <c r="O60" s="335" t="str">
        <f t="shared" si="26"/>
        <v>T9</v>
      </c>
      <c r="P60" s="335" t="str">
        <f t="shared" si="26"/>
        <v>T10</v>
      </c>
      <c r="Q60" s="335" t="str">
        <f t="shared" si="26"/>
        <v>T11</v>
      </c>
      <c r="R60" s="335" t="str">
        <f t="shared" si="26"/>
        <v>T12</v>
      </c>
      <c r="S60" s="335" t="str">
        <f t="shared" si="26"/>
        <v>Kế hoạch 2026</v>
      </c>
    </row>
    <row r="61" spans="2:19" x14ac:dyDescent="0.35">
      <c r="B61" s="80" t="s">
        <v>376</v>
      </c>
      <c r="D61" s="334">
        <f>D$62*(1+(D$17+D$18)/D$16)</f>
        <v>5276082.6506059673</v>
      </c>
      <c r="E61" s="334">
        <f>E$62*(1+(E$17+E$18)/E$16)</f>
        <v>6579324.3550627362</v>
      </c>
      <c r="F61" s="733">
        <f>IFERROR(F$62*(1+(F$17+F$18)/F$16),0)</f>
        <v>4870000.6155465972</v>
      </c>
      <c r="G61" s="334">
        <f ca="1">G$62*(1+(G$17+G$18)/G$16)</f>
        <v>758170.46540746733</v>
      </c>
      <c r="H61" s="334">
        <f t="shared" ref="H61:S61" ca="1" si="27">H$62*(1+(H$17+H$18)/H$16)</f>
        <v>973031.6951715321</v>
      </c>
      <c r="I61" s="334">
        <f t="shared" ca="1" si="27"/>
        <v>675776.30256112851</v>
      </c>
      <c r="J61" s="334">
        <f ca="1">J$62*(1+(J$17+J$18)/J$16)</f>
        <v>688675.77193630801</v>
      </c>
      <c r="K61" s="334">
        <f ca="1">K$62*(1+(K$17+K$18)/K$16)</f>
        <v>657427.68512146163</v>
      </c>
      <c r="L61" s="334">
        <f t="shared" ca="1" si="27"/>
        <v>688173.99033975019</v>
      </c>
      <c r="M61" s="334">
        <f t="shared" ca="1" si="27"/>
        <v>696784.50729158567</v>
      </c>
      <c r="N61" s="334">
        <f t="shared" ca="1" si="27"/>
        <v>752402.53983662883</v>
      </c>
      <c r="O61" s="334">
        <f t="shared" ca="1" si="27"/>
        <v>700421.35658013728</v>
      </c>
      <c r="P61" s="334">
        <f t="shared" ca="1" si="27"/>
        <v>661261.05340841401</v>
      </c>
      <c r="Q61" s="334">
        <f t="shared" ca="1" si="27"/>
        <v>669321.24672176351</v>
      </c>
      <c r="R61" s="334">
        <f t="shared" ca="1" si="27"/>
        <v>672477.19733563066</v>
      </c>
      <c r="S61" s="334">
        <f t="shared" ca="1" si="27"/>
        <v>8466217.9117762446</v>
      </c>
    </row>
    <row r="62" spans="2:19" s="112" customFormat="1" ht="13" x14ac:dyDescent="0.35">
      <c r="B62" s="80" t="s">
        <v>377</v>
      </c>
      <c r="C62" s="135"/>
      <c r="D62" s="334">
        <f>(D$27+D$31+D$34+D$38-D51)/(D$25/D$5)</f>
        <v>4956101.5974210752</v>
      </c>
      <c r="E62" s="334">
        <f>(E$27+E$31+E$34+E$38-E51)/(E$25/E$5)</f>
        <v>6030800.3855748111</v>
      </c>
      <c r="F62" s="733">
        <f>IFERROR((F$27+F$31+F$34+F$38-F51)/(F$25/F$5),0)</f>
        <v>4405446.8066689689</v>
      </c>
      <c r="G62" s="334">
        <f ca="1">(G$27+G$31+G$34+G$38-G51)/(G$25/G$5)</f>
        <v>682728.91977259552</v>
      </c>
      <c r="H62" s="334">
        <f t="shared" ref="H62:R62" ca="1" si="28">(H$27+H$31+H$34+H$38-H51)/(H$25/H$5)</f>
        <v>876210.44139714725</v>
      </c>
      <c r="I62" s="334">
        <f t="shared" ca="1" si="28"/>
        <v>608533.36565612652</v>
      </c>
      <c r="J62" s="334">
        <f ca="1">(J$27+J$31+J$34+J$38-J51)/(J$25/J$5)</f>
        <v>620149.27684494189</v>
      </c>
      <c r="K62" s="334">
        <f t="shared" ca="1" si="28"/>
        <v>592010.52239663363</v>
      </c>
      <c r="L62" s="334">
        <f t="shared" ca="1" si="28"/>
        <v>619697.4248894644</v>
      </c>
      <c r="M62" s="334">
        <f t="shared" ca="1" si="28"/>
        <v>627451.15469751076</v>
      </c>
      <c r="N62" s="334">
        <f t="shared" ca="1" si="28"/>
        <v>677534.93006450136</v>
      </c>
      <c r="O62" s="334">
        <f t="shared" ca="1" si="28"/>
        <v>630726.12028828205</v>
      </c>
      <c r="P62" s="334">
        <f t="shared" ca="1" si="28"/>
        <v>595462.45241640159</v>
      </c>
      <c r="Q62" s="334">
        <f t="shared" ca="1" si="28"/>
        <v>602720.61838970147</v>
      </c>
      <c r="R62" s="334">
        <f t="shared" ca="1" si="28"/>
        <v>605562.53699741617</v>
      </c>
      <c r="S62" s="334">
        <f ca="1">(S$27+S$31+S$34+S$38-S51)/(S$25/S$5)</f>
        <v>7623789.204661184</v>
      </c>
    </row>
    <row r="63" spans="2:19" x14ac:dyDescent="0.35">
      <c r="B63" s="80" t="s">
        <v>378</v>
      </c>
      <c r="D63" s="98">
        <f>D$62*(D$9/D$5)</f>
        <v>69189799002.318909</v>
      </c>
      <c r="E63" s="98">
        <f>E$62*(E$9/E$5)</f>
        <v>91814560870.710876</v>
      </c>
      <c r="F63" s="734">
        <f>IFERROR(F$62*(F$9/F$5),0)</f>
        <v>73221266551.58197</v>
      </c>
      <c r="G63" s="98">
        <f ca="1">G$62*(G$9/G$5)</f>
        <v>9555326593.0061646</v>
      </c>
      <c r="H63" s="98">
        <f t="shared" ref="H63:S63" ca="1" si="29">H$62*(H$9/H$5)</f>
        <v>12263252206.366987</v>
      </c>
      <c r="I63" s="98">
        <f t="shared" ca="1" si="29"/>
        <v>8516901632.8212843</v>
      </c>
      <c r="J63" s="98">
        <f t="shared" ca="1" si="29"/>
        <v>8679475418.5069046</v>
      </c>
      <c r="K63" s="98">
        <f ca="1">K$62*(K$9/K$5)</f>
        <v>8285651485.0436096</v>
      </c>
      <c r="L63" s="98">
        <f t="shared" ca="1" si="29"/>
        <v>8673151396.0710106</v>
      </c>
      <c r="M63" s="98">
        <f t="shared" ca="1" si="29"/>
        <v>8781670924.8094273</v>
      </c>
      <c r="N63" s="98">
        <f t="shared" ca="1" si="29"/>
        <v>9482632634.1826782</v>
      </c>
      <c r="O63" s="98">
        <f t="shared" ca="1" si="29"/>
        <v>8827506636.3112926</v>
      </c>
      <c r="P63" s="98">
        <f t="shared" ca="1" si="29"/>
        <v>8333963952.495657</v>
      </c>
      <c r="Q63" s="98">
        <f t="shared" ca="1" si="29"/>
        <v>8435547676.7712088</v>
      </c>
      <c r="R63" s="98">
        <f t="shared" ca="1" si="29"/>
        <v>8475322556.1721001</v>
      </c>
      <c r="S63" s="98">
        <f t="shared" ca="1" si="29"/>
        <v>106700908101.32462</v>
      </c>
    </row>
    <row r="64" spans="2:19" x14ac:dyDescent="0.35">
      <c r="F64" s="735"/>
    </row>
    <row r="65" spans="6:19" ht="25.4" customHeight="1" x14ac:dyDescent="0.35">
      <c r="F65" s="1393">
        <f>S9/S5</f>
        <v>13995.784148397976</v>
      </c>
      <c r="G65" s="80"/>
      <c r="H65" s="80"/>
      <c r="I65" s="80"/>
      <c r="J65" s="80"/>
      <c r="K65" s="80"/>
      <c r="L65" s="80"/>
      <c r="M65" s="268"/>
      <c r="N65" s="268"/>
      <c r="O65" s="268"/>
      <c r="P65" s="268"/>
      <c r="Q65" s="268"/>
      <c r="R65" s="268"/>
      <c r="S65" s="1394"/>
    </row>
    <row r="66" spans="6:19" x14ac:dyDescent="0.35">
      <c r="G66" s="80"/>
      <c r="H66" s="80"/>
      <c r="I66" s="80"/>
      <c r="J66" s="80"/>
      <c r="K66" s="80"/>
      <c r="L66" s="80"/>
    </row>
  </sheetData>
  <conditionalFormatting sqref="B25:B63 T56:XFD63">
    <cfRule type="containsText" dxfId="122" priority="15" operator="containsText" text="xxx">
      <formula>NOT(ISERROR(SEARCH("xxx",B25)))</formula>
    </cfRule>
  </conditionalFormatting>
  <conditionalFormatting sqref="B3:E3 U3:XFD3 F3:F17 G4:Q4 V4:XFD4 G5:S9 B5:E18 U5:XFD55 F10:S18 B19:B22 C20:C22 B23:C24 B64:S1048576 U64:XFD1048576">
    <cfRule type="containsText" dxfId="121" priority="20" operator="containsText" text="xxx">
      <formula>NOT(ISERROR(SEARCH("xxx",B3)))</formula>
    </cfRule>
  </conditionalFormatting>
  <conditionalFormatting sqref="C25:C53">
    <cfRule type="containsText" dxfId="120" priority="19" operator="containsText" text="xxx">
      <formula>NOT(ISERROR(SEARCH("xxx",C25)))</formula>
    </cfRule>
  </conditionalFormatting>
  <conditionalFormatting sqref="C19:S19">
    <cfRule type="containsText" dxfId="119" priority="18" operator="containsText" text="xxx">
      <formula>NOT(ISERROR(SEARCH("xxx",C19)))</formula>
    </cfRule>
  </conditionalFormatting>
  <conditionalFormatting sqref="C54:S56">
    <cfRule type="containsText" dxfId="118" priority="14" operator="containsText" text="xxx">
      <formula>NOT(ISERROR(SEARCH("xxx",C54)))</formula>
    </cfRule>
  </conditionalFormatting>
  <conditionalFormatting sqref="D20:S53">
    <cfRule type="containsText" dxfId="117" priority="1" operator="containsText" text="xxx">
      <formula>NOT(ISERROR(SEARCH("xxx",D20)))</formula>
    </cfRule>
  </conditionalFormatting>
  <conditionalFormatting sqref="H3:S3">
    <cfRule type="containsText" dxfId="116" priority="27" operator="containsText" text="xxx">
      <formula>NOT(ISERROR(SEARCH("xxx",H3)))</formula>
    </cfRule>
  </conditionalFormatting>
  <conditionalFormatting sqref="T17">
    <cfRule type="containsText" dxfId="115" priority="16" operator="containsText" text="xxx">
      <formula>NOT(ISERROR(SEARCH("xxx",T17)))</formula>
    </cfRule>
  </conditionalFormatting>
  <pageMargins left="0.7" right="0.7" top="0.75" bottom="0.75" header="0.3" footer="0.3"/>
  <ignoredErrors>
    <ignoredError sqref="F57:F59 F61:F63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684A-B85E-4A28-99BB-F1D3F741BB41}">
  <sheetPr>
    <tabColor rgb="FFFF0000"/>
  </sheetPr>
  <dimension ref="B1:U66"/>
  <sheetViews>
    <sheetView topLeftCell="A20" zoomScale="85" zoomScaleNormal="85" workbookViewId="0">
      <selection activeCell="F13" sqref="F13"/>
    </sheetView>
  </sheetViews>
  <sheetFormatPr defaultColWidth="8.453125" defaultRowHeight="12.5" outlineLevelRow="1" x14ac:dyDescent="0.35"/>
  <cols>
    <col min="1" max="1" width="3.81640625" style="94" customWidth="1"/>
    <col min="2" max="2" width="7.81640625" style="95" customWidth="1"/>
    <col min="3" max="3" width="45" style="96" customWidth="1"/>
    <col min="4" max="4" width="10.453125" style="96" customWidth="1"/>
    <col min="5" max="5" width="11.81640625" style="97" customWidth="1"/>
    <col min="6" max="8" width="8.54296875" style="98" customWidth="1"/>
    <col min="9" max="9" width="9.54296875" style="98" customWidth="1"/>
    <col min="10" max="10" width="8.54296875" style="98" customWidth="1"/>
    <col min="11" max="11" width="8.81640625" style="98" customWidth="1"/>
    <col min="12" max="17" width="8.54296875" style="98" customWidth="1"/>
    <col min="18" max="18" width="16.453125" style="98" bestFit="1" customWidth="1"/>
    <col min="19" max="19" width="4.1796875" style="94" customWidth="1"/>
    <col min="20" max="20" width="27.54296875" style="94" bestFit="1" customWidth="1"/>
    <col min="21" max="21" width="14.453125" style="94" bestFit="1" customWidth="1"/>
    <col min="22" max="16384" width="8.453125" style="94"/>
  </cols>
  <sheetData>
    <row r="1" spans="2:20" ht="15.5" x14ac:dyDescent="0.35">
      <c r="B1" s="223"/>
    </row>
    <row r="2" spans="2:20" x14ac:dyDescent="0.35">
      <c r="D2" s="330"/>
      <c r="E2" s="330"/>
      <c r="F2" s="330"/>
      <c r="R2" s="330"/>
    </row>
    <row r="3" spans="2:20" s="36" customFormat="1" ht="15.5" x14ac:dyDescent="0.25">
      <c r="B3" s="137" t="s">
        <v>400</v>
      </c>
      <c r="C3" s="39"/>
      <c r="D3" s="39"/>
      <c r="E3" s="100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33" t="s">
        <v>233</v>
      </c>
    </row>
    <row r="4" spans="2:20" s="101" customFormat="1" ht="30" customHeight="1" x14ac:dyDescent="0.35">
      <c r="B4" s="730" t="s">
        <v>0</v>
      </c>
      <c r="C4" s="730" t="s">
        <v>100</v>
      </c>
      <c r="D4" s="730" t="s">
        <v>373</v>
      </c>
      <c r="E4" s="269" t="s">
        <v>405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  <c r="L4" s="7" t="s">
        <v>62</v>
      </c>
      <c r="M4" s="7" t="s">
        <v>63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2246</v>
      </c>
    </row>
    <row r="5" spans="2:20" s="102" customFormat="1" ht="13" x14ac:dyDescent="0.35">
      <c r="B5" s="103" t="s">
        <v>184</v>
      </c>
      <c r="C5" s="104" t="s">
        <v>228</v>
      </c>
      <c r="D5" s="105"/>
      <c r="E5" s="105">
        <f>E6+E7+E8</f>
        <v>0</v>
      </c>
      <c r="F5" s="105">
        <f>F6+F7+F8</f>
        <v>0</v>
      </c>
      <c r="G5" s="105">
        <f t="shared" ref="G5:Q5" si="0">G6+G7+G8</f>
        <v>0</v>
      </c>
      <c r="H5" s="105">
        <f t="shared" si="0"/>
        <v>0</v>
      </c>
      <c r="I5" s="105">
        <f t="shared" si="0"/>
        <v>0</v>
      </c>
      <c r="J5" s="105">
        <f t="shared" si="0"/>
        <v>0</v>
      </c>
      <c r="K5" s="105">
        <f t="shared" si="0"/>
        <v>0</v>
      </c>
      <c r="L5" s="105">
        <f t="shared" si="0"/>
        <v>0</v>
      </c>
      <c r="M5" s="105">
        <f t="shared" si="0"/>
        <v>0</v>
      </c>
      <c r="N5" s="105">
        <f t="shared" si="0"/>
        <v>0</v>
      </c>
      <c r="O5" s="105">
        <f t="shared" si="0"/>
        <v>0</v>
      </c>
      <c r="P5" s="105">
        <f t="shared" si="0"/>
        <v>0</v>
      </c>
      <c r="Q5" s="105">
        <f t="shared" si="0"/>
        <v>0</v>
      </c>
      <c r="R5" s="105">
        <f>SUM(F5:Q5)</f>
        <v>0</v>
      </c>
      <c r="S5" s="106"/>
    </row>
    <row r="6" spans="2:20" s="107" customFormat="1" x14ac:dyDescent="0.35">
      <c r="B6" s="108" t="s">
        <v>209</v>
      </c>
      <c r="C6" s="109" t="s">
        <v>327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>
        <f t="shared" ref="R6:R52" si="1">SUM(F6:Q6)</f>
        <v>0</v>
      </c>
      <c r="S6" s="111"/>
    </row>
    <row r="7" spans="2:20" s="107" customFormat="1" x14ac:dyDescent="0.35">
      <c r="B7" s="108" t="s">
        <v>210</v>
      </c>
      <c r="C7" s="109" t="s">
        <v>328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>
        <f t="shared" si="1"/>
        <v>0</v>
      </c>
      <c r="S7" s="111"/>
    </row>
    <row r="8" spans="2:20" s="107" customFormat="1" x14ac:dyDescent="0.35">
      <c r="B8" s="108" t="s">
        <v>211</v>
      </c>
      <c r="C8" s="109" t="s">
        <v>329</v>
      </c>
      <c r="D8" s="110"/>
      <c r="E8" s="110"/>
      <c r="F8" s="110">
        <f>'4.Doanh thu'!F123</f>
        <v>0</v>
      </c>
      <c r="G8" s="110">
        <f>'4.Doanh thu'!G123</f>
        <v>0</v>
      </c>
      <c r="H8" s="110">
        <f>'4.Doanh thu'!H123</f>
        <v>0</v>
      </c>
      <c r="I8" s="110">
        <f>'4.Doanh thu'!I123</f>
        <v>0</v>
      </c>
      <c r="J8" s="110">
        <f>'4.Doanh thu'!J123</f>
        <v>0</v>
      </c>
      <c r="K8" s="110">
        <f>'4.Doanh thu'!K123</f>
        <v>0</v>
      </c>
      <c r="L8" s="110">
        <f>'4.Doanh thu'!L123</f>
        <v>0</v>
      </c>
      <c r="M8" s="110">
        <f>'4.Doanh thu'!M123</f>
        <v>0</v>
      </c>
      <c r="N8" s="110">
        <f>'4.Doanh thu'!N123</f>
        <v>0</v>
      </c>
      <c r="O8" s="110">
        <f>'4.Doanh thu'!O123</f>
        <v>0</v>
      </c>
      <c r="P8" s="110">
        <f>'4.Doanh thu'!P123</f>
        <v>0</v>
      </c>
      <c r="Q8" s="110">
        <f>'4.Doanh thu'!Q123</f>
        <v>0</v>
      </c>
      <c r="R8" s="110">
        <f t="shared" si="1"/>
        <v>0</v>
      </c>
      <c r="S8" s="111"/>
    </row>
    <row r="9" spans="2:20" s="112" customFormat="1" ht="13" x14ac:dyDescent="0.35">
      <c r="B9" s="145">
        <v>2</v>
      </c>
      <c r="C9" s="146" t="s">
        <v>185</v>
      </c>
      <c r="D9" s="147"/>
      <c r="E9" s="147">
        <f>E10+E11+E12+E13</f>
        <v>0</v>
      </c>
      <c r="F9" s="147">
        <f t="shared" ref="F9:Q9" si="2">F10+F11+F12+F13</f>
        <v>0</v>
      </c>
      <c r="G9" s="147">
        <f t="shared" si="2"/>
        <v>0</v>
      </c>
      <c r="H9" s="147">
        <f t="shared" si="2"/>
        <v>0</v>
      </c>
      <c r="I9" s="147">
        <f t="shared" si="2"/>
        <v>0</v>
      </c>
      <c r="J9" s="147">
        <f t="shared" si="2"/>
        <v>0</v>
      </c>
      <c r="K9" s="147">
        <f t="shared" si="2"/>
        <v>0</v>
      </c>
      <c r="L9" s="147">
        <f t="shared" si="2"/>
        <v>0</v>
      </c>
      <c r="M9" s="147">
        <f t="shared" si="2"/>
        <v>0</v>
      </c>
      <c r="N9" s="147">
        <f t="shared" si="2"/>
        <v>0</v>
      </c>
      <c r="O9" s="147">
        <f t="shared" si="2"/>
        <v>0</v>
      </c>
      <c r="P9" s="147">
        <f t="shared" si="2"/>
        <v>0</v>
      </c>
      <c r="Q9" s="147">
        <f t="shared" si="2"/>
        <v>0</v>
      </c>
      <c r="R9" s="147">
        <f t="shared" si="1"/>
        <v>0</v>
      </c>
      <c r="T9" s="460"/>
    </row>
    <row r="10" spans="2:20" outlineLevel="1" x14ac:dyDescent="0.35">
      <c r="B10" s="116" t="s">
        <v>214</v>
      </c>
      <c r="C10" s="109" t="s">
        <v>327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>
        <f t="shared" si="1"/>
        <v>0</v>
      </c>
      <c r="T10" s="107"/>
    </row>
    <row r="11" spans="2:20" outlineLevel="1" x14ac:dyDescent="0.35">
      <c r="B11" s="116" t="s">
        <v>212</v>
      </c>
      <c r="C11" s="109" t="s">
        <v>328</v>
      </c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>
        <f t="shared" si="1"/>
        <v>0</v>
      </c>
      <c r="T11" s="107"/>
    </row>
    <row r="12" spans="2:20" outlineLevel="1" x14ac:dyDescent="0.35">
      <c r="B12" s="116" t="s">
        <v>213</v>
      </c>
      <c r="C12" s="109" t="s">
        <v>329</v>
      </c>
      <c r="D12" s="117"/>
      <c r="E12" s="117"/>
      <c r="F12" s="117">
        <f>'4.Doanh thu'!F125</f>
        <v>0</v>
      </c>
      <c r="G12" s="117">
        <f>'4.Doanh thu'!G125</f>
        <v>0</v>
      </c>
      <c r="H12" s="117">
        <f>'4.Doanh thu'!H125</f>
        <v>0</v>
      </c>
      <c r="I12" s="117">
        <f>'4.Doanh thu'!I125</f>
        <v>0</v>
      </c>
      <c r="J12" s="117">
        <f>'4.Doanh thu'!J125</f>
        <v>0</v>
      </c>
      <c r="K12" s="117">
        <f>'4.Doanh thu'!K125</f>
        <v>0</v>
      </c>
      <c r="L12" s="117">
        <f>'4.Doanh thu'!L125</f>
        <v>0</v>
      </c>
      <c r="M12" s="117">
        <f>'4.Doanh thu'!M125</f>
        <v>0</v>
      </c>
      <c r="N12" s="117">
        <f>'4.Doanh thu'!N125</f>
        <v>0</v>
      </c>
      <c r="O12" s="117">
        <f>'4.Doanh thu'!O125</f>
        <v>0</v>
      </c>
      <c r="P12" s="117">
        <f>'4.Doanh thu'!P125</f>
        <v>0</v>
      </c>
      <c r="Q12" s="117">
        <f>'4.Doanh thu'!Q125</f>
        <v>0</v>
      </c>
      <c r="R12" s="117">
        <f t="shared" si="1"/>
        <v>0</v>
      </c>
      <c r="T12" s="107"/>
    </row>
    <row r="13" spans="2:20" outlineLevel="1" x14ac:dyDescent="0.35">
      <c r="B13" s="116" t="s">
        <v>215</v>
      </c>
      <c r="C13" s="118" t="s">
        <v>25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>
        <f t="shared" si="1"/>
        <v>0</v>
      </c>
      <c r="T13" s="107"/>
    </row>
    <row r="14" spans="2:20" s="112" customFormat="1" ht="13" x14ac:dyDescent="0.35">
      <c r="B14" s="113">
        <v>3</v>
      </c>
      <c r="C14" s="114" t="s">
        <v>85</v>
      </c>
      <c r="D14" s="115"/>
      <c r="E14" s="115">
        <f>E15+E23</f>
        <v>0</v>
      </c>
      <c r="F14" s="115">
        <f t="shared" ref="F14:Q14" si="3">F15+F23</f>
        <v>0</v>
      </c>
      <c r="G14" s="115">
        <f t="shared" si="3"/>
        <v>0</v>
      </c>
      <c r="H14" s="115">
        <f t="shared" si="3"/>
        <v>0</v>
      </c>
      <c r="I14" s="115">
        <f t="shared" si="3"/>
        <v>0</v>
      </c>
      <c r="J14" s="115">
        <f t="shared" si="3"/>
        <v>0</v>
      </c>
      <c r="K14" s="115">
        <f t="shared" si="3"/>
        <v>0</v>
      </c>
      <c r="L14" s="115">
        <f t="shared" si="3"/>
        <v>0</v>
      </c>
      <c r="M14" s="115">
        <f t="shared" si="3"/>
        <v>0</v>
      </c>
      <c r="N14" s="115">
        <f t="shared" si="3"/>
        <v>0</v>
      </c>
      <c r="O14" s="115">
        <f t="shared" si="3"/>
        <v>0</v>
      </c>
      <c r="P14" s="115">
        <f t="shared" si="3"/>
        <v>0</v>
      </c>
      <c r="Q14" s="115">
        <f t="shared" si="3"/>
        <v>0</v>
      </c>
      <c r="R14" s="115">
        <f t="shared" si="1"/>
        <v>0</v>
      </c>
      <c r="T14" s="107"/>
    </row>
    <row r="15" spans="2:20" s="112" customFormat="1" ht="13" x14ac:dyDescent="0.35">
      <c r="B15" s="119">
        <v>3.1</v>
      </c>
      <c r="C15" s="120" t="s">
        <v>186</v>
      </c>
      <c r="D15" s="115"/>
      <c r="E15" s="115">
        <f t="shared" ref="E15:Q15" si="4">E16+E20+E21+E22</f>
        <v>0</v>
      </c>
      <c r="F15" s="115">
        <f t="shared" si="4"/>
        <v>0</v>
      </c>
      <c r="G15" s="115">
        <f t="shared" si="4"/>
        <v>0</v>
      </c>
      <c r="H15" s="115">
        <f t="shared" si="4"/>
        <v>0</v>
      </c>
      <c r="I15" s="115">
        <f t="shared" si="4"/>
        <v>0</v>
      </c>
      <c r="J15" s="115">
        <f t="shared" si="4"/>
        <v>0</v>
      </c>
      <c r="K15" s="115">
        <f t="shared" si="4"/>
        <v>0</v>
      </c>
      <c r="L15" s="115">
        <f t="shared" si="4"/>
        <v>0</v>
      </c>
      <c r="M15" s="115">
        <f t="shared" si="4"/>
        <v>0</v>
      </c>
      <c r="N15" s="115">
        <f t="shared" si="4"/>
        <v>0</v>
      </c>
      <c r="O15" s="115">
        <f t="shared" si="4"/>
        <v>0</v>
      </c>
      <c r="P15" s="115">
        <f t="shared" si="4"/>
        <v>0</v>
      </c>
      <c r="Q15" s="115">
        <f t="shared" si="4"/>
        <v>0</v>
      </c>
      <c r="R15" s="115">
        <f t="shared" si="1"/>
        <v>0</v>
      </c>
      <c r="T15" s="107"/>
    </row>
    <row r="16" spans="2:20" ht="13" x14ac:dyDescent="0.35">
      <c r="B16" s="121" t="s">
        <v>216</v>
      </c>
      <c r="C16" s="122" t="s">
        <v>293</v>
      </c>
      <c r="D16" s="117"/>
      <c r="E16" s="117"/>
      <c r="F16" s="117">
        <f>'1.NVL Chai'!H21</f>
        <v>0</v>
      </c>
      <c r="G16" s="117">
        <f>'1.NVL Chai'!I21</f>
        <v>0</v>
      </c>
      <c r="H16" s="117">
        <f>'1.NVL Chai'!J21</f>
        <v>0</v>
      </c>
      <c r="I16" s="117">
        <f>'1.NVL Chai'!K21</f>
        <v>0</v>
      </c>
      <c r="J16" s="117">
        <f>'1.NVL Chai'!L21</f>
        <v>0</v>
      </c>
      <c r="K16" s="117">
        <f>'1.NVL Chai'!M21</f>
        <v>0</v>
      </c>
      <c r="L16" s="117">
        <f>'1.NVL Chai'!N21</f>
        <v>0</v>
      </c>
      <c r="M16" s="117">
        <f>'1.NVL Chai'!O21</f>
        <v>0</v>
      </c>
      <c r="N16" s="117">
        <f>'1.NVL Chai'!P21</f>
        <v>0</v>
      </c>
      <c r="O16" s="117">
        <f>'1.NVL Chai'!Q21</f>
        <v>0</v>
      </c>
      <c r="P16" s="117">
        <f>'1.NVL Chai'!R21</f>
        <v>0</v>
      </c>
      <c r="Q16" s="117">
        <f>'1.NVL Chai'!S21</f>
        <v>0</v>
      </c>
      <c r="R16" s="117">
        <f t="shared" si="1"/>
        <v>0</v>
      </c>
      <c r="S16" s="123"/>
      <c r="T16" s="460"/>
    </row>
    <row r="17" spans="2:20" s="125" customFormat="1" ht="13" outlineLevel="1" x14ac:dyDescent="0.35">
      <c r="B17" s="126" t="s">
        <v>217</v>
      </c>
      <c r="C17" s="127" t="s">
        <v>307</v>
      </c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>
        <f>SUM(F17:Q17)</f>
        <v>0</v>
      </c>
      <c r="S17" s="267"/>
      <c r="T17" s="460"/>
    </row>
    <row r="18" spans="2:20" s="125" customFormat="1" ht="13" outlineLevel="1" x14ac:dyDescent="0.35">
      <c r="B18" s="126"/>
      <c r="C18" s="127" t="s">
        <v>308</v>
      </c>
      <c r="D18" s="128"/>
      <c r="E18" s="128"/>
      <c r="F18" s="128">
        <f>'1.NVL Chai'!H21*'2.Hao hut &amp; % chai '!F48</f>
        <v>0</v>
      </c>
      <c r="G18" s="128">
        <f>'1.NVL Chai'!I21*'2.Hao hut &amp; % chai '!G48</f>
        <v>0</v>
      </c>
      <c r="H18" s="128">
        <f>'1.NVL Chai'!J21*'2.Hao hut &amp; % chai '!H48</f>
        <v>0</v>
      </c>
      <c r="I18" s="128">
        <f>'1.NVL Chai'!K21*'2.Hao hut &amp; % chai '!I48</f>
        <v>0</v>
      </c>
      <c r="J18" s="128">
        <f>'1.NVL Chai'!L21*'2.Hao hut &amp; % chai '!J48</f>
        <v>0</v>
      </c>
      <c r="K18" s="128">
        <f>'1.NVL Chai'!M21*'2.Hao hut &amp; % chai '!K48</f>
        <v>0</v>
      </c>
      <c r="L18" s="128">
        <f>'1.NVL Chai'!N21*'2.Hao hut &amp; % chai '!L48</f>
        <v>0</v>
      </c>
      <c r="M18" s="128">
        <f>'1.NVL Chai'!O21*'2.Hao hut &amp; % chai '!M48</f>
        <v>0</v>
      </c>
      <c r="N18" s="128">
        <f>'1.NVL Chai'!P21*'2.Hao hut &amp; % chai '!N48</f>
        <v>0</v>
      </c>
      <c r="O18" s="128">
        <f>'1.NVL Chai'!Q21*'2.Hao hut &amp; % chai '!O48</f>
        <v>0</v>
      </c>
      <c r="P18" s="128">
        <f>'1.NVL Chai'!R21*'2.Hao hut &amp; % chai '!P48</f>
        <v>0</v>
      </c>
      <c r="Q18" s="128">
        <f>'1.NVL Chai'!S21*'2.Hao hut &amp; % chai '!Q48</f>
        <v>0</v>
      </c>
      <c r="R18" s="128">
        <f>SUM(F18:Q18)</f>
        <v>0</v>
      </c>
      <c r="S18" s="129"/>
      <c r="T18" s="461"/>
    </row>
    <row r="19" spans="2:20" s="178" customFormat="1" ht="13" x14ac:dyDescent="0.35">
      <c r="B19" s="179" t="s">
        <v>218</v>
      </c>
      <c r="C19" s="176" t="s">
        <v>297</v>
      </c>
      <c r="D19" s="177"/>
      <c r="E19" s="710">
        <f>IFERROR(E18/E$9,0)</f>
        <v>0</v>
      </c>
      <c r="F19" s="710">
        <f t="shared" ref="F19" si="5">IFERROR(F18/F$9,0)</f>
        <v>0</v>
      </c>
      <c r="G19" s="710">
        <f t="shared" ref="G19" si="6">IFERROR(G18/G$9,0)</f>
        <v>0</v>
      </c>
      <c r="H19" s="710">
        <f t="shared" ref="H19" si="7">IFERROR(H18/H$9,0)</f>
        <v>0</v>
      </c>
      <c r="I19" s="710">
        <f t="shared" ref="I19" si="8">IFERROR(I18/I$9,0)</f>
        <v>0</v>
      </c>
      <c r="J19" s="710">
        <f t="shared" ref="J19" si="9">IFERROR(J18/J$9,0)</f>
        <v>0</v>
      </c>
      <c r="K19" s="710">
        <f t="shared" ref="K19" si="10">IFERROR(K18/K$9,0)</f>
        <v>0</v>
      </c>
      <c r="L19" s="710">
        <f t="shared" ref="L19" si="11">IFERROR(L18/L$9,0)</f>
        <v>0</v>
      </c>
      <c r="M19" s="710">
        <f t="shared" ref="M19" si="12">IFERROR(M18/M$9,0)</f>
        <v>0</v>
      </c>
      <c r="N19" s="710">
        <f t="shared" ref="N19" si="13">IFERROR(N18/N$9,0)</f>
        <v>0</v>
      </c>
      <c r="O19" s="710">
        <f t="shared" ref="O19" si="14">IFERROR(O18/O$9,0)</f>
        <v>0</v>
      </c>
      <c r="P19" s="710">
        <f t="shared" ref="P19" si="15">IFERROR(P18/P$9,0)</f>
        <v>0</v>
      </c>
      <c r="Q19" s="710">
        <f t="shared" ref="Q19" si="16">IFERROR(Q18/Q$9,0)</f>
        <v>0</v>
      </c>
      <c r="R19" s="710">
        <f t="shared" ref="R19" si="17">IFERROR(R18/R$9,0)</f>
        <v>0</v>
      </c>
    </row>
    <row r="20" spans="2:20" ht="13" x14ac:dyDescent="0.35">
      <c r="B20" s="126" t="s">
        <v>219</v>
      </c>
      <c r="C20" s="122" t="s">
        <v>220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>
        <f t="shared" si="1"/>
        <v>0</v>
      </c>
      <c r="S20" s="123"/>
      <c r="T20" s="706"/>
    </row>
    <row r="21" spans="2:20" ht="13" x14ac:dyDescent="0.35">
      <c r="B21" s="126" t="s">
        <v>255</v>
      </c>
      <c r="C21" s="122" t="s">
        <v>23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>
        <f t="shared" si="1"/>
        <v>0</v>
      </c>
      <c r="S21" s="123"/>
      <c r="T21" s="706"/>
    </row>
    <row r="22" spans="2:20" ht="13" x14ac:dyDescent="0.35">
      <c r="B22" s="126" t="s">
        <v>296</v>
      </c>
      <c r="C22" s="122" t="s">
        <v>187</v>
      </c>
      <c r="D22" s="117"/>
      <c r="E22" s="117"/>
      <c r="F22" s="117">
        <f>Luong_HCNS!G62</f>
        <v>0</v>
      </c>
      <c r="G22" s="117">
        <f>Luong_HCNS!H62</f>
        <v>0</v>
      </c>
      <c r="H22" s="117">
        <f>Luong_HCNS!I62</f>
        <v>0</v>
      </c>
      <c r="I22" s="117">
        <f>Luong_HCNS!J62</f>
        <v>0</v>
      </c>
      <c r="J22" s="117">
        <f>Luong_HCNS!K62</f>
        <v>0</v>
      </c>
      <c r="K22" s="117">
        <f>Luong_HCNS!L62</f>
        <v>0</v>
      </c>
      <c r="L22" s="117">
        <f>Luong_HCNS!M62</f>
        <v>0</v>
      </c>
      <c r="M22" s="117">
        <f>Luong_HCNS!N62</f>
        <v>0</v>
      </c>
      <c r="N22" s="117">
        <f>Luong_HCNS!O62</f>
        <v>0</v>
      </c>
      <c r="O22" s="117">
        <f>Luong_HCNS!P62</f>
        <v>0</v>
      </c>
      <c r="P22" s="117">
        <f>Luong_HCNS!Q62</f>
        <v>0</v>
      </c>
      <c r="Q22" s="117">
        <f>Luong_HCNS!R62</f>
        <v>0</v>
      </c>
      <c r="R22" s="117">
        <f t="shared" si="1"/>
        <v>0</v>
      </c>
      <c r="S22" s="123"/>
      <c r="T22" s="706"/>
    </row>
    <row r="23" spans="2:20" s="112" customFormat="1" ht="13" x14ac:dyDescent="0.35">
      <c r="B23" s="119">
        <v>3.2</v>
      </c>
      <c r="C23" s="120" t="s">
        <v>188</v>
      </c>
      <c r="D23" s="115"/>
      <c r="E23" s="115">
        <f>E24</f>
        <v>0</v>
      </c>
      <c r="F23" s="115">
        <f t="shared" ref="F23:Q23" si="18">F24</f>
        <v>0</v>
      </c>
      <c r="G23" s="115">
        <f t="shared" si="18"/>
        <v>0</v>
      </c>
      <c r="H23" s="115">
        <f t="shared" si="18"/>
        <v>0</v>
      </c>
      <c r="I23" s="115">
        <f t="shared" si="18"/>
        <v>0</v>
      </c>
      <c r="J23" s="115">
        <f t="shared" si="18"/>
        <v>0</v>
      </c>
      <c r="K23" s="115">
        <f t="shared" si="18"/>
        <v>0</v>
      </c>
      <c r="L23" s="115">
        <f t="shared" si="18"/>
        <v>0</v>
      </c>
      <c r="M23" s="115">
        <f t="shared" si="18"/>
        <v>0</v>
      </c>
      <c r="N23" s="115">
        <f t="shared" si="18"/>
        <v>0</v>
      </c>
      <c r="O23" s="115">
        <f t="shared" si="18"/>
        <v>0</v>
      </c>
      <c r="P23" s="115">
        <f t="shared" si="18"/>
        <v>0</v>
      </c>
      <c r="Q23" s="115">
        <f t="shared" si="18"/>
        <v>0</v>
      </c>
      <c r="R23" s="115">
        <f t="shared" si="1"/>
        <v>0</v>
      </c>
      <c r="S23" s="123"/>
      <c r="T23" s="460"/>
    </row>
    <row r="24" spans="2:20" outlineLevel="1" collapsed="1" x14ac:dyDescent="0.35">
      <c r="B24" s="121"/>
      <c r="C24" s="122" t="s">
        <v>172</v>
      </c>
      <c r="D24" s="117"/>
      <c r="E24" s="117"/>
      <c r="F24" s="117">
        <f>'3.Thanh pham'!H141*'Dinh muc'!$G$48</f>
        <v>0</v>
      </c>
      <c r="G24" s="117">
        <f>'3.Thanh pham'!I141*'Dinh muc'!$G$48</f>
        <v>0</v>
      </c>
      <c r="H24" s="117">
        <f>'3.Thanh pham'!J141*'Dinh muc'!$G$48</f>
        <v>0</v>
      </c>
      <c r="I24" s="117">
        <f>'3.Thanh pham'!K141*'Dinh muc'!$G$48</f>
        <v>0</v>
      </c>
      <c r="J24" s="117">
        <f>'3.Thanh pham'!L141*'Dinh muc'!$G$48</f>
        <v>0</v>
      </c>
      <c r="K24" s="117">
        <f>'3.Thanh pham'!M141*'Dinh muc'!$G$48</f>
        <v>0</v>
      </c>
      <c r="L24" s="117">
        <f>'3.Thanh pham'!N141*'Dinh muc'!$G$48</f>
        <v>0</v>
      </c>
      <c r="M24" s="117">
        <f>'3.Thanh pham'!O141*'Dinh muc'!$G$48</f>
        <v>0</v>
      </c>
      <c r="N24" s="117">
        <f>'3.Thanh pham'!P141*'Dinh muc'!$G$48</f>
        <v>0</v>
      </c>
      <c r="O24" s="117">
        <f>'3.Thanh pham'!Q141*'Dinh muc'!$G$48</f>
        <v>0</v>
      </c>
      <c r="P24" s="117">
        <f>'3.Thanh pham'!R141*'Dinh muc'!$G$48</f>
        <v>0</v>
      </c>
      <c r="Q24" s="117">
        <f>'3.Thanh pham'!S141*'Dinh muc'!$G$48</f>
        <v>0</v>
      </c>
      <c r="R24" s="117">
        <f t="shared" si="1"/>
        <v>0</v>
      </c>
    </row>
    <row r="25" spans="2:20" s="112" customFormat="1" ht="13" x14ac:dyDescent="0.35">
      <c r="B25" s="145">
        <v>4</v>
      </c>
      <c r="C25" s="146" t="s">
        <v>189</v>
      </c>
      <c r="D25" s="147"/>
      <c r="E25" s="147">
        <f>E9-E14</f>
        <v>0</v>
      </c>
      <c r="F25" s="147">
        <f t="shared" ref="F25:Q25" si="19">F9-F14</f>
        <v>0</v>
      </c>
      <c r="G25" s="147">
        <f t="shared" si="19"/>
        <v>0</v>
      </c>
      <c r="H25" s="147">
        <f t="shared" si="19"/>
        <v>0</v>
      </c>
      <c r="I25" s="147">
        <f t="shared" si="19"/>
        <v>0</v>
      </c>
      <c r="J25" s="147">
        <f t="shared" si="19"/>
        <v>0</v>
      </c>
      <c r="K25" s="147">
        <f t="shared" si="19"/>
        <v>0</v>
      </c>
      <c r="L25" s="147">
        <f t="shared" si="19"/>
        <v>0</v>
      </c>
      <c r="M25" s="147">
        <f t="shared" si="19"/>
        <v>0</v>
      </c>
      <c r="N25" s="147">
        <f t="shared" si="19"/>
        <v>0</v>
      </c>
      <c r="O25" s="147">
        <f t="shared" si="19"/>
        <v>0</v>
      </c>
      <c r="P25" s="147">
        <f t="shared" si="19"/>
        <v>0</v>
      </c>
      <c r="Q25" s="147">
        <f t="shared" si="19"/>
        <v>0</v>
      </c>
      <c r="R25" s="147">
        <f t="shared" si="1"/>
        <v>0</v>
      </c>
    </row>
    <row r="26" spans="2:20" s="178" customFormat="1" ht="13" x14ac:dyDescent="0.35">
      <c r="B26" s="175" t="s">
        <v>294</v>
      </c>
      <c r="C26" s="176" t="s">
        <v>295</v>
      </c>
      <c r="D26" s="177"/>
      <c r="E26" s="182">
        <f t="shared" ref="E26:F26" si="20">IFERROR(E25/E$9,0)</f>
        <v>0</v>
      </c>
      <c r="F26" s="182">
        <f t="shared" si="20"/>
        <v>0</v>
      </c>
      <c r="G26" s="182">
        <f t="shared" ref="G26" si="21">IFERROR(G25/G$9,0)</f>
        <v>0</v>
      </c>
      <c r="H26" s="182">
        <f t="shared" ref="H26" si="22">IFERROR(H25/H$9,0)</f>
        <v>0</v>
      </c>
      <c r="I26" s="182">
        <f t="shared" ref="I26" si="23">IFERROR(I25/I$9,0)</f>
        <v>0</v>
      </c>
      <c r="J26" s="182">
        <f t="shared" ref="J26" si="24">IFERROR(J25/J$9,0)</f>
        <v>0</v>
      </c>
      <c r="K26" s="182">
        <f t="shared" ref="K26" si="25">IFERROR(K25/K$9,0)</f>
        <v>0</v>
      </c>
      <c r="L26" s="182">
        <f t="shared" ref="L26" si="26">IFERROR(L25/L$9,0)</f>
        <v>0</v>
      </c>
      <c r="M26" s="182">
        <f t="shared" ref="M26" si="27">IFERROR(M25/M$9,0)</f>
        <v>0</v>
      </c>
      <c r="N26" s="182">
        <f t="shared" ref="N26" si="28">IFERROR(N25/N$9,0)</f>
        <v>0</v>
      </c>
      <c r="O26" s="182">
        <f t="shared" ref="O26" si="29">IFERROR(O25/O$9,0)</f>
        <v>0</v>
      </c>
      <c r="P26" s="182">
        <f t="shared" ref="P26" si="30">IFERROR(P25/P$9,0)</f>
        <v>0</v>
      </c>
      <c r="Q26" s="182">
        <f t="shared" ref="Q26" si="31">IFERROR(Q25/Q$9,0)</f>
        <v>0</v>
      </c>
      <c r="R26" s="182">
        <f t="shared" ref="R26" si="32">IFERROR(R25/R$9,0)</f>
        <v>0</v>
      </c>
    </row>
    <row r="27" spans="2:20" s="112" customFormat="1" ht="13" x14ac:dyDescent="0.35">
      <c r="B27" s="119">
        <v>5</v>
      </c>
      <c r="C27" s="120" t="s">
        <v>190</v>
      </c>
      <c r="D27" s="115"/>
      <c r="E27" s="115">
        <f>E28+E29+E30</f>
        <v>0</v>
      </c>
      <c r="F27" s="115">
        <f t="shared" ref="F27:Q27" si="33">F28+F29+F30</f>
        <v>0</v>
      </c>
      <c r="G27" s="115">
        <f t="shared" si="33"/>
        <v>0</v>
      </c>
      <c r="H27" s="115">
        <f t="shared" si="33"/>
        <v>0</v>
      </c>
      <c r="I27" s="115">
        <f t="shared" si="33"/>
        <v>0</v>
      </c>
      <c r="J27" s="115">
        <f t="shared" si="33"/>
        <v>0</v>
      </c>
      <c r="K27" s="115">
        <f t="shared" si="33"/>
        <v>0</v>
      </c>
      <c r="L27" s="115">
        <f t="shared" si="33"/>
        <v>0</v>
      </c>
      <c r="M27" s="115">
        <f t="shared" si="33"/>
        <v>0</v>
      </c>
      <c r="N27" s="115">
        <f t="shared" si="33"/>
        <v>0</v>
      </c>
      <c r="O27" s="115">
        <f t="shared" si="33"/>
        <v>0</v>
      </c>
      <c r="P27" s="115">
        <f t="shared" si="33"/>
        <v>0</v>
      </c>
      <c r="Q27" s="115">
        <f t="shared" si="33"/>
        <v>0</v>
      </c>
      <c r="R27" s="115">
        <f t="shared" si="1"/>
        <v>0</v>
      </c>
      <c r="S27" s="124"/>
    </row>
    <row r="28" spans="2:20" collapsed="1" x14ac:dyDescent="0.35">
      <c r="B28" s="121">
        <v>5.0999999999999996</v>
      </c>
      <c r="C28" s="118" t="s">
        <v>191</v>
      </c>
      <c r="D28" s="117"/>
      <c r="E28" s="117"/>
      <c r="F28" s="117">
        <f>Luong_HCNS!G61</f>
        <v>0</v>
      </c>
      <c r="G28" s="117">
        <f>Luong_HCNS!H61</f>
        <v>0</v>
      </c>
      <c r="H28" s="117">
        <f>Luong_HCNS!I61</f>
        <v>0</v>
      </c>
      <c r="I28" s="117">
        <f>Luong_HCNS!J61</f>
        <v>0</v>
      </c>
      <c r="J28" s="117">
        <f>Luong_HCNS!K61</f>
        <v>0</v>
      </c>
      <c r="K28" s="117">
        <f>Luong_HCNS!L61</f>
        <v>0</v>
      </c>
      <c r="L28" s="117">
        <f>Luong_HCNS!M61</f>
        <v>0</v>
      </c>
      <c r="M28" s="117">
        <f>Luong_HCNS!N61</f>
        <v>0</v>
      </c>
      <c r="N28" s="117">
        <f>Luong_HCNS!O61</f>
        <v>0</v>
      </c>
      <c r="O28" s="117">
        <f>Luong_HCNS!P61</f>
        <v>0</v>
      </c>
      <c r="P28" s="117">
        <f>Luong_HCNS!Q61</f>
        <v>0</v>
      </c>
      <c r="Q28" s="117">
        <f>Luong_HCNS!R61</f>
        <v>0</v>
      </c>
      <c r="R28" s="117">
        <f t="shared" si="1"/>
        <v>0</v>
      </c>
      <c r="S28" s="123"/>
    </row>
    <row r="29" spans="2:20" ht="17.5" customHeight="1" x14ac:dyDescent="0.35">
      <c r="B29" s="121">
        <v>5.2</v>
      </c>
      <c r="C29" s="118" t="s">
        <v>16</v>
      </c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>
        <f t="shared" si="1"/>
        <v>0</v>
      </c>
      <c r="S29" s="123"/>
    </row>
    <row r="30" spans="2:20" ht="25" x14ac:dyDescent="0.35">
      <c r="B30" s="121">
        <v>5.3</v>
      </c>
      <c r="C30" s="118" t="s">
        <v>221</v>
      </c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>
        <f t="shared" si="1"/>
        <v>0</v>
      </c>
      <c r="S30" s="123"/>
    </row>
    <row r="31" spans="2:20" s="112" customFormat="1" ht="13" x14ac:dyDescent="0.35">
      <c r="B31" s="119">
        <v>6</v>
      </c>
      <c r="C31" s="114" t="s">
        <v>2220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>
        <f t="shared" si="1"/>
        <v>0</v>
      </c>
    </row>
    <row r="32" spans="2:20" s="112" customFormat="1" ht="13" collapsed="1" x14ac:dyDescent="0.35">
      <c r="B32" s="145">
        <v>7</v>
      </c>
      <c r="C32" s="146" t="s">
        <v>192</v>
      </c>
      <c r="D32" s="147"/>
      <c r="E32" s="147">
        <f>E25-E27-E31</f>
        <v>0</v>
      </c>
      <c r="F32" s="147">
        <f t="shared" ref="F32:Q32" si="34">F25-F27-F31</f>
        <v>0</v>
      </c>
      <c r="G32" s="147">
        <f t="shared" si="34"/>
        <v>0</v>
      </c>
      <c r="H32" s="147">
        <f t="shared" si="34"/>
        <v>0</v>
      </c>
      <c r="I32" s="147">
        <f t="shared" si="34"/>
        <v>0</v>
      </c>
      <c r="J32" s="147">
        <f t="shared" si="34"/>
        <v>0</v>
      </c>
      <c r="K32" s="147">
        <f t="shared" si="34"/>
        <v>0</v>
      </c>
      <c r="L32" s="147">
        <f t="shared" si="34"/>
        <v>0</v>
      </c>
      <c r="M32" s="147">
        <f t="shared" si="34"/>
        <v>0</v>
      </c>
      <c r="N32" s="147">
        <f t="shared" si="34"/>
        <v>0</v>
      </c>
      <c r="O32" s="147">
        <f t="shared" si="34"/>
        <v>0</v>
      </c>
      <c r="P32" s="147">
        <f t="shared" si="34"/>
        <v>0</v>
      </c>
      <c r="Q32" s="147">
        <f t="shared" si="34"/>
        <v>0</v>
      </c>
      <c r="R32" s="147">
        <f t="shared" si="1"/>
        <v>0</v>
      </c>
    </row>
    <row r="33" spans="2:21" s="178" customFormat="1" ht="13" x14ac:dyDescent="0.35">
      <c r="B33" s="175" t="s">
        <v>223</v>
      </c>
      <c r="C33" s="176" t="s">
        <v>193</v>
      </c>
      <c r="D33" s="177"/>
      <c r="E33" s="177">
        <f>IFERROR(E32/E$9,0)</f>
        <v>0</v>
      </c>
      <c r="F33" s="182">
        <f t="shared" ref="F33" si="35">IFERROR(F32/F$9,0)</f>
        <v>0</v>
      </c>
      <c r="G33" s="182">
        <f t="shared" ref="G33" si="36">IFERROR(G32/G$9,0)</f>
        <v>0</v>
      </c>
      <c r="H33" s="182">
        <f t="shared" ref="H33" si="37">IFERROR(H32/H$9,0)</f>
        <v>0</v>
      </c>
      <c r="I33" s="182">
        <f t="shared" ref="I33" si="38">IFERROR(I32/I$9,0)</f>
        <v>0</v>
      </c>
      <c r="J33" s="182">
        <f t="shared" ref="J33" si="39">IFERROR(J32/J$9,0)</f>
        <v>0</v>
      </c>
      <c r="K33" s="182">
        <f t="shared" ref="K33" si="40">IFERROR(K32/K$9,0)</f>
        <v>0</v>
      </c>
      <c r="L33" s="182">
        <f t="shared" ref="L33" si="41">IFERROR(L32/L$9,0)</f>
        <v>0</v>
      </c>
      <c r="M33" s="182">
        <f t="shared" ref="M33" si="42">IFERROR(M32/M$9,0)</f>
        <v>0</v>
      </c>
      <c r="N33" s="182">
        <f t="shared" ref="N33" si="43">IFERROR(N32/N$9,0)</f>
        <v>0</v>
      </c>
      <c r="O33" s="182">
        <f t="shared" ref="O33" si="44">IFERROR(O32/O$9,0)</f>
        <v>0</v>
      </c>
      <c r="P33" s="182">
        <f t="shared" ref="P33" si="45">IFERROR(P32/P$9,0)</f>
        <v>0</v>
      </c>
      <c r="Q33" s="182">
        <f t="shared" ref="Q33" si="46">IFERROR(Q32/Q$9,0)</f>
        <v>0</v>
      </c>
      <c r="R33" s="182">
        <f t="shared" ref="R33" si="47">IFERROR(R32/R$9,0)</f>
        <v>0</v>
      </c>
    </row>
    <row r="34" spans="2:21" s="112" customFormat="1" ht="13" x14ac:dyDescent="0.35">
      <c r="B34" s="119">
        <v>8</v>
      </c>
      <c r="C34" s="114" t="s">
        <v>194</v>
      </c>
      <c r="D34" s="115"/>
      <c r="E34" s="115">
        <f>E35+E36+E37</f>
        <v>0</v>
      </c>
      <c r="F34" s="115">
        <f t="shared" ref="F34:Q34" si="48">F35+F36+F37</f>
        <v>0</v>
      </c>
      <c r="G34" s="115">
        <f t="shared" si="48"/>
        <v>0</v>
      </c>
      <c r="H34" s="115">
        <f t="shared" si="48"/>
        <v>0</v>
      </c>
      <c r="I34" s="115">
        <f t="shared" si="48"/>
        <v>0</v>
      </c>
      <c r="J34" s="115">
        <f t="shared" si="48"/>
        <v>0</v>
      </c>
      <c r="K34" s="115">
        <f t="shared" si="48"/>
        <v>0</v>
      </c>
      <c r="L34" s="115">
        <f t="shared" si="48"/>
        <v>0</v>
      </c>
      <c r="M34" s="115">
        <f t="shared" si="48"/>
        <v>0</v>
      </c>
      <c r="N34" s="115">
        <f t="shared" si="48"/>
        <v>0</v>
      </c>
      <c r="O34" s="115">
        <f t="shared" si="48"/>
        <v>0</v>
      </c>
      <c r="P34" s="115">
        <f t="shared" si="48"/>
        <v>0</v>
      </c>
      <c r="Q34" s="115">
        <f t="shared" si="48"/>
        <v>0</v>
      </c>
      <c r="R34" s="115">
        <f t="shared" si="1"/>
        <v>0</v>
      </c>
      <c r="T34" s="178"/>
      <c r="U34" s="178"/>
    </row>
    <row r="35" spans="2:21" ht="13" outlineLevel="1" collapsed="1" x14ac:dyDescent="0.35">
      <c r="B35" s="121">
        <v>8.1</v>
      </c>
      <c r="C35" s="118" t="s">
        <v>195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>
        <f t="shared" si="1"/>
        <v>0</v>
      </c>
      <c r="T35" s="178"/>
      <c r="U35" s="178"/>
    </row>
    <row r="36" spans="2:21" ht="13" outlineLevel="1" x14ac:dyDescent="0.35">
      <c r="B36" s="121">
        <v>8.1999999999999993</v>
      </c>
      <c r="C36" s="118" t="s">
        <v>229</v>
      </c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>
        <f t="shared" si="1"/>
        <v>0</v>
      </c>
      <c r="T36" s="178"/>
      <c r="U36" s="178"/>
    </row>
    <row r="37" spans="2:21" ht="13" outlineLevel="1" x14ac:dyDescent="0.35">
      <c r="B37" s="121">
        <v>83</v>
      </c>
      <c r="C37" s="118" t="s">
        <v>196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>
        <f t="shared" si="1"/>
        <v>0</v>
      </c>
      <c r="T37" s="178"/>
      <c r="U37" s="178"/>
    </row>
    <row r="38" spans="2:21" s="112" customFormat="1" ht="13" x14ac:dyDescent="0.35">
      <c r="B38" s="119">
        <v>9</v>
      </c>
      <c r="C38" s="114" t="s">
        <v>197</v>
      </c>
      <c r="D38" s="115"/>
      <c r="E38" s="115">
        <f>E39+E40+E41</f>
        <v>0</v>
      </c>
      <c r="F38" s="115">
        <f t="shared" ref="F38:Q38" si="49">F39+F40+F41</f>
        <v>0</v>
      </c>
      <c r="G38" s="115">
        <f t="shared" si="49"/>
        <v>0</v>
      </c>
      <c r="H38" s="115">
        <f t="shared" si="49"/>
        <v>0</v>
      </c>
      <c r="I38" s="115">
        <f t="shared" si="49"/>
        <v>0</v>
      </c>
      <c r="J38" s="115">
        <f t="shared" si="49"/>
        <v>0</v>
      </c>
      <c r="K38" s="115">
        <f t="shared" si="49"/>
        <v>0</v>
      </c>
      <c r="L38" s="115">
        <f t="shared" si="49"/>
        <v>0</v>
      </c>
      <c r="M38" s="115">
        <f t="shared" si="49"/>
        <v>0</v>
      </c>
      <c r="N38" s="115">
        <f t="shared" si="49"/>
        <v>0</v>
      </c>
      <c r="O38" s="115">
        <f t="shared" si="49"/>
        <v>0</v>
      </c>
      <c r="P38" s="115">
        <f t="shared" si="49"/>
        <v>0</v>
      </c>
      <c r="Q38" s="115">
        <f t="shared" si="49"/>
        <v>0</v>
      </c>
      <c r="R38" s="115">
        <f t="shared" si="1"/>
        <v>0</v>
      </c>
      <c r="S38" s="123"/>
      <c r="T38" s="178"/>
      <c r="U38" s="178"/>
    </row>
    <row r="39" spans="2:21" ht="13" collapsed="1" x14ac:dyDescent="0.35">
      <c r="B39" s="121">
        <v>9.1</v>
      </c>
      <c r="C39" s="122" t="s">
        <v>195</v>
      </c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>
        <f t="shared" si="1"/>
        <v>0</v>
      </c>
      <c r="S39" s="123"/>
      <c r="T39" s="178"/>
      <c r="U39" s="178"/>
    </row>
    <row r="40" spans="2:21" ht="13" x14ac:dyDescent="0.35">
      <c r="B40" s="121">
        <v>9.1999999999999993</v>
      </c>
      <c r="C40" s="122" t="s">
        <v>230</v>
      </c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>
        <f t="shared" si="1"/>
        <v>0</v>
      </c>
      <c r="S40" s="123"/>
      <c r="T40" s="178"/>
      <c r="U40" s="178"/>
    </row>
    <row r="41" spans="2:21" ht="13" x14ac:dyDescent="0.35">
      <c r="B41" s="121">
        <v>9.3000000000000007</v>
      </c>
      <c r="C41" s="122" t="s">
        <v>196</v>
      </c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>
        <f t="shared" si="1"/>
        <v>0</v>
      </c>
      <c r="S41" s="123"/>
      <c r="T41" s="178"/>
      <c r="U41" s="178"/>
    </row>
    <row r="42" spans="2:21" s="112" customFormat="1" ht="13" x14ac:dyDescent="0.3">
      <c r="B42" s="119">
        <v>10</v>
      </c>
      <c r="C42" s="120" t="s">
        <v>198</v>
      </c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>
        <f t="shared" si="1"/>
        <v>0</v>
      </c>
      <c r="T42" s="425"/>
    </row>
    <row r="43" spans="2:21" s="112" customFormat="1" ht="13" collapsed="1" x14ac:dyDescent="0.35">
      <c r="B43" s="145">
        <v>11</v>
      </c>
      <c r="C43" s="146" t="s">
        <v>199</v>
      </c>
      <c r="D43" s="147"/>
      <c r="E43" s="147">
        <f>E32-E34-E38+E42</f>
        <v>0</v>
      </c>
      <c r="F43" s="147">
        <f t="shared" ref="F43:Q43" si="50">F32-F34-F38+F42</f>
        <v>0</v>
      </c>
      <c r="G43" s="147">
        <f t="shared" si="50"/>
        <v>0</v>
      </c>
      <c r="H43" s="147">
        <f t="shared" si="50"/>
        <v>0</v>
      </c>
      <c r="I43" s="147">
        <f t="shared" si="50"/>
        <v>0</v>
      </c>
      <c r="J43" s="147">
        <f t="shared" si="50"/>
        <v>0</v>
      </c>
      <c r="K43" s="147">
        <f t="shared" si="50"/>
        <v>0</v>
      </c>
      <c r="L43" s="147">
        <f t="shared" si="50"/>
        <v>0</v>
      </c>
      <c r="M43" s="147">
        <f t="shared" si="50"/>
        <v>0</v>
      </c>
      <c r="N43" s="147">
        <f t="shared" si="50"/>
        <v>0</v>
      </c>
      <c r="O43" s="147">
        <f t="shared" si="50"/>
        <v>0</v>
      </c>
      <c r="P43" s="147">
        <f t="shared" si="50"/>
        <v>0</v>
      </c>
      <c r="Q43" s="147">
        <f t="shared" si="50"/>
        <v>0</v>
      </c>
      <c r="R43" s="147">
        <f t="shared" si="1"/>
        <v>0</v>
      </c>
    </row>
    <row r="44" spans="2:21" s="112" customFormat="1" ht="13" x14ac:dyDescent="0.3">
      <c r="B44" s="119">
        <v>12</v>
      </c>
      <c r="C44" s="120" t="s">
        <v>200</v>
      </c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>
        <f t="shared" si="1"/>
        <v>0</v>
      </c>
      <c r="T44" s="425"/>
    </row>
    <row r="45" spans="2:21" s="112" customFormat="1" ht="13" x14ac:dyDescent="0.3">
      <c r="B45" s="119">
        <v>13</v>
      </c>
      <c r="C45" s="120" t="s">
        <v>201</v>
      </c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>
        <f t="shared" si="1"/>
        <v>0</v>
      </c>
      <c r="T45" s="425"/>
    </row>
    <row r="46" spans="2:21" s="125" customFormat="1" ht="13" x14ac:dyDescent="0.35">
      <c r="B46" s="126">
        <v>13.1</v>
      </c>
      <c r="C46" s="127" t="s">
        <v>202</v>
      </c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>
        <f t="shared" si="1"/>
        <v>0</v>
      </c>
    </row>
    <row r="47" spans="2:21" s="112" customFormat="1" ht="13" collapsed="1" x14ac:dyDescent="0.35">
      <c r="B47" s="145">
        <v>14</v>
      </c>
      <c r="C47" s="146" t="s">
        <v>203</v>
      </c>
      <c r="D47" s="147"/>
      <c r="E47" s="147">
        <f>E43+E44-E45</f>
        <v>0</v>
      </c>
      <c r="F47" s="147">
        <f t="shared" ref="F47:Q47" si="51">F43+F44-F45</f>
        <v>0</v>
      </c>
      <c r="G47" s="147">
        <f t="shared" si="51"/>
        <v>0</v>
      </c>
      <c r="H47" s="147">
        <f t="shared" si="51"/>
        <v>0</v>
      </c>
      <c r="I47" s="147">
        <f t="shared" si="51"/>
        <v>0</v>
      </c>
      <c r="J47" s="147">
        <f t="shared" si="51"/>
        <v>0</v>
      </c>
      <c r="K47" s="147">
        <f t="shared" si="51"/>
        <v>0</v>
      </c>
      <c r="L47" s="147">
        <f t="shared" si="51"/>
        <v>0</v>
      </c>
      <c r="M47" s="147">
        <f t="shared" si="51"/>
        <v>0</v>
      </c>
      <c r="N47" s="147">
        <f t="shared" si="51"/>
        <v>0</v>
      </c>
      <c r="O47" s="147">
        <f t="shared" si="51"/>
        <v>0</v>
      </c>
      <c r="P47" s="147">
        <f t="shared" si="51"/>
        <v>0</v>
      </c>
      <c r="Q47" s="147">
        <f t="shared" si="51"/>
        <v>0</v>
      </c>
      <c r="R47" s="147">
        <f t="shared" si="1"/>
        <v>0</v>
      </c>
    </row>
    <row r="48" spans="2:21" ht="13" x14ac:dyDescent="0.3">
      <c r="B48" s="121">
        <v>15</v>
      </c>
      <c r="C48" s="122" t="s">
        <v>204</v>
      </c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>
        <f t="shared" si="1"/>
        <v>0</v>
      </c>
      <c r="T48" s="425"/>
    </row>
    <row r="49" spans="2:18" s="112" customFormat="1" ht="13" collapsed="1" x14ac:dyDescent="0.35">
      <c r="B49" s="145">
        <v>16</v>
      </c>
      <c r="C49" s="146" t="s">
        <v>205</v>
      </c>
      <c r="D49" s="147"/>
      <c r="E49" s="147">
        <f>E47-E48</f>
        <v>0</v>
      </c>
      <c r="F49" s="147">
        <f t="shared" ref="F49:Q49" si="52">F47-F48</f>
        <v>0</v>
      </c>
      <c r="G49" s="147">
        <f t="shared" si="52"/>
        <v>0</v>
      </c>
      <c r="H49" s="147">
        <f t="shared" si="52"/>
        <v>0</v>
      </c>
      <c r="I49" s="147">
        <f t="shared" si="52"/>
        <v>0</v>
      </c>
      <c r="J49" s="147">
        <f t="shared" si="52"/>
        <v>0</v>
      </c>
      <c r="K49" s="147">
        <f t="shared" si="52"/>
        <v>0</v>
      </c>
      <c r="L49" s="147">
        <f t="shared" si="52"/>
        <v>0</v>
      </c>
      <c r="M49" s="147">
        <f t="shared" si="52"/>
        <v>0</v>
      </c>
      <c r="N49" s="147">
        <f t="shared" si="52"/>
        <v>0</v>
      </c>
      <c r="O49" s="147">
        <f t="shared" si="52"/>
        <v>0</v>
      </c>
      <c r="P49" s="147">
        <f t="shared" si="52"/>
        <v>0</v>
      </c>
      <c r="Q49" s="147">
        <f t="shared" si="52"/>
        <v>0</v>
      </c>
      <c r="R49" s="147">
        <f t="shared" si="1"/>
        <v>0</v>
      </c>
    </row>
    <row r="50" spans="2:18" s="180" customFormat="1" ht="13" x14ac:dyDescent="0.35">
      <c r="B50" s="181" t="s">
        <v>224</v>
      </c>
      <c r="C50" s="176" t="s">
        <v>207</v>
      </c>
      <c r="D50" s="177"/>
      <c r="E50" s="177">
        <f>IFERROR(E49/E$9,0)</f>
        <v>0</v>
      </c>
      <c r="F50" s="177">
        <f t="shared" ref="F50:R50" si="53">IFERROR(F49/F$9,0)</f>
        <v>0</v>
      </c>
      <c r="G50" s="177">
        <f t="shared" si="53"/>
        <v>0</v>
      </c>
      <c r="H50" s="177">
        <f t="shared" si="53"/>
        <v>0</v>
      </c>
      <c r="I50" s="177">
        <f t="shared" si="53"/>
        <v>0</v>
      </c>
      <c r="J50" s="177">
        <f t="shared" si="53"/>
        <v>0</v>
      </c>
      <c r="K50" s="177">
        <f t="shared" si="53"/>
        <v>0</v>
      </c>
      <c r="L50" s="177">
        <f t="shared" si="53"/>
        <v>0</v>
      </c>
      <c r="M50" s="177">
        <f t="shared" si="53"/>
        <v>0</v>
      </c>
      <c r="N50" s="177">
        <f t="shared" si="53"/>
        <v>0</v>
      </c>
      <c r="O50" s="177">
        <f t="shared" si="53"/>
        <v>0</v>
      </c>
      <c r="P50" s="177">
        <f t="shared" si="53"/>
        <v>0</v>
      </c>
      <c r="Q50" s="177">
        <f t="shared" si="53"/>
        <v>0</v>
      </c>
      <c r="R50" s="177">
        <f t="shared" si="53"/>
        <v>0</v>
      </c>
    </row>
    <row r="51" spans="2:18" x14ac:dyDescent="0.35">
      <c r="B51" s="121">
        <v>17</v>
      </c>
      <c r="C51" s="122" t="s">
        <v>196</v>
      </c>
      <c r="D51" s="117"/>
      <c r="E51" s="117">
        <f t="shared" ref="E51:Q51" si="54">E31+E37+E41</f>
        <v>0</v>
      </c>
      <c r="F51" s="117">
        <f>F31+F37+F41</f>
        <v>0</v>
      </c>
      <c r="G51" s="117">
        <f t="shared" si="54"/>
        <v>0</v>
      </c>
      <c r="H51" s="117">
        <f t="shared" si="54"/>
        <v>0</v>
      </c>
      <c r="I51" s="117">
        <f t="shared" si="54"/>
        <v>0</v>
      </c>
      <c r="J51" s="117">
        <f t="shared" si="54"/>
        <v>0</v>
      </c>
      <c r="K51" s="117">
        <f t="shared" si="54"/>
        <v>0</v>
      </c>
      <c r="L51" s="117">
        <f t="shared" si="54"/>
        <v>0</v>
      </c>
      <c r="M51" s="117">
        <f t="shared" si="54"/>
        <v>0</v>
      </c>
      <c r="N51" s="117">
        <f t="shared" si="54"/>
        <v>0</v>
      </c>
      <c r="O51" s="117">
        <f t="shared" si="54"/>
        <v>0</v>
      </c>
      <c r="P51" s="117">
        <f t="shared" si="54"/>
        <v>0</v>
      </c>
      <c r="Q51" s="117">
        <f t="shared" si="54"/>
        <v>0</v>
      </c>
      <c r="R51" s="117">
        <f t="shared" si="1"/>
        <v>0</v>
      </c>
    </row>
    <row r="52" spans="2:18" s="112" customFormat="1" ht="26" collapsed="1" x14ac:dyDescent="0.35">
      <c r="B52" s="145">
        <v>18</v>
      </c>
      <c r="C52" s="146" t="s">
        <v>208</v>
      </c>
      <c r="D52" s="147"/>
      <c r="E52" s="147">
        <f>E49+E51</f>
        <v>0</v>
      </c>
      <c r="F52" s="147">
        <f t="shared" ref="F52:Q52" si="55">F49+F51</f>
        <v>0</v>
      </c>
      <c r="G52" s="147">
        <f t="shared" si="55"/>
        <v>0</v>
      </c>
      <c r="H52" s="147">
        <f t="shared" si="55"/>
        <v>0</v>
      </c>
      <c r="I52" s="147">
        <f t="shared" si="55"/>
        <v>0</v>
      </c>
      <c r="J52" s="147">
        <f t="shared" si="55"/>
        <v>0</v>
      </c>
      <c r="K52" s="147">
        <f t="shared" si="55"/>
        <v>0</v>
      </c>
      <c r="L52" s="147">
        <f t="shared" si="55"/>
        <v>0</v>
      </c>
      <c r="M52" s="147">
        <f t="shared" si="55"/>
        <v>0</v>
      </c>
      <c r="N52" s="147">
        <f t="shared" si="55"/>
        <v>0</v>
      </c>
      <c r="O52" s="147">
        <f t="shared" si="55"/>
        <v>0</v>
      </c>
      <c r="P52" s="147">
        <f t="shared" si="55"/>
        <v>0</v>
      </c>
      <c r="Q52" s="147">
        <f t="shared" si="55"/>
        <v>0</v>
      </c>
      <c r="R52" s="147">
        <f t="shared" si="1"/>
        <v>0</v>
      </c>
    </row>
    <row r="53" spans="2:18" s="180" customFormat="1" ht="13" x14ac:dyDescent="0.35">
      <c r="B53" s="181" t="s">
        <v>206</v>
      </c>
      <c r="C53" s="176" t="s">
        <v>222</v>
      </c>
      <c r="D53" s="182"/>
      <c r="E53" s="177">
        <f>IFERROR(E52/E$9,0)</f>
        <v>0</v>
      </c>
      <c r="F53" s="182">
        <f t="shared" ref="F53:R53" si="56">IFERROR(F52/F$9,0)</f>
        <v>0</v>
      </c>
      <c r="G53" s="182">
        <f t="shared" si="56"/>
        <v>0</v>
      </c>
      <c r="H53" s="182">
        <f t="shared" si="56"/>
        <v>0</v>
      </c>
      <c r="I53" s="182">
        <f t="shared" si="56"/>
        <v>0</v>
      </c>
      <c r="J53" s="182">
        <f t="shared" si="56"/>
        <v>0</v>
      </c>
      <c r="K53" s="182">
        <f t="shared" si="56"/>
        <v>0</v>
      </c>
      <c r="L53" s="182">
        <f t="shared" si="56"/>
        <v>0</v>
      </c>
      <c r="M53" s="182">
        <f t="shared" si="56"/>
        <v>0</v>
      </c>
      <c r="N53" s="182">
        <f t="shared" si="56"/>
        <v>0</v>
      </c>
      <c r="O53" s="182">
        <f t="shared" si="56"/>
        <v>0</v>
      </c>
      <c r="P53" s="182">
        <f t="shared" si="56"/>
        <v>0</v>
      </c>
      <c r="Q53" s="182">
        <f t="shared" si="56"/>
        <v>0</v>
      </c>
      <c r="R53" s="182">
        <f t="shared" si="56"/>
        <v>0</v>
      </c>
    </row>
    <row r="54" spans="2:18" s="129" customFormat="1" ht="13" collapsed="1" x14ac:dyDescent="0.35">
      <c r="B54" s="130"/>
      <c r="C54" s="131"/>
      <c r="D54" s="295"/>
      <c r="E54" s="132"/>
      <c r="F54" s="133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</row>
    <row r="56" spans="2:18" s="112" customFormat="1" ht="23.5" customHeight="1" x14ac:dyDescent="0.35">
      <c r="B56" s="332"/>
      <c r="C56" s="136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</row>
    <row r="57" spans="2:18" x14ac:dyDescent="0.35">
      <c r="B57" s="80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</row>
    <row r="58" spans="2:18" s="112" customFormat="1" ht="13" x14ac:dyDescent="0.35">
      <c r="B58" s="80"/>
      <c r="C58" s="135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4"/>
      <c r="R58" s="334"/>
    </row>
    <row r="59" spans="2:18" x14ac:dyDescent="0.35">
      <c r="B59" s="80"/>
      <c r="D59" s="98"/>
      <c r="E59" s="98"/>
    </row>
    <row r="60" spans="2:18" s="112" customFormat="1" ht="13" x14ac:dyDescent="0.35">
      <c r="B60" s="332"/>
      <c r="C60" s="136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</row>
    <row r="61" spans="2:18" x14ac:dyDescent="0.35">
      <c r="B61" s="80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4"/>
      <c r="R61" s="334"/>
    </row>
    <row r="62" spans="2:18" s="112" customFormat="1" ht="13" x14ac:dyDescent="0.35">
      <c r="B62" s="80"/>
      <c r="C62" s="135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4"/>
      <c r="R62" s="334"/>
    </row>
    <row r="63" spans="2:18" x14ac:dyDescent="0.35">
      <c r="B63" s="80"/>
      <c r="D63" s="98"/>
      <c r="E63" s="98"/>
    </row>
    <row r="65" spans="6:17" ht="25.4" customHeight="1" x14ac:dyDescent="0.35">
      <c r="F65" s="80"/>
      <c r="G65" s="80"/>
      <c r="H65" s="80"/>
      <c r="I65" s="80"/>
      <c r="J65" s="80"/>
      <c r="K65" s="80"/>
      <c r="L65" s="268"/>
      <c r="M65" s="268"/>
      <c r="N65" s="268"/>
      <c r="O65" s="268"/>
      <c r="P65" s="268"/>
      <c r="Q65" s="268"/>
    </row>
    <row r="66" spans="6:17" x14ac:dyDescent="0.35">
      <c r="F66" s="80"/>
      <c r="G66" s="80"/>
      <c r="H66" s="80"/>
      <c r="I66" s="80"/>
      <c r="J66" s="80"/>
      <c r="K66" s="80"/>
    </row>
  </sheetData>
  <conditionalFormatting sqref="B25:B63 S56:XFD63">
    <cfRule type="containsText" dxfId="114" priority="8" operator="containsText" text="xxx">
      <formula>NOT(ISERROR(SEARCH("xxx",B25)))</formula>
    </cfRule>
  </conditionalFormatting>
  <conditionalFormatting sqref="B3:D3 T3:XFD3 E3:E9 F4:P4 U4:XFD4 F5:R9 B5:D18 T5:XFD55 B19:B22 C20:C22 D20:D53 B23:C24 F27:Q27 R27:R32 E28:Q28 F29:Q32 F50:R51 B64:R1048576 T64:XFD1048576">
    <cfRule type="containsText" dxfId="113" priority="12" operator="containsText" text="xxx">
      <formula>NOT(ISERROR(SEARCH("xxx",B3)))</formula>
    </cfRule>
  </conditionalFormatting>
  <conditionalFormatting sqref="C25:C53">
    <cfRule type="containsText" dxfId="112" priority="11" operator="containsText" text="xxx">
      <formula>NOT(ISERROR(SEARCH("xxx",C25)))</formula>
    </cfRule>
  </conditionalFormatting>
  <conditionalFormatting sqref="C19:D19">
    <cfRule type="containsText" dxfId="111" priority="10" operator="containsText" text="xxx">
      <formula>NOT(ISERROR(SEARCH("xxx",C19)))</formula>
    </cfRule>
  </conditionalFormatting>
  <conditionalFormatting sqref="C54:R56">
    <cfRule type="containsText" dxfId="110" priority="7" operator="containsText" text="xxx">
      <formula>NOT(ISERROR(SEARCH("xxx",C54)))</formula>
    </cfRule>
  </conditionalFormatting>
  <conditionalFormatting sqref="E27:E32">
    <cfRule type="containsText" dxfId="109" priority="6" operator="containsText" text="xxx">
      <formula>NOT(ISERROR(SEARCH("xxx",E27)))</formula>
    </cfRule>
  </conditionalFormatting>
  <conditionalFormatting sqref="E50">
    <cfRule type="containsText" dxfId="108" priority="5" operator="containsText" text="xxx">
      <formula>NOT(ISERROR(SEARCH("xxx",E50)))</formula>
    </cfRule>
  </conditionalFormatting>
  <conditionalFormatting sqref="E10:R26">
    <cfRule type="containsText" dxfId="107" priority="1" operator="containsText" text="xxx">
      <formula>NOT(ISERROR(SEARCH("xxx",E10)))</formula>
    </cfRule>
  </conditionalFormatting>
  <conditionalFormatting sqref="E33:R49">
    <cfRule type="containsText" dxfId="106" priority="3" operator="containsText" text="xxx">
      <formula>NOT(ISERROR(SEARCH("xxx",E33)))</formula>
    </cfRule>
  </conditionalFormatting>
  <conditionalFormatting sqref="E51:R53">
    <cfRule type="containsText" dxfId="105" priority="4" operator="containsText" text="xxx">
      <formula>NOT(ISERROR(SEARCH("xxx",E51)))</formula>
    </cfRule>
  </conditionalFormatting>
  <conditionalFormatting sqref="G3:R3">
    <cfRule type="containsText" dxfId="104" priority="13" operator="containsText" text="xxx">
      <formula>NOT(ISERROR(SEARCH("xxx",G3)))</formula>
    </cfRule>
  </conditionalFormatting>
  <conditionalFormatting sqref="S17">
    <cfRule type="containsText" dxfId="103" priority="9" operator="containsText" text="xxx">
      <formula>NOT(ISERROR(SEARCH("xxx",S17)))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4677-542E-4884-B7AB-93D046B30F8A}">
  <sheetPr>
    <tabColor theme="4"/>
  </sheetPr>
  <dimension ref="B1:R86"/>
  <sheetViews>
    <sheetView showGridLines="0" topLeftCell="A36" zoomScale="90" zoomScaleNormal="90" workbookViewId="0">
      <selection activeCell="E25" sqref="E25"/>
    </sheetView>
  </sheetViews>
  <sheetFormatPr defaultColWidth="8.54296875" defaultRowHeight="13" x14ac:dyDescent="0.35"/>
  <cols>
    <col min="1" max="1" width="1.1796875" style="36" customWidth="1"/>
    <col min="2" max="2" width="4.54296875" style="36" customWidth="1"/>
    <col min="3" max="3" width="35.81640625" style="36" customWidth="1"/>
    <col min="4" max="4" width="14.54296875" style="36" customWidth="1"/>
    <col min="5" max="5" width="17.54296875" style="36" customWidth="1"/>
    <col min="6" max="6" width="17.54296875" style="80" customWidth="1"/>
    <col min="7" max="9" width="15.54296875" style="36" customWidth="1"/>
    <col min="10" max="10" width="13.453125" style="37" customWidth="1"/>
    <col min="11" max="13" width="10.54296875" style="36" customWidth="1"/>
    <col min="14" max="16384" width="8.54296875" style="36"/>
  </cols>
  <sheetData>
    <row r="1" spans="2:12" ht="15.5" x14ac:dyDescent="0.35">
      <c r="B1" s="223"/>
    </row>
    <row r="3" spans="2:12" x14ac:dyDescent="0.35">
      <c r="B3" s="138" t="s">
        <v>315</v>
      </c>
    </row>
    <row r="4" spans="2:12" s="37" customFormat="1" ht="17.149999999999999" customHeight="1" x14ac:dyDescent="0.35">
      <c r="B4" s="37" t="s">
        <v>351</v>
      </c>
      <c r="F4" s="81"/>
    </row>
    <row r="5" spans="2:12" s="39" customFormat="1" ht="52" x14ac:dyDescent="0.35">
      <c r="B5" s="7" t="s">
        <v>0</v>
      </c>
      <c r="C5" s="38" t="s">
        <v>154</v>
      </c>
      <c r="D5" s="7" t="s">
        <v>155</v>
      </c>
      <c r="E5" s="7" t="s">
        <v>156</v>
      </c>
      <c r="F5" s="31" t="s">
        <v>157</v>
      </c>
      <c r="G5" s="7" t="s">
        <v>159</v>
      </c>
      <c r="H5" s="7" t="s">
        <v>158</v>
      </c>
      <c r="I5" s="7" t="s">
        <v>28</v>
      </c>
      <c r="J5" s="269" t="s">
        <v>353</v>
      </c>
      <c r="K5" s="38" t="s">
        <v>169</v>
      </c>
    </row>
    <row r="6" spans="2:12" ht="25" x14ac:dyDescent="0.35">
      <c r="B6" s="83">
        <v>1</v>
      </c>
      <c r="C6" s="41" t="s">
        <v>165</v>
      </c>
      <c r="D6" s="224">
        <v>1100</v>
      </c>
      <c r="E6" s="895"/>
      <c r="F6" s="224">
        <f>D6</f>
        <v>1100</v>
      </c>
      <c r="G6" s="225" t="s">
        <v>1896</v>
      </c>
      <c r="H6" s="224">
        <v>1000</v>
      </c>
      <c r="I6" s="224">
        <v>1000</v>
      </c>
      <c r="J6" s="895"/>
      <c r="K6" s="899">
        <v>1200</v>
      </c>
      <c r="L6" s="39"/>
    </row>
    <row r="7" spans="2:12" ht="25" x14ac:dyDescent="0.35">
      <c r="B7" s="83">
        <v>2</v>
      </c>
      <c r="C7" s="41" t="s">
        <v>166</v>
      </c>
      <c r="D7" s="224">
        <v>1100</v>
      </c>
      <c r="E7" s="895"/>
      <c r="F7" s="224">
        <f>D7</f>
        <v>1100</v>
      </c>
      <c r="G7" s="225">
        <v>800</v>
      </c>
      <c r="H7" s="225">
        <v>1000</v>
      </c>
      <c r="I7" s="224">
        <v>1000</v>
      </c>
      <c r="J7" s="896"/>
      <c r="K7" s="899">
        <f>E15</f>
        <v>990</v>
      </c>
    </row>
    <row r="8" spans="2:12" ht="25" x14ac:dyDescent="0.35">
      <c r="B8" s="1448">
        <v>3</v>
      </c>
      <c r="C8" s="41" t="s">
        <v>160</v>
      </c>
      <c r="D8" s="895">
        <v>2</v>
      </c>
      <c r="E8" s="895"/>
      <c r="F8" s="898">
        <v>4</v>
      </c>
      <c r="G8" s="895">
        <v>1</v>
      </c>
      <c r="H8" s="898">
        <v>4</v>
      </c>
      <c r="I8" s="895">
        <v>1</v>
      </c>
      <c r="J8" s="898"/>
      <c r="K8" s="899">
        <f>SUM(D8:J8)</f>
        <v>12</v>
      </c>
    </row>
    <row r="9" spans="2:12" ht="106" customHeight="1" x14ac:dyDescent="0.35">
      <c r="B9" s="1448"/>
      <c r="C9" s="84" t="s">
        <v>161</v>
      </c>
      <c r="D9" s="266" t="s">
        <v>1897</v>
      </c>
      <c r="E9" s="228" t="s">
        <v>1898</v>
      </c>
      <c r="F9" s="229" t="s">
        <v>1916</v>
      </c>
      <c r="G9" s="229" t="s">
        <v>1900</v>
      </c>
      <c r="H9" s="228" t="s">
        <v>1915</v>
      </c>
      <c r="I9" s="228" t="s">
        <v>1901</v>
      </c>
      <c r="J9" s="228"/>
      <c r="K9" s="82"/>
    </row>
    <row r="10" spans="2:12" x14ac:dyDescent="0.35">
      <c r="E10" s="45"/>
      <c r="F10" s="91"/>
      <c r="G10" s="91"/>
      <c r="H10" s="45"/>
      <c r="I10" s="45"/>
    </row>
    <row r="11" spans="2:12" ht="17.5" customHeight="1" x14ac:dyDescent="0.35">
      <c r="B11" s="142" t="s">
        <v>0</v>
      </c>
      <c r="C11" s="142" t="s">
        <v>181</v>
      </c>
      <c r="D11" s="142" t="s">
        <v>11</v>
      </c>
      <c r="E11" s="142" t="s">
        <v>176</v>
      </c>
      <c r="F11" s="142" t="s">
        <v>177</v>
      </c>
      <c r="G11" s="142" t="s">
        <v>178</v>
      </c>
      <c r="H11" s="142" t="s">
        <v>179</v>
      </c>
      <c r="I11" s="142" t="s">
        <v>180</v>
      </c>
    </row>
    <row r="12" spans="2:12" ht="17.5" customHeight="1" x14ac:dyDescent="0.35">
      <c r="B12" s="92">
        <v>1</v>
      </c>
      <c r="C12" s="84" t="s">
        <v>170</v>
      </c>
      <c r="D12" s="84" t="s">
        <v>13</v>
      </c>
      <c r="E12" s="85">
        <f>K8</f>
        <v>12</v>
      </c>
      <c r="F12" s="85">
        <f>$E12</f>
        <v>12</v>
      </c>
      <c r="G12" s="85">
        <f>$F12*1.5</f>
        <v>18</v>
      </c>
      <c r="H12" s="85">
        <f>$F12*2</f>
        <v>24</v>
      </c>
      <c r="I12" s="85">
        <f>$G12*2</f>
        <v>36</v>
      </c>
    </row>
    <row r="13" spans="2:12" ht="17.5" customHeight="1" x14ac:dyDescent="0.35">
      <c r="B13" s="92">
        <v>2</v>
      </c>
      <c r="C13" s="84" t="s">
        <v>162</v>
      </c>
      <c r="D13" s="84" t="s">
        <v>163</v>
      </c>
      <c r="E13" s="224">
        <f>D7</f>
        <v>1100</v>
      </c>
      <c r="F13" s="224">
        <f>$E13*8</f>
        <v>8800</v>
      </c>
      <c r="G13" s="85">
        <f>$F13*1.5</f>
        <v>13200</v>
      </c>
      <c r="H13" s="224">
        <f>$F13*2</f>
        <v>17600</v>
      </c>
      <c r="I13" s="85">
        <f>$G13*2</f>
        <v>26400</v>
      </c>
      <c r="J13" s="250"/>
    </row>
    <row r="14" spans="2:12" ht="17.5" customHeight="1" x14ac:dyDescent="0.35">
      <c r="B14" s="92">
        <v>3</v>
      </c>
      <c r="C14" s="84" t="s">
        <v>171</v>
      </c>
      <c r="D14" s="345">
        <f>'2.Hao hut &amp; % chai '!R8</f>
        <v>9.9999999999999992E-2</v>
      </c>
      <c r="E14" s="85">
        <f>E13*$D$14</f>
        <v>109.99999999999999</v>
      </c>
      <c r="F14" s="85">
        <f>$E14*8</f>
        <v>879.99999999999989</v>
      </c>
      <c r="G14" s="85">
        <f>$E14*12</f>
        <v>1319.9999999999998</v>
      </c>
      <c r="H14" s="85">
        <f>$F14*2</f>
        <v>1759.9999999999998</v>
      </c>
      <c r="I14" s="85">
        <f>$G14*2</f>
        <v>2639.9999999999995</v>
      </c>
    </row>
    <row r="15" spans="2:12" ht="17.5" customHeight="1" x14ac:dyDescent="0.35">
      <c r="B15" s="92">
        <v>4</v>
      </c>
      <c r="C15" s="84" t="s">
        <v>168</v>
      </c>
      <c r="D15" s="84" t="s">
        <v>163</v>
      </c>
      <c r="E15" s="470">
        <f>E13-E14</f>
        <v>990</v>
      </c>
      <c r="F15" s="85">
        <f>$E15*8</f>
        <v>7920</v>
      </c>
      <c r="G15" s="85">
        <f>$F15*1.5</f>
        <v>11880</v>
      </c>
      <c r="H15" s="85">
        <f>$F15*2</f>
        <v>15840</v>
      </c>
      <c r="I15" s="85">
        <f>$G15*2</f>
        <v>23760</v>
      </c>
    </row>
    <row r="16" spans="2:12" ht="17.5" customHeight="1" x14ac:dyDescent="0.35">
      <c r="B16" s="92">
        <v>5</v>
      </c>
      <c r="C16" s="84" t="s">
        <v>167</v>
      </c>
      <c r="D16" s="84" t="s">
        <v>164</v>
      </c>
      <c r="E16" s="85">
        <f>E15/K8</f>
        <v>82.5</v>
      </c>
      <c r="F16" s="85">
        <f>$E16*8</f>
        <v>660</v>
      </c>
      <c r="G16" s="85">
        <f>$F16*1.5</f>
        <v>990</v>
      </c>
      <c r="H16" s="85">
        <f>$F16*2</f>
        <v>1320</v>
      </c>
      <c r="I16" s="85">
        <f>$G16*2</f>
        <v>1980</v>
      </c>
    </row>
    <row r="18" spans="2:12" s="37" customFormat="1" ht="17.5" customHeight="1" x14ac:dyDescent="0.35">
      <c r="B18" s="37" t="s">
        <v>352</v>
      </c>
      <c r="F18" s="81"/>
    </row>
    <row r="19" spans="2:12" s="45" customFormat="1" ht="52" x14ac:dyDescent="0.35">
      <c r="B19" s="7" t="s">
        <v>0</v>
      </c>
      <c r="C19" s="38" t="s">
        <v>154</v>
      </c>
      <c r="D19" s="7" t="s">
        <v>155</v>
      </c>
      <c r="E19" s="7" t="s">
        <v>175</v>
      </c>
      <c r="F19" s="31" t="s">
        <v>157</v>
      </c>
      <c r="G19" s="7" t="s">
        <v>159</v>
      </c>
      <c r="H19" s="7" t="s">
        <v>158</v>
      </c>
      <c r="I19" s="7" t="s">
        <v>28</v>
      </c>
      <c r="J19" s="269" t="s">
        <v>353</v>
      </c>
      <c r="K19" s="38" t="s">
        <v>169</v>
      </c>
    </row>
    <row r="20" spans="2:12" ht="25" x14ac:dyDescent="0.35">
      <c r="B20" s="83">
        <v>1</v>
      </c>
      <c r="C20" s="41" t="s">
        <v>165</v>
      </c>
      <c r="D20" s="224">
        <v>1000</v>
      </c>
      <c r="E20" s="224">
        <v>1000</v>
      </c>
      <c r="F20" s="224">
        <v>1000</v>
      </c>
      <c r="G20" s="225">
        <v>1500</v>
      </c>
      <c r="H20" s="224">
        <v>1000</v>
      </c>
      <c r="I20" s="224">
        <v>1000</v>
      </c>
      <c r="J20" s="895"/>
      <c r="K20" s="90">
        <f>D20</f>
        <v>1000</v>
      </c>
    </row>
    <row r="21" spans="2:12" ht="25" x14ac:dyDescent="0.35">
      <c r="B21" s="83">
        <v>2</v>
      </c>
      <c r="C21" s="41" t="s">
        <v>166</v>
      </c>
      <c r="D21" s="224">
        <v>1000</v>
      </c>
      <c r="E21" s="226">
        <v>1000</v>
      </c>
      <c r="F21" s="226">
        <v>1000</v>
      </c>
      <c r="G21" s="225">
        <v>800</v>
      </c>
      <c r="H21" s="225">
        <v>1000</v>
      </c>
      <c r="I21" s="226">
        <v>1000</v>
      </c>
      <c r="J21" s="896"/>
      <c r="K21" s="230">
        <f>E29</f>
        <v>870</v>
      </c>
      <c r="L21" s="86"/>
    </row>
    <row r="22" spans="2:12" ht="25" x14ac:dyDescent="0.35">
      <c r="B22" s="1448">
        <v>3</v>
      </c>
      <c r="C22" s="41" t="s">
        <v>160</v>
      </c>
      <c r="D22" s="900">
        <v>1</v>
      </c>
      <c r="E22" s="898">
        <v>2</v>
      </c>
      <c r="F22" s="898">
        <v>5</v>
      </c>
      <c r="G22" s="898">
        <v>0</v>
      </c>
      <c r="H22" s="898">
        <v>4</v>
      </c>
      <c r="I22" s="898">
        <v>1</v>
      </c>
      <c r="J22" s="898"/>
      <c r="K22" s="901">
        <f>SUM(D22:J22)</f>
        <v>13</v>
      </c>
      <c r="L22" s="86"/>
    </row>
    <row r="23" spans="2:12" ht="115" customHeight="1" x14ac:dyDescent="0.35">
      <c r="B23" s="1448"/>
      <c r="C23" s="84" t="s">
        <v>161</v>
      </c>
      <c r="D23" s="266" t="s">
        <v>1914</v>
      </c>
      <c r="E23" s="228" t="s">
        <v>1902</v>
      </c>
      <c r="F23" s="237" t="s">
        <v>1899</v>
      </c>
      <c r="G23" s="237" t="s">
        <v>1903</v>
      </c>
      <c r="H23" s="228" t="s">
        <v>1915</v>
      </c>
      <c r="I23" s="228" t="s">
        <v>1904</v>
      </c>
      <c r="J23" s="228"/>
      <c r="K23" s="232"/>
      <c r="L23" s="268"/>
    </row>
    <row r="24" spans="2:12" x14ac:dyDescent="0.35">
      <c r="E24" s="45"/>
      <c r="F24" s="91"/>
      <c r="G24" s="91"/>
      <c r="H24" s="45"/>
      <c r="I24" s="45"/>
    </row>
    <row r="25" spans="2:12" x14ac:dyDescent="0.35">
      <c r="B25" s="142" t="s">
        <v>0</v>
      </c>
      <c r="C25" s="142" t="s">
        <v>181</v>
      </c>
      <c r="D25" s="144" t="s">
        <v>11</v>
      </c>
      <c r="E25" s="144" t="s">
        <v>176</v>
      </c>
      <c r="F25" s="144" t="s">
        <v>177</v>
      </c>
      <c r="G25" s="144" t="s">
        <v>178</v>
      </c>
      <c r="H25" s="144" t="s">
        <v>179</v>
      </c>
      <c r="I25" s="144" t="s">
        <v>180</v>
      </c>
    </row>
    <row r="26" spans="2:12" ht="20.5" customHeight="1" x14ac:dyDescent="0.35">
      <c r="B26" s="92">
        <v>1</v>
      </c>
      <c r="C26" s="84" t="s">
        <v>170</v>
      </c>
      <c r="D26" s="93" t="s">
        <v>13</v>
      </c>
      <c r="E26" s="85">
        <f>K22</f>
        <v>13</v>
      </c>
      <c r="F26" s="85">
        <f>$E26</f>
        <v>13</v>
      </c>
      <c r="G26" s="85">
        <f>$F26*1.5</f>
        <v>19.5</v>
      </c>
      <c r="H26" s="85">
        <f>$F26*2</f>
        <v>26</v>
      </c>
      <c r="I26" s="85">
        <f>$G26*2</f>
        <v>39</v>
      </c>
    </row>
    <row r="27" spans="2:12" ht="20.5" customHeight="1" x14ac:dyDescent="0.35">
      <c r="B27" s="92">
        <v>2</v>
      </c>
      <c r="C27" s="84" t="s">
        <v>162</v>
      </c>
      <c r="D27" s="93" t="s">
        <v>163</v>
      </c>
      <c r="E27" s="224">
        <f>D21</f>
        <v>1000</v>
      </c>
      <c r="F27" s="224">
        <f>$E27*8</f>
        <v>8000</v>
      </c>
      <c r="G27" s="224">
        <f>$F27*1.5</f>
        <v>12000</v>
      </c>
      <c r="H27" s="224">
        <f>$F27*2</f>
        <v>16000</v>
      </c>
      <c r="I27" s="224">
        <f>$G27*2</f>
        <v>24000</v>
      </c>
    </row>
    <row r="28" spans="2:12" ht="20.5" customHeight="1" x14ac:dyDescent="0.35">
      <c r="B28" s="92">
        <v>3</v>
      </c>
      <c r="C28" s="84" t="s">
        <v>171</v>
      </c>
      <c r="D28" s="346">
        <f>'2.Hao hut &amp; % chai '!R14</f>
        <v>0.13000000000000003</v>
      </c>
      <c r="E28" s="85">
        <f>E27*$D$28</f>
        <v>130.00000000000003</v>
      </c>
      <c r="F28" s="85">
        <f>$E28*8</f>
        <v>1040.0000000000002</v>
      </c>
      <c r="G28" s="85">
        <f>$F28*1.5</f>
        <v>1560.0000000000005</v>
      </c>
      <c r="H28" s="85">
        <f>$F28*2</f>
        <v>2080.0000000000005</v>
      </c>
      <c r="I28" s="85">
        <f>$G28*2</f>
        <v>3120.0000000000009</v>
      </c>
    </row>
    <row r="29" spans="2:12" ht="20.5" customHeight="1" x14ac:dyDescent="0.35">
      <c r="B29" s="92">
        <v>4</v>
      </c>
      <c r="C29" s="84" t="s">
        <v>168</v>
      </c>
      <c r="D29" s="93" t="s">
        <v>163</v>
      </c>
      <c r="E29" s="470">
        <f>E27-E28</f>
        <v>870</v>
      </c>
      <c r="F29" s="85">
        <f>$E29*8</f>
        <v>6960</v>
      </c>
      <c r="G29" s="85">
        <f>$F29*1.5</f>
        <v>10440</v>
      </c>
      <c r="H29" s="85">
        <f>$F29*2</f>
        <v>13920</v>
      </c>
      <c r="I29" s="85">
        <f>$G29*2</f>
        <v>20880</v>
      </c>
    </row>
    <row r="30" spans="2:12" ht="20.5" customHeight="1" x14ac:dyDescent="0.35">
      <c r="B30" s="92">
        <v>5</v>
      </c>
      <c r="C30" s="84" t="s">
        <v>167</v>
      </c>
      <c r="D30" s="93" t="s">
        <v>164</v>
      </c>
      <c r="E30" s="85">
        <f>E29/K22</f>
        <v>66.92307692307692</v>
      </c>
      <c r="F30" s="85">
        <f>$E30*8</f>
        <v>535.38461538461536</v>
      </c>
      <c r="G30" s="85">
        <f>$F30*1.5</f>
        <v>803.07692307692309</v>
      </c>
      <c r="H30" s="85">
        <f>$F30*2</f>
        <v>1070.7692307692307</v>
      </c>
      <c r="I30" s="85">
        <f>$G30*2</f>
        <v>1606.1538461538462</v>
      </c>
    </row>
    <row r="31" spans="2:12" x14ac:dyDescent="0.35">
      <c r="B31" s="40"/>
    </row>
    <row r="32" spans="2:12" s="37" customFormat="1" ht="18.649999999999999" customHeight="1" x14ac:dyDescent="0.35">
      <c r="B32" s="37" t="s">
        <v>350</v>
      </c>
      <c r="F32" s="81"/>
    </row>
    <row r="33" spans="2:18" s="39" customFormat="1" ht="39" x14ac:dyDescent="0.35">
      <c r="B33" s="7" t="s">
        <v>0</v>
      </c>
      <c r="C33" s="38" t="s">
        <v>154</v>
      </c>
      <c r="D33" s="7" t="s">
        <v>155</v>
      </c>
      <c r="E33" s="7" t="s">
        <v>156</v>
      </c>
      <c r="F33" s="31" t="s">
        <v>157</v>
      </c>
      <c r="G33" s="7" t="s">
        <v>159</v>
      </c>
      <c r="H33" s="7" t="s">
        <v>158</v>
      </c>
      <c r="I33" s="7" t="s">
        <v>28</v>
      </c>
      <c r="J33" s="38" t="s">
        <v>169</v>
      </c>
    </row>
    <row r="34" spans="2:18" ht="25" x14ac:dyDescent="0.35">
      <c r="B34" s="83">
        <v>1</v>
      </c>
      <c r="C34" s="41" t="s">
        <v>165</v>
      </c>
      <c r="D34" s="224"/>
      <c r="E34" s="224">
        <v>1500</v>
      </c>
      <c r="F34" s="224">
        <v>1500</v>
      </c>
      <c r="G34" s="225" t="s">
        <v>1896</v>
      </c>
      <c r="H34" s="224">
        <v>1000</v>
      </c>
      <c r="I34" s="224">
        <v>1400</v>
      </c>
      <c r="J34" s="90">
        <v>1300</v>
      </c>
    </row>
    <row r="35" spans="2:18" ht="33" customHeight="1" x14ac:dyDescent="0.35">
      <c r="B35" s="83">
        <v>2</v>
      </c>
      <c r="C35" s="41" t="s">
        <v>166</v>
      </c>
      <c r="D35" s="224"/>
      <c r="E35" s="224">
        <v>1300</v>
      </c>
      <c r="F35" s="224">
        <v>1300</v>
      </c>
      <c r="G35" s="225">
        <v>900</v>
      </c>
      <c r="H35" s="225">
        <v>900</v>
      </c>
      <c r="I35" s="224">
        <v>1300</v>
      </c>
      <c r="J35" s="90">
        <v>1222</v>
      </c>
    </row>
    <row r="36" spans="2:18" ht="31.5" customHeight="1" x14ac:dyDescent="0.35">
      <c r="B36" s="1448">
        <v>3</v>
      </c>
      <c r="C36" s="41" t="s">
        <v>160</v>
      </c>
      <c r="D36" s="895">
        <v>1</v>
      </c>
      <c r="E36" s="895">
        <v>1</v>
      </c>
      <c r="F36" s="898">
        <v>4</v>
      </c>
      <c r="G36" s="895"/>
      <c r="H36" s="898">
        <v>4</v>
      </c>
      <c r="I36" s="895">
        <v>1</v>
      </c>
      <c r="J36" s="899">
        <f>SUM(D36:I36)</f>
        <v>11</v>
      </c>
    </row>
    <row r="37" spans="2:18" ht="69.650000000000006" customHeight="1" x14ac:dyDescent="0.35">
      <c r="B37" s="1448"/>
      <c r="C37" s="84" t="s">
        <v>161</v>
      </c>
      <c r="D37" s="228" t="s">
        <v>1917</v>
      </c>
      <c r="E37" s="228" t="s">
        <v>1905</v>
      </c>
      <c r="F37" s="229" t="s">
        <v>1906</v>
      </c>
      <c r="G37" s="229"/>
      <c r="H37" s="228" t="s">
        <v>1907</v>
      </c>
      <c r="I37" s="228" t="s">
        <v>1904</v>
      </c>
      <c r="J37" s="82"/>
    </row>
    <row r="38" spans="2:18" x14ac:dyDescent="0.35">
      <c r="E38" s="45"/>
      <c r="F38" s="91"/>
      <c r="G38" s="91"/>
      <c r="H38" s="45"/>
      <c r="I38" s="45"/>
    </row>
    <row r="39" spans="2:18" ht="17.5" customHeight="1" x14ac:dyDescent="0.35">
      <c r="B39" s="142" t="s">
        <v>0</v>
      </c>
      <c r="C39" s="142" t="s">
        <v>181</v>
      </c>
      <c r="D39" s="142" t="s">
        <v>11</v>
      </c>
      <c r="E39" s="142" t="s">
        <v>176</v>
      </c>
      <c r="F39" s="142" t="s">
        <v>177</v>
      </c>
      <c r="G39" s="142" t="s">
        <v>178</v>
      </c>
      <c r="H39" s="142" t="s">
        <v>179</v>
      </c>
      <c r="I39" s="142" t="s">
        <v>180</v>
      </c>
    </row>
    <row r="40" spans="2:18" ht="17.5" customHeight="1" x14ac:dyDescent="0.35">
      <c r="B40" s="92">
        <v>1</v>
      </c>
      <c r="C40" s="84" t="s">
        <v>170</v>
      </c>
      <c r="D40" s="84" t="s">
        <v>13</v>
      </c>
      <c r="E40" s="85">
        <f>J36</f>
        <v>11</v>
      </c>
      <c r="F40" s="85">
        <f>$E40</f>
        <v>11</v>
      </c>
      <c r="G40" s="85">
        <f>$F40*1.5</f>
        <v>16.5</v>
      </c>
      <c r="H40" s="85">
        <f>$F40*2</f>
        <v>22</v>
      </c>
      <c r="I40" s="85">
        <f>$G40*2</f>
        <v>33</v>
      </c>
    </row>
    <row r="41" spans="2:18" ht="17.5" customHeight="1" x14ac:dyDescent="0.35">
      <c r="B41" s="92">
        <v>2</v>
      </c>
      <c r="C41" s="84" t="s">
        <v>162</v>
      </c>
      <c r="D41" s="84" t="s">
        <v>163</v>
      </c>
      <c r="E41" s="224">
        <f>$E$35</f>
        <v>1300</v>
      </c>
      <c r="F41" s="224">
        <f>$E41*8</f>
        <v>10400</v>
      </c>
      <c r="G41" s="85">
        <f>$F41*1.5</f>
        <v>15600</v>
      </c>
      <c r="H41" s="224">
        <f>$F41*2</f>
        <v>20800</v>
      </c>
      <c r="I41" s="85">
        <f>$G41*2</f>
        <v>31200</v>
      </c>
      <c r="J41" s="250"/>
    </row>
    <row r="42" spans="2:18" ht="17.5" customHeight="1" x14ac:dyDescent="0.35">
      <c r="B42" s="92">
        <v>3</v>
      </c>
      <c r="C42" s="84" t="s">
        <v>171</v>
      </c>
      <c r="D42" s="345">
        <f>'2.Hao hut &amp; % chai '!R20</f>
        <v>6.0000000000000012E-2</v>
      </c>
      <c r="E42" s="85">
        <f>E41*$D$42</f>
        <v>78.000000000000014</v>
      </c>
      <c r="F42" s="85">
        <f>$E42*8</f>
        <v>624.00000000000011</v>
      </c>
      <c r="G42" s="85">
        <f>$E42*12</f>
        <v>936.00000000000023</v>
      </c>
      <c r="H42" s="85">
        <f>$F42*2</f>
        <v>1248.0000000000002</v>
      </c>
      <c r="I42" s="85">
        <f>$G42*2</f>
        <v>1872.0000000000005</v>
      </c>
    </row>
    <row r="43" spans="2:18" ht="17.5" customHeight="1" x14ac:dyDescent="0.35">
      <c r="B43" s="92">
        <v>4</v>
      </c>
      <c r="C43" s="84" t="s">
        <v>168</v>
      </c>
      <c r="D43" s="84" t="s">
        <v>163</v>
      </c>
      <c r="E43" s="470">
        <f>E41-E42</f>
        <v>1222</v>
      </c>
      <c r="F43" s="85">
        <f>$E43*8</f>
        <v>9776</v>
      </c>
      <c r="G43" s="85">
        <f>$F43*1.5</f>
        <v>14664</v>
      </c>
      <c r="H43" s="85">
        <f>$F43*2</f>
        <v>19552</v>
      </c>
      <c r="I43" s="85">
        <f>$G43*2</f>
        <v>29328</v>
      </c>
      <c r="J43" s="270"/>
    </row>
    <row r="44" spans="2:18" ht="17.5" customHeight="1" x14ac:dyDescent="0.35">
      <c r="B44" s="92">
        <v>5</v>
      </c>
      <c r="C44" s="84" t="s">
        <v>167</v>
      </c>
      <c r="D44" s="84" t="s">
        <v>164</v>
      </c>
      <c r="E44" s="85">
        <f>E43/J36</f>
        <v>111.09090909090909</v>
      </c>
      <c r="F44" s="85">
        <f>$E44*8</f>
        <v>888.72727272727275</v>
      </c>
      <c r="G44" s="85">
        <f>$F44*1.5</f>
        <v>1333.090909090909</v>
      </c>
      <c r="H44" s="85">
        <f>$F44*2</f>
        <v>1777.4545454545455</v>
      </c>
      <c r="I44" s="85">
        <f>$G44*2</f>
        <v>2666.181818181818</v>
      </c>
    </row>
    <row r="46" spans="2:18" x14ac:dyDescent="0.35">
      <c r="B46" s="37" t="s">
        <v>354</v>
      </c>
      <c r="E46" s="40"/>
      <c r="F46" s="40"/>
      <c r="G46" s="40"/>
      <c r="H46" s="40"/>
      <c r="I46" s="40"/>
      <c r="J46" s="40"/>
      <c r="K46" s="40"/>
      <c r="L46" s="40"/>
      <c r="M46" s="40"/>
    </row>
    <row r="47" spans="2:18" s="37" customFormat="1" ht="39" x14ac:dyDescent="0.35">
      <c r="B47" s="271">
        <v>1</v>
      </c>
      <c r="C47" s="272" t="s">
        <v>355</v>
      </c>
      <c r="D47" s="272"/>
      <c r="E47" s="271" t="s">
        <v>153</v>
      </c>
      <c r="F47" s="7" t="s">
        <v>56</v>
      </c>
      <c r="G47" s="7" t="s">
        <v>57</v>
      </c>
      <c r="H47" s="7" t="s">
        <v>58</v>
      </c>
      <c r="I47" s="7" t="s">
        <v>59</v>
      </c>
      <c r="J47" s="7" t="s">
        <v>60</v>
      </c>
      <c r="K47" s="7" t="s">
        <v>61</v>
      </c>
      <c r="L47" s="7" t="s">
        <v>62</v>
      </c>
      <c r="M47" s="7" t="s">
        <v>63</v>
      </c>
      <c r="N47" s="7" t="s">
        <v>64</v>
      </c>
      <c r="O47" s="7" t="s">
        <v>65</v>
      </c>
      <c r="P47" s="7" t="s">
        <v>66</v>
      </c>
      <c r="Q47" s="7" t="s">
        <v>67</v>
      </c>
      <c r="R47" s="7" t="s">
        <v>2246</v>
      </c>
    </row>
    <row r="48" spans="2:18" ht="12.5" x14ac:dyDescent="0.35">
      <c r="B48" s="273" t="s">
        <v>76</v>
      </c>
      <c r="C48" s="274" t="s">
        <v>356</v>
      </c>
      <c r="D48" s="274" t="s">
        <v>13</v>
      </c>
      <c r="E48" s="275">
        <f>E12</f>
        <v>12</v>
      </c>
      <c r="F48" s="224">
        <f>E48</f>
        <v>12</v>
      </c>
      <c r="G48" s="224">
        <f>F48</f>
        <v>12</v>
      </c>
      <c r="H48" s="224">
        <f>G48</f>
        <v>12</v>
      </c>
      <c r="I48" s="224">
        <f>H48</f>
        <v>12</v>
      </c>
      <c r="J48" s="224">
        <f>E48</f>
        <v>12</v>
      </c>
      <c r="K48" s="224">
        <f t="shared" ref="K48:Q49" si="0">J48</f>
        <v>12</v>
      </c>
      <c r="L48" s="224">
        <f t="shared" si="0"/>
        <v>12</v>
      </c>
      <c r="M48" s="224">
        <f t="shared" si="0"/>
        <v>12</v>
      </c>
      <c r="N48" s="224">
        <f>M48</f>
        <v>12</v>
      </c>
      <c r="O48" s="224">
        <f t="shared" si="0"/>
        <v>12</v>
      </c>
      <c r="P48" s="224">
        <f t="shared" si="0"/>
        <v>12</v>
      </c>
      <c r="Q48" s="224">
        <f t="shared" si="0"/>
        <v>12</v>
      </c>
      <c r="R48" s="224"/>
    </row>
    <row r="49" spans="2:18" ht="12.5" x14ac:dyDescent="0.35">
      <c r="B49" s="273" t="s">
        <v>77</v>
      </c>
      <c r="C49" s="274" t="s">
        <v>357</v>
      </c>
      <c r="D49" s="274" t="s">
        <v>163</v>
      </c>
      <c r="E49" s="275">
        <f>E15</f>
        <v>990</v>
      </c>
      <c r="F49" s="224">
        <f t="shared" ref="F49:G58" si="1">E49</f>
        <v>990</v>
      </c>
      <c r="G49" s="224">
        <f t="shared" si="1"/>
        <v>990</v>
      </c>
      <c r="H49" s="224">
        <f t="shared" ref="H49:I49" si="2">G49</f>
        <v>990</v>
      </c>
      <c r="I49" s="224">
        <f t="shared" si="2"/>
        <v>990</v>
      </c>
      <c r="J49" s="224">
        <f>E49</f>
        <v>990</v>
      </c>
      <c r="K49" s="224">
        <f>J49</f>
        <v>990</v>
      </c>
      <c r="L49" s="224">
        <f>K49</f>
        <v>990</v>
      </c>
      <c r="M49" s="224">
        <f>L49</f>
        <v>990</v>
      </c>
      <c r="N49" s="224">
        <f>M49</f>
        <v>990</v>
      </c>
      <c r="O49" s="224">
        <f>N49</f>
        <v>990</v>
      </c>
      <c r="P49" s="224">
        <f t="shared" si="0"/>
        <v>990</v>
      </c>
      <c r="Q49" s="224">
        <f t="shared" si="0"/>
        <v>990</v>
      </c>
      <c r="R49" s="224"/>
    </row>
    <row r="50" spans="2:18" ht="12.5" x14ac:dyDescent="0.35">
      <c r="B50" s="273" t="s">
        <v>128</v>
      </c>
      <c r="C50" s="274" t="s">
        <v>251</v>
      </c>
      <c r="D50" s="274" t="s">
        <v>164</v>
      </c>
      <c r="E50" s="224">
        <f>E49/E48</f>
        <v>82.5</v>
      </c>
      <c r="F50" s="224">
        <f t="shared" si="1"/>
        <v>82.5</v>
      </c>
      <c r="G50" s="224">
        <f t="shared" si="1"/>
        <v>82.5</v>
      </c>
      <c r="H50" s="224">
        <f t="shared" ref="H50:I50" si="3">G50</f>
        <v>82.5</v>
      </c>
      <c r="I50" s="224">
        <f t="shared" si="3"/>
        <v>82.5</v>
      </c>
      <c r="J50" s="224">
        <f>J49/J48</f>
        <v>82.5</v>
      </c>
      <c r="K50" s="224">
        <f t="shared" ref="K50:Q50" si="4">K49/K48</f>
        <v>82.5</v>
      </c>
      <c r="L50" s="224">
        <f>L49/L48</f>
        <v>82.5</v>
      </c>
      <c r="M50" s="224">
        <f t="shared" si="4"/>
        <v>82.5</v>
      </c>
      <c r="N50" s="224">
        <f t="shared" si="4"/>
        <v>82.5</v>
      </c>
      <c r="O50" s="224">
        <f t="shared" si="4"/>
        <v>82.5</v>
      </c>
      <c r="P50" s="224">
        <f t="shared" si="4"/>
        <v>82.5</v>
      </c>
      <c r="Q50" s="224">
        <f t="shared" si="4"/>
        <v>82.5</v>
      </c>
      <c r="R50" s="224"/>
    </row>
    <row r="51" spans="2:18" s="37" customFormat="1" ht="11.15" customHeight="1" x14ac:dyDescent="0.35">
      <c r="B51" s="271">
        <v>2</v>
      </c>
      <c r="C51" s="272" t="s">
        <v>358</v>
      </c>
      <c r="D51" s="272"/>
      <c r="E51" s="272"/>
      <c r="F51" s="276"/>
      <c r="G51" s="276"/>
      <c r="H51" s="276"/>
      <c r="I51" s="276"/>
      <c r="J51" s="276"/>
      <c r="K51" s="272"/>
      <c r="L51" s="272"/>
      <c r="M51" s="272"/>
      <c r="N51" s="272"/>
      <c r="O51" s="272"/>
      <c r="P51" s="272"/>
      <c r="Q51" s="272"/>
      <c r="R51" s="272"/>
    </row>
    <row r="52" spans="2:18" ht="12.5" x14ac:dyDescent="0.35">
      <c r="B52" s="273" t="s">
        <v>76</v>
      </c>
      <c r="C52" s="274" t="s">
        <v>356</v>
      </c>
      <c r="D52" s="274" t="s">
        <v>13</v>
      </c>
      <c r="E52" s="275">
        <f>E26</f>
        <v>13</v>
      </c>
      <c r="F52" s="224">
        <f t="shared" si="1"/>
        <v>13</v>
      </c>
      <c r="G52" s="224">
        <f t="shared" si="1"/>
        <v>13</v>
      </c>
      <c r="H52" s="224">
        <f t="shared" ref="H52:I52" si="5">G52</f>
        <v>13</v>
      </c>
      <c r="I52" s="224">
        <f t="shared" si="5"/>
        <v>13</v>
      </c>
      <c r="J52" s="224">
        <f>E52</f>
        <v>13</v>
      </c>
      <c r="K52" s="224">
        <f t="shared" ref="K52:Q52" si="6">J52</f>
        <v>13</v>
      </c>
      <c r="L52" s="224">
        <f t="shared" si="6"/>
        <v>13</v>
      </c>
      <c r="M52" s="224">
        <f t="shared" si="6"/>
        <v>13</v>
      </c>
      <c r="N52" s="224">
        <f t="shared" si="6"/>
        <v>13</v>
      </c>
      <c r="O52" s="224">
        <f t="shared" si="6"/>
        <v>13</v>
      </c>
      <c r="P52" s="224">
        <f t="shared" si="6"/>
        <v>13</v>
      </c>
      <c r="Q52" s="224">
        <f t="shared" si="6"/>
        <v>13</v>
      </c>
      <c r="R52" s="224"/>
    </row>
    <row r="53" spans="2:18" ht="12.5" x14ac:dyDescent="0.35">
      <c r="B53" s="273" t="s">
        <v>77</v>
      </c>
      <c r="C53" s="274" t="s">
        <v>359</v>
      </c>
      <c r="D53" s="274" t="s">
        <v>163</v>
      </c>
      <c r="E53" s="275">
        <f>E29</f>
        <v>870</v>
      </c>
      <c r="F53" s="224">
        <f t="shared" si="1"/>
        <v>870</v>
      </c>
      <c r="G53" s="224">
        <f t="shared" si="1"/>
        <v>870</v>
      </c>
      <c r="H53" s="224">
        <f t="shared" ref="H53:I53" si="7">G53</f>
        <v>870</v>
      </c>
      <c r="I53" s="224">
        <f t="shared" si="7"/>
        <v>870</v>
      </c>
      <c r="J53" s="224">
        <f>E53</f>
        <v>870</v>
      </c>
      <c r="K53" s="224">
        <f t="shared" ref="K53:Q53" si="8">J53</f>
        <v>870</v>
      </c>
      <c r="L53" s="224">
        <f t="shared" si="8"/>
        <v>870</v>
      </c>
      <c r="M53" s="224">
        <f t="shared" si="8"/>
        <v>870</v>
      </c>
      <c r="N53" s="224">
        <f t="shared" si="8"/>
        <v>870</v>
      </c>
      <c r="O53" s="224">
        <f t="shared" si="8"/>
        <v>870</v>
      </c>
      <c r="P53" s="224">
        <f t="shared" si="8"/>
        <v>870</v>
      </c>
      <c r="Q53" s="224">
        <f t="shared" si="8"/>
        <v>870</v>
      </c>
      <c r="R53" s="224"/>
    </row>
    <row r="54" spans="2:18" ht="12.5" x14ac:dyDescent="0.35">
      <c r="B54" s="273" t="s">
        <v>128</v>
      </c>
      <c r="C54" s="274" t="s">
        <v>360</v>
      </c>
      <c r="D54" s="274" t="s">
        <v>164</v>
      </c>
      <c r="E54" s="224">
        <f>E53/E52</f>
        <v>66.92307692307692</v>
      </c>
      <c r="F54" s="224">
        <f t="shared" si="1"/>
        <v>66.92307692307692</v>
      </c>
      <c r="G54" s="224">
        <f t="shared" si="1"/>
        <v>66.92307692307692</v>
      </c>
      <c r="H54" s="224">
        <f t="shared" ref="H54:I54" si="9">G54</f>
        <v>66.92307692307692</v>
      </c>
      <c r="I54" s="224">
        <f t="shared" si="9"/>
        <v>66.92307692307692</v>
      </c>
      <c r="J54" s="224">
        <f>J53/J52</f>
        <v>66.92307692307692</v>
      </c>
      <c r="K54" s="224">
        <f t="shared" ref="K54:Q54" si="10">K53/K52</f>
        <v>66.92307692307692</v>
      </c>
      <c r="L54" s="224">
        <f t="shared" si="10"/>
        <v>66.92307692307692</v>
      </c>
      <c r="M54" s="224">
        <f t="shared" si="10"/>
        <v>66.92307692307692</v>
      </c>
      <c r="N54" s="224">
        <f t="shared" si="10"/>
        <v>66.92307692307692</v>
      </c>
      <c r="O54" s="224">
        <f t="shared" si="10"/>
        <v>66.92307692307692</v>
      </c>
      <c r="P54" s="224">
        <f t="shared" si="10"/>
        <v>66.92307692307692</v>
      </c>
      <c r="Q54" s="224">
        <f t="shared" si="10"/>
        <v>66.92307692307692</v>
      </c>
      <c r="R54" s="224"/>
    </row>
    <row r="55" spans="2:18" s="37" customFormat="1" x14ac:dyDescent="0.35">
      <c r="B55" s="271">
        <v>3</v>
      </c>
      <c r="C55" s="272" t="s">
        <v>361</v>
      </c>
      <c r="D55" s="272"/>
      <c r="E55" s="272"/>
      <c r="F55" s="276"/>
      <c r="G55" s="276"/>
      <c r="H55" s="276"/>
      <c r="I55" s="276"/>
      <c r="J55" s="276"/>
      <c r="K55" s="272"/>
      <c r="L55" s="272"/>
      <c r="M55" s="272"/>
      <c r="N55" s="272"/>
      <c r="O55" s="272"/>
      <c r="P55" s="272"/>
      <c r="Q55" s="272"/>
      <c r="R55" s="272"/>
    </row>
    <row r="56" spans="2:18" ht="12.5" x14ac:dyDescent="0.35">
      <c r="B56" s="273" t="s">
        <v>76</v>
      </c>
      <c r="C56" s="274" t="s">
        <v>356</v>
      </c>
      <c r="D56" s="274" t="s">
        <v>13</v>
      </c>
      <c r="E56" s="275">
        <f>E40</f>
        <v>11</v>
      </c>
      <c r="F56" s="224">
        <f t="shared" si="1"/>
        <v>11</v>
      </c>
      <c r="G56" s="224">
        <f t="shared" si="1"/>
        <v>11</v>
      </c>
      <c r="H56" s="224">
        <f t="shared" ref="H56:I56" si="11">G56</f>
        <v>11</v>
      </c>
      <c r="I56" s="224">
        <f t="shared" si="11"/>
        <v>11</v>
      </c>
      <c r="J56" s="224">
        <f>E56</f>
        <v>11</v>
      </c>
      <c r="K56" s="224">
        <f t="shared" ref="K56:Q56" si="12">J56</f>
        <v>11</v>
      </c>
      <c r="L56" s="224">
        <f t="shared" si="12"/>
        <v>11</v>
      </c>
      <c r="M56" s="224">
        <f t="shared" si="12"/>
        <v>11</v>
      </c>
      <c r="N56" s="224">
        <f t="shared" si="12"/>
        <v>11</v>
      </c>
      <c r="O56" s="224">
        <f t="shared" si="12"/>
        <v>11</v>
      </c>
      <c r="P56" s="224">
        <f t="shared" si="12"/>
        <v>11</v>
      </c>
      <c r="Q56" s="224">
        <f t="shared" si="12"/>
        <v>11</v>
      </c>
      <c r="R56" s="224"/>
    </row>
    <row r="57" spans="2:18" ht="12.5" x14ac:dyDescent="0.35">
      <c r="B57" s="273" t="s">
        <v>77</v>
      </c>
      <c r="C57" s="274" t="s">
        <v>359</v>
      </c>
      <c r="D57" s="274" t="s">
        <v>163</v>
      </c>
      <c r="E57" s="275">
        <f>E43</f>
        <v>1222</v>
      </c>
      <c r="F57" s="224">
        <f t="shared" si="1"/>
        <v>1222</v>
      </c>
      <c r="G57" s="224">
        <f t="shared" si="1"/>
        <v>1222</v>
      </c>
      <c r="H57" s="224">
        <f t="shared" ref="H57:I57" si="13">G57</f>
        <v>1222</v>
      </c>
      <c r="I57" s="224">
        <f t="shared" si="13"/>
        <v>1222</v>
      </c>
      <c r="J57" s="224">
        <f>E57</f>
        <v>1222</v>
      </c>
      <c r="K57" s="224">
        <f t="shared" ref="K57:Q57" si="14">J57</f>
        <v>1222</v>
      </c>
      <c r="L57" s="224">
        <f t="shared" si="14"/>
        <v>1222</v>
      </c>
      <c r="M57" s="224">
        <f t="shared" si="14"/>
        <v>1222</v>
      </c>
      <c r="N57" s="224">
        <f t="shared" si="14"/>
        <v>1222</v>
      </c>
      <c r="O57" s="224">
        <f t="shared" si="14"/>
        <v>1222</v>
      </c>
      <c r="P57" s="224">
        <f t="shared" si="14"/>
        <v>1222</v>
      </c>
      <c r="Q57" s="224">
        <f t="shared" si="14"/>
        <v>1222</v>
      </c>
      <c r="R57" s="224"/>
    </row>
    <row r="58" spans="2:18" ht="12.5" x14ac:dyDescent="0.35">
      <c r="B58" s="273" t="s">
        <v>128</v>
      </c>
      <c r="C58" s="274" t="s">
        <v>360</v>
      </c>
      <c r="D58" s="274" t="s">
        <v>164</v>
      </c>
      <c r="E58" s="224">
        <f>E57/E56</f>
        <v>111.09090909090909</v>
      </c>
      <c r="F58" s="224">
        <f t="shared" si="1"/>
        <v>111.09090909090909</v>
      </c>
      <c r="G58" s="224">
        <f t="shared" si="1"/>
        <v>111.09090909090909</v>
      </c>
      <c r="H58" s="224">
        <f t="shared" ref="H58:I58" si="15">G58</f>
        <v>111.09090909090909</v>
      </c>
      <c r="I58" s="224">
        <f t="shared" si="15"/>
        <v>111.09090909090909</v>
      </c>
      <c r="J58" s="224">
        <f>J57/J56</f>
        <v>111.09090909090909</v>
      </c>
      <c r="K58" s="224">
        <f t="shared" ref="K58:Q58" si="16">K57/K56</f>
        <v>111.09090909090909</v>
      </c>
      <c r="L58" s="224">
        <f t="shared" si="16"/>
        <v>111.09090909090909</v>
      </c>
      <c r="M58" s="224">
        <f t="shared" si="16"/>
        <v>111.09090909090909</v>
      </c>
      <c r="N58" s="224">
        <f t="shared" si="16"/>
        <v>111.09090909090909</v>
      </c>
      <c r="O58" s="224">
        <f t="shared" si="16"/>
        <v>111.09090909090909</v>
      </c>
      <c r="P58" s="224">
        <f t="shared" si="16"/>
        <v>111.09090909090909</v>
      </c>
      <c r="Q58" s="224">
        <f t="shared" si="16"/>
        <v>111.09090909090909</v>
      </c>
      <c r="R58" s="224"/>
    </row>
    <row r="59" spans="2:18" x14ac:dyDescent="0.35">
      <c r="F59" s="36"/>
      <c r="J59" s="80"/>
      <c r="N59" s="37"/>
    </row>
    <row r="60" spans="2:18" x14ac:dyDescent="0.35">
      <c r="B60" s="37" t="s">
        <v>380</v>
      </c>
      <c r="F60" s="36"/>
      <c r="J60" s="80"/>
      <c r="N60" s="37"/>
    </row>
    <row r="61" spans="2:18" s="258" customFormat="1" ht="39" x14ac:dyDescent="0.35">
      <c r="B61" s="271" t="s">
        <v>362</v>
      </c>
      <c r="C61" s="272" t="s">
        <v>363</v>
      </c>
      <c r="D61" s="272" t="s">
        <v>163</v>
      </c>
      <c r="E61" s="271" t="s">
        <v>153</v>
      </c>
      <c r="F61" s="7" t="s">
        <v>56</v>
      </c>
      <c r="G61" s="7" t="s">
        <v>57</v>
      </c>
      <c r="H61" s="7" t="s">
        <v>58</v>
      </c>
      <c r="I61" s="7" t="s">
        <v>59</v>
      </c>
      <c r="J61" s="7" t="s">
        <v>60</v>
      </c>
      <c r="K61" s="7" t="s">
        <v>61</v>
      </c>
      <c r="L61" s="7" t="s">
        <v>62</v>
      </c>
      <c r="M61" s="7" t="s">
        <v>63</v>
      </c>
      <c r="N61" s="7" t="s">
        <v>64</v>
      </c>
      <c r="O61" s="7" t="s">
        <v>65</v>
      </c>
      <c r="P61" s="7" t="s">
        <v>66</v>
      </c>
      <c r="Q61" s="7" t="s">
        <v>67</v>
      </c>
      <c r="R61" s="7" t="s">
        <v>2246</v>
      </c>
    </row>
    <row r="62" spans="2:18" ht="12.5" x14ac:dyDescent="0.35">
      <c r="B62" s="273">
        <v>1</v>
      </c>
      <c r="C62" s="277" t="s">
        <v>364</v>
      </c>
      <c r="D62" s="274" t="s">
        <v>387</v>
      </c>
      <c r="E62" s="341">
        <f>$E$13+$E$27*80%+$E$41*20%</f>
        <v>2160</v>
      </c>
      <c r="F62" s="341">
        <f t="shared" ref="F62:Q62" si="17">$E$13+$E$27*80%+$E$41*20%</f>
        <v>2160</v>
      </c>
      <c r="G62" s="341">
        <f t="shared" si="17"/>
        <v>2160</v>
      </c>
      <c r="H62" s="341">
        <f t="shared" si="17"/>
        <v>2160</v>
      </c>
      <c r="I62" s="341">
        <f t="shared" si="17"/>
        <v>2160</v>
      </c>
      <c r="J62" s="341">
        <f t="shared" si="17"/>
        <v>2160</v>
      </c>
      <c r="K62" s="341">
        <f t="shared" si="17"/>
        <v>2160</v>
      </c>
      <c r="L62" s="341">
        <f t="shared" si="17"/>
        <v>2160</v>
      </c>
      <c r="M62" s="341">
        <f t="shared" si="17"/>
        <v>2160</v>
      </c>
      <c r="N62" s="341">
        <f t="shared" si="17"/>
        <v>2160</v>
      </c>
      <c r="O62" s="341">
        <f t="shared" si="17"/>
        <v>2160</v>
      </c>
      <c r="P62" s="341">
        <f t="shared" si="17"/>
        <v>2160</v>
      </c>
      <c r="Q62" s="341">
        <f t="shared" si="17"/>
        <v>2160</v>
      </c>
      <c r="R62" s="341"/>
    </row>
    <row r="63" spans="2:18" ht="12.5" x14ac:dyDescent="0.35">
      <c r="B63" s="273">
        <v>2</v>
      </c>
      <c r="C63" s="277" t="s">
        <v>365</v>
      </c>
      <c r="D63" s="274" t="s">
        <v>387</v>
      </c>
      <c r="E63" s="341">
        <f>$E$49+$E$53*80%+$E$57*20%</f>
        <v>1930.4</v>
      </c>
      <c r="F63" s="341">
        <f t="shared" ref="F63:Q63" si="18">$E$49+$E$53*80%+$E$57*20%</f>
        <v>1930.4</v>
      </c>
      <c r="G63" s="341">
        <f t="shared" si="18"/>
        <v>1930.4</v>
      </c>
      <c r="H63" s="341">
        <f t="shared" si="18"/>
        <v>1930.4</v>
      </c>
      <c r="I63" s="341">
        <f t="shared" si="18"/>
        <v>1930.4</v>
      </c>
      <c r="J63" s="341">
        <f t="shared" si="18"/>
        <v>1930.4</v>
      </c>
      <c r="K63" s="341">
        <f t="shared" si="18"/>
        <v>1930.4</v>
      </c>
      <c r="L63" s="341">
        <f t="shared" si="18"/>
        <v>1930.4</v>
      </c>
      <c r="M63" s="341">
        <f t="shared" si="18"/>
        <v>1930.4</v>
      </c>
      <c r="N63" s="341">
        <f t="shared" si="18"/>
        <v>1930.4</v>
      </c>
      <c r="O63" s="341">
        <f t="shared" si="18"/>
        <v>1930.4</v>
      </c>
      <c r="P63" s="341">
        <f t="shared" si="18"/>
        <v>1930.4</v>
      </c>
      <c r="Q63" s="341">
        <f t="shared" si="18"/>
        <v>1930.4</v>
      </c>
      <c r="R63" s="341"/>
    </row>
    <row r="64" spans="2:18" s="258" customFormat="1" ht="19.75" customHeight="1" x14ac:dyDescent="0.35">
      <c r="B64" s="271" t="s">
        <v>366</v>
      </c>
      <c r="C64" s="272" t="s">
        <v>2248</v>
      </c>
      <c r="D64" s="272" t="s">
        <v>367</v>
      </c>
      <c r="E64" s="271" t="s">
        <v>153</v>
      </c>
      <c r="F64" s="271"/>
      <c r="G64" s="271"/>
      <c r="H64" s="271"/>
      <c r="I64" s="271"/>
      <c r="J64" s="271" t="s">
        <v>60</v>
      </c>
      <c r="K64" s="271" t="s">
        <v>61</v>
      </c>
      <c r="L64" s="271" t="s">
        <v>62</v>
      </c>
      <c r="M64" s="271" t="s">
        <v>63</v>
      </c>
      <c r="N64" s="271" t="s">
        <v>64</v>
      </c>
      <c r="O64" s="271" t="s">
        <v>65</v>
      </c>
      <c r="P64" s="271" t="s">
        <v>66</v>
      </c>
      <c r="Q64" s="271" t="s">
        <v>67</v>
      </c>
      <c r="R64" s="271"/>
    </row>
    <row r="65" spans="2:18" ht="12.5" x14ac:dyDescent="0.35">
      <c r="B65" s="273">
        <v>1</v>
      </c>
      <c r="C65" s="277" t="s">
        <v>364</v>
      </c>
      <c r="D65" s="274" t="s">
        <v>388</v>
      </c>
      <c r="E65" s="339">
        <f>E62*8*3*30</f>
        <v>1555200</v>
      </c>
      <c r="F65" s="339">
        <f t="shared" ref="F65:Q65" si="19">F62*8*3*30</f>
        <v>1555200</v>
      </c>
      <c r="G65" s="339">
        <f t="shared" si="19"/>
        <v>1555200</v>
      </c>
      <c r="H65" s="339">
        <f t="shared" si="19"/>
        <v>1555200</v>
      </c>
      <c r="I65" s="339">
        <f t="shared" si="19"/>
        <v>1555200</v>
      </c>
      <c r="J65" s="339">
        <f t="shared" si="19"/>
        <v>1555200</v>
      </c>
      <c r="K65" s="339">
        <f t="shared" si="19"/>
        <v>1555200</v>
      </c>
      <c r="L65" s="339">
        <f t="shared" si="19"/>
        <v>1555200</v>
      </c>
      <c r="M65" s="339">
        <f t="shared" si="19"/>
        <v>1555200</v>
      </c>
      <c r="N65" s="339">
        <f t="shared" si="19"/>
        <v>1555200</v>
      </c>
      <c r="O65" s="339">
        <f t="shared" si="19"/>
        <v>1555200</v>
      </c>
      <c r="P65" s="339">
        <f t="shared" si="19"/>
        <v>1555200</v>
      </c>
      <c r="Q65" s="339">
        <f t="shared" si="19"/>
        <v>1555200</v>
      </c>
      <c r="R65" s="339"/>
    </row>
    <row r="66" spans="2:18" ht="12.5" x14ac:dyDescent="0.35">
      <c r="B66" s="273">
        <v>2</v>
      </c>
      <c r="C66" s="277" t="s">
        <v>365</v>
      </c>
      <c r="D66" s="274" t="s">
        <v>388</v>
      </c>
      <c r="E66" s="339">
        <f>E63*8*3*30</f>
        <v>1389888.0000000002</v>
      </c>
      <c r="F66" s="339">
        <f t="shared" ref="F66:Q66" si="20">F63*8*3*30</f>
        <v>1389888.0000000002</v>
      </c>
      <c r="G66" s="339">
        <f t="shared" si="20"/>
        <v>1389888.0000000002</v>
      </c>
      <c r="H66" s="339">
        <f t="shared" si="20"/>
        <v>1389888.0000000002</v>
      </c>
      <c r="I66" s="339">
        <f t="shared" si="20"/>
        <v>1389888.0000000002</v>
      </c>
      <c r="J66" s="339">
        <f t="shared" si="20"/>
        <v>1389888.0000000002</v>
      </c>
      <c r="K66" s="339">
        <f t="shared" si="20"/>
        <v>1389888.0000000002</v>
      </c>
      <c r="L66" s="339">
        <f t="shared" si="20"/>
        <v>1389888.0000000002</v>
      </c>
      <c r="M66" s="339">
        <f t="shared" si="20"/>
        <v>1389888.0000000002</v>
      </c>
      <c r="N66" s="339">
        <f t="shared" si="20"/>
        <v>1389888.0000000002</v>
      </c>
      <c r="O66" s="339">
        <f t="shared" si="20"/>
        <v>1389888.0000000002</v>
      </c>
      <c r="P66" s="339">
        <f t="shared" si="20"/>
        <v>1389888.0000000002</v>
      </c>
      <c r="Q66" s="339">
        <f t="shared" si="20"/>
        <v>1389888.0000000002</v>
      </c>
      <c r="R66" s="339"/>
    </row>
    <row r="67" spans="2:18" s="258" customFormat="1" x14ac:dyDescent="0.35">
      <c r="B67" s="271" t="s">
        <v>379</v>
      </c>
      <c r="C67" s="272" t="s">
        <v>381</v>
      </c>
      <c r="D67" s="272"/>
      <c r="E67" s="271" t="s">
        <v>153</v>
      </c>
      <c r="F67" s="7" t="s">
        <v>56</v>
      </c>
      <c r="G67" s="7" t="s">
        <v>57</v>
      </c>
      <c r="H67" s="7" t="s">
        <v>58</v>
      </c>
      <c r="I67" s="7" t="s">
        <v>59</v>
      </c>
      <c r="J67" s="271" t="s">
        <v>60</v>
      </c>
      <c r="K67" s="271" t="s">
        <v>61</v>
      </c>
      <c r="L67" s="271" t="s">
        <v>62</v>
      </c>
      <c r="M67" s="271" t="s">
        <v>63</v>
      </c>
      <c r="N67" s="271" t="s">
        <v>64</v>
      </c>
      <c r="O67" s="271" t="s">
        <v>65</v>
      </c>
      <c r="P67" s="271" t="s">
        <v>66</v>
      </c>
      <c r="Q67" s="271" t="s">
        <v>67</v>
      </c>
      <c r="R67" s="271"/>
    </row>
    <row r="68" spans="2:18" ht="29.9" customHeight="1" x14ac:dyDescent="0.35">
      <c r="B68" s="273">
        <v>1</v>
      </c>
      <c r="C68" s="277" t="s">
        <v>383</v>
      </c>
      <c r="D68" s="228" t="s">
        <v>384</v>
      </c>
      <c r="E68" s="342">
        <f>E69/30</f>
        <v>627.77235772357733</v>
      </c>
      <c r="F68" s="342">
        <f t="shared" ref="F68:I68" si="21">F69/30</f>
        <v>627.77235772357733</v>
      </c>
      <c r="G68" s="342">
        <f t="shared" si="21"/>
        <v>627.77235772357733</v>
      </c>
      <c r="H68" s="342">
        <f t="shared" si="21"/>
        <v>627.77235772357733</v>
      </c>
      <c r="I68" s="342">
        <f t="shared" si="21"/>
        <v>627.77235772357733</v>
      </c>
      <c r="J68" s="342">
        <f t="shared" ref="J68:Q68" si="22">J69/30</f>
        <v>627.77235772357733</v>
      </c>
      <c r="K68" s="342">
        <f t="shared" si="22"/>
        <v>627.77235772357733</v>
      </c>
      <c r="L68" s="342">
        <f t="shared" si="22"/>
        <v>627.77235772357733</v>
      </c>
      <c r="M68" s="342">
        <f t="shared" si="22"/>
        <v>627.77235772357733</v>
      </c>
      <c r="N68" s="342">
        <f t="shared" si="22"/>
        <v>627.77235772357733</v>
      </c>
      <c r="O68" s="342">
        <f t="shared" si="22"/>
        <v>627.77235772357733</v>
      </c>
      <c r="P68" s="342">
        <f t="shared" si="22"/>
        <v>627.77235772357733</v>
      </c>
      <c r="Q68" s="342">
        <f t="shared" si="22"/>
        <v>627.77235772357733</v>
      </c>
      <c r="R68" s="342"/>
    </row>
    <row r="69" spans="2:18" ht="12.5" x14ac:dyDescent="0.35">
      <c r="B69" s="273">
        <v>2</v>
      </c>
      <c r="C69" s="277" t="s">
        <v>385</v>
      </c>
      <c r="D69" s="228" t="s">
        <v>386</v>
      </c>
      <c r="E69" s="340">
        <f>E66/(E48+E52*80%+E56*20%)/3</f>
        <v>18833.17073170732</v>
      </c>
      <c r="F69" s="340">
        <f t="shared" ref="F69:Q69" si="23">F66/(F48+F52*80%+F56*20%)/3</f>
        <v>18833.17073170732</v>
      </c>
      <c r="G69" s="340">
        <f t="shared" si="23"/>
        <v>18833.17073170732</v>
      </c>
      <c r="H69" s="340">
        <f t="shared" si="23"/>
        <v>18833.17073170732</v>
      </c>
      <c r="I69" s="340">
        <f t="shared" si="23"/>
        <v>18833.17073170732</v>
      </c>
      <c r="J69" s="340">
        <f t="shared" si="23"/>
        <v>18833.17073170732</v>
      </c>
      <c r="K69" s="340">
        <f t="shared" si="23"/>
        <v>18833.17073170732</v>
      </c>
      <c r="L69" s="340">
        <f t="shared" si="23"/>
        <v>18833.17073170732</v>
      </c>
      <c r="M69" s="340">
        <f t="shared" si="23"/>
        <v>18833.17073170732</v>
      </c>
      <c r="N69" s="340">
        <f t="shared" si="23"/>
        <v>18833.17073170732</v>
      </c>
      <c r="O69" s="340">
        <f t="shared" si="23"/>
        <v>18833.17073170732</v>
      </c>
      <c r="P69" s="340">
        <f t="shared" si="23"/>
        <v>18833.17073170732</v>
      </c>
      <c r="Q69" s="340">
        <f t="shared" si="23"/>
        <v>18833.17073170732</v>
      </c>
      <c r="R69" s="340"/>
    </row>
    <row r="70" spans="2:18" s="278" customFormat="1" ht="15.5" x14ac:dyDescent="0.35">
      <c r="B70" s="37"/>
      <c r="E70" s="337"/>
      <c r="F70" s="337"/>
      <c r="G70" s="337"/>
      <c r="H70" s="337"/>
      <c r="I70" s="337"/>
      <c r="J70" s="337"/>
      <c r="K70" s="337"/>
      <c r="L70" s="337"/>
      <c r="M70" s="337"/>
    </row>
    <row r="71" spans="2:18" s="37" customFormat="1" ht="17.5" customHeight="1" x14ac:dyDescent="0.35">
      <c r="B71" s="423" t="s">
        <v>627</v>
      </c>
      <c r="F71" s="81"/>
    </row>
    <row r="72" spans="2:18" s="45" customFormat="1" ht="52" x14ac:dyDescent="0.35">
      <c r="B72" s="7" t="s">
        <v>0</v>
      </c>
      <c r="C72" s="38" t="s">
        <v>154</v>
      </c>
      <c r="D72" s="7" t="s">
        <v>155</v>
      </c>
      <c r="E72" s="7" t="s">
        <v>628</v>
      </c>
      <c r="F72" s="7" t="s">
        <v>628</v>
      </c>
      <c r="G72" s="7" t="s">
        <v>628</v>
      </c>
      <c r="H72" s="7" t="s">
        <v>628</v>
      </c>
      <c r="I72" s="7" t="s">
        <v>628</v>
      </c>
      <c r="J72" s="7" t="s">
        <v>628</v>
      </c>
      <c r="K72" s="38" t="s">
        <v>169</v>
      </c>
    </row>
    <row r="73" spans="2:18" ht="25" x14ac:dyDescent="0.35">
      <c r="B73" s="83">
        <v>1</v>
      </c>
      <c r="C73" s="41" t="s">
        <v>165</v>
      </c>
      <c r="D73" s="224"/>
      <c r="E73" s="224"/>
      <c r="F73" s="224"/>
      <c r="G73" s="225"/>
      <c r="H73" s="224"/>
      <c r="I73" s="224"/>
      <c r="J73" s="224"/>
      <c r="K73" s="90"/>
    </row>
    <row r="74" spans="2:18" ht="25" x14ac:dyDescent="0.35">
      <c r="B74" s="83">
        <v>2</v>
      </c>
      <c r="C74" s="41" t="s">
        <v>166</v>
      </c>
      <c r="D74" s="224"/>
      <c r="E74" s="226"/>
      <c r="F74" s="226"/>
      <c r="G74" s="225"/>
      <c r="H74" s="225"/>
      <c r="I74" s="226"/>
      <c r="J74" s="226"/>
      <c r="K74" s="90"/>
      <c r="L74" s="86"/>
    </row>
    <row r="75" spans="2:18" ht="25" x14ac:dyDescent="0.35">
      <c r="B75" s="1448">
        <v>3</v>
      </c>
      <c r="C75" s="41" t="s">
        <v>160</v>
      </c>
      <c r="D75" s="227"/>
      <c r="E75" s="227"/>
      <c r="F75" s="227"/>
      <c r="G75" s="227"/>
      <c r="H75" s="227"/>
      <c r="I75" s="227"/>
      <c r="J75" s="227"/>
      <c r="K75" s="231"/>
      <c r="L75" s="86"/>
    </row>
    <row r="76" spans="2:18" ht="47.5" customHeight="1" x14ac:dyDescent="0.35">
      <c r="B76" s="1448"/>
      <c r="C76" s="84" t="s">
        <v>161</v>
      </c>
      <c r="D76" s="266"/>
      <c r="E76" s="228"/>
      <c r="F76" s="237"/>
      <c r="G76" s="237"/>
      <c r="H76" s="228"/>
      <c r="I76" s="228"/>
      <c r="J76" s="228"/>
      <c r="K76" s="232"/>
      <c r="L76" s="268"/>
    </row>
    <row r="77" spans="2:18" x14ac:dyDescent="0.35">
      <c r="E77" s="45"/>
      <c r="F77" s="91"/>
      <c r="G77" s="91"/>
      <c r="H77" s="45"/>
      <c r="I77" s="45"/>
    </row>
    <row r="78" spans="2:18" x14ac:dyDescent="0.35">
      <c r="B78" s="142" t="s">
        <v>0</v>
      </c>
      <c r="C78" s="142" t="s">
        <v>181</v>
      </c>
      <c r="D78" s="144" t="s">
        <v>11</v>
      </c>
      <c r="E78" s="144" t="s">
        <v>176</v>
      </c>
      <c r="F78" s="144" t="s">
        <v>177</v>
      </c>
      <c r="G78" s="144" t="s">
        <v>178</v>
      </c>
      <c r="H78" s="144" t="s">
        <v>179</v>
      </c>
      <c r="I78" s="144" t="s">
        <v>180</v>
      </c>
    </row>
    <row r="79" spans="2:18" ht="20.5" customHeight="1" x14ac:dyDescent="0.35">
      <c r="B79" s="92">
        <v>1</v>
      </c>
      <c r="C79" s="84" t="s">
        <v>170</v>
      </c>
      <c r="D79" s="93" t="s">
        <v>13</v>
      </c>
      <c r="E79" s="85">
        <f>K75</f>
        <v>0</v>
      </c>
      <c r="F79" s="85">
        <f>$E79</f>
        <v>0</v>
      </c>
      <c r="G79" s="85">
        <f>$F79*1.5</f>
        <v>0</v>
      </c>
      <c r="H79" s="85">
        <f>$F79*2</f>
        <v>0</v>
      </c>
      <c r="I79" s="85">
        <f>$G79*2</f>
        <v>0</v>
      </c>
    </row>
    <row r="80" spans="2:18" ht="20.5" customHeight="1" x14ac:dyDescent="0.35">
      <c r="B80" s="92">
        <v>2</v>
      </c>
      <c r="C80" s="84" t="s">
        <v>162</v>
      </c>
      <c r="D80" s="93" t="s">
        <v>163</v>
      </c>
      <c r="E80" s="224">
        <f>D74</f>
        <v>0</v>
      </c>
      <c r="F80" s="224">
        <f>$E80*8</f>
        <v>0</v>
      </c>
      <c r="G80" s="224">
        <f>$F80*1.5</f>
        <v>0</v>
      </c>
      <c r="H80" s="224">
        <f>$F80*2</f>
        <v>0</v>
      </c>
      <c r="I80" s="224">
        <f>$G80*2</f>
        <v>0</v>
      </c>
    </row>
    <row r="81" spans="2:13" ht="20.5" customHeight="1" x14ac:dyDescent="0.35">
      <c r="B81" s="92">
        <v>3</v>
      </c>
      <c r="C81" s="84" t="s">
        <v>171</v>
      </c>
      <c r="D81" s="346">
        <f>'2.Hao hut &amp; % chai '!R27</f>
        <v>0</v>
      </c>
      <c r="E81" s="85">
        <f>E80*$D$28</f>
        <v>0</v>
      </c>
      <c r="F81" s="85">
        <f>$E81*8</f>
        <v>0</v>
      </c>
      <c r="G81" s="85">
        <f>$F81*1.5</f>
        <v>0</v>
      </c>
      <c r="H81" s="85">
        <f>$F81*2</f>
        <v>0</v>
      </c>
      <c r="I81" s="85">
        <f>$G81*2</f>
        <v>0</v>
      </c>
    </row>
    <row r="82" spans="2:13" ht="20.5" customHeight="1" x14ac:dyDescent="0.35">
      <c r="B82" s="92">
        <v>4</v>
      </c>
      <c r="C82" s="84" t="s">
        <v>168</v>
      </c>
      <c r="D82" s="93" t="s">
        <v>163</v>
      </c>
      <c r="E82" s="470">
        <f>E80-E81</f>
        <v>0</v>
      </c>
      <c r="F82" s="85">
        <f>$E82*8</f>
        <v>0</v>
      </c>
      <c r="G82" s="85">
        <f>$F82*1.5</f>
        <v>0</v>
      </c>
      <c r="H82" s="85">
        <f>$F82*2</f>
        <v>0</v>
      </c>
      <c r="I82" s="85">
        <f>$G82*2</f>
        <v>0</v>
      </c>
    </row>
    <row r="83" spans="2:13" ht="20.5" customHeight="1" x14ac:dyDescent="0.35">
      <c r="B83" s="92">
        <v>5</v>
      </c>
      <c r="C83" s="84" t="s">
        <v>167</v>
      </c>
      <c r="D83" s="93" t="s">
        <v>164</v>
      </c>
      <c r="E83" s="85">
        <f>IFERROR(E82/K75,0)</f>
        <v>0</v>
      </c>
      <c r="F83" s="85">
        <f>$E83*8</f>
        <v>0</v>
      </c>
      <c r="G83" s="85">
        <f>$F83*1.5</f>
        <v>0</v>
      </c>
      <c r="H83" s="85">
        <f>$F83*2</f>
        <v>0</v>
      </c>
      <c r="I83" s="85">
        <f>$G83*2</f>
        <v>0</v>
      </c>
    </row>
    <row r="84" spans="2:13" x14ac:dyDescent="0.35">
      <c r="B84" s="40"/>
    </row>
    <row r="85" spans="2:13" ht="12.5" x14ac:dyDescent="0.35">
      <c r="E85" s="80"/>
      <c r="G85" s="80"/>
      <c r="H85" s="80"/>
      <c r="I85" s="80"/>
      <c r="J85" s="80"/>
      <c r="K85" s="80"/>
      <c r="L85" s="80"/>
      <c r="M85" s="80"/>
    </row>
    <row r="86" spans="2:13" ht="12.5" x14ac:dyDescent="0.35">
      <c r="E86" s="80"/>
      <c r="G86" s="80"/>
      <c r="H86" s="80"/>
      <c r="I86" s="80"/>
      <c r="J86" s="80"/>
      <c r="K86" s="80"/>
      <c r="L86" s="80"/>
      <c r="M86" s="80"/>
    </row>
  </sheetData>
  <mergeCells count="4">
    <mergeCell ref="B22:B23"/>
    <mergeCell ref="B8:B9"/>
    <mergeCell ref="B36:B37"/>
    <mergeCell ref="B75:B76"/>
  </mergeCells>
  <pageMargins left="0.2" right="0.2" top="0.5" bottom="0.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1618-D4CA-40A3-811D-2E170A2DCEC0}">
  <sheetPr>
    <tabColor theme="4"/>
  </sheetPr>
  <dimension ref="B1:N69"/>
  <sheetViews>
    <sheetView showGridLines="0" zoomScale="85" zoomScaleNormal="85" workbookViewId="0">
      <selection activeCell="E13" sqref="E13"/>
    </sheetView>
  </sheetViews>
  <sheetFormatPr defaultColWidth="8.54296875" defaultRowHeight="12.5" x14ac:dyDescent="0.35"/>
  <cols>
    <col min="1" max="1" width="1.81640625" style="36" customWidth="1"/>
    <col min="2" max="2" width="6.54296875" style="36" customWidth="1"/>
    <col min="3" max="3" width="31.54296875" style="36" customWidth="1"/>
    <col min="4" max="4" width="24.453125" style="36" bestFit="1" customWidth="1"/>
    <col min="5" max="5" width="13.1796875" style="36" customWidth="1"/>
    <col min="6" max="6" width="12.54296875" style="80" customWidth="1"/>
    <col min="7" max="7" width="15.453125" style="36" customWidth="1"/>
    <col min="8" max="8" width="46.453125" style="36" customWidth="1"/>
    <col min="9" max="9" width="15.54296875" style="36" customWidth="1"/>
    <col min="10" max="16384" width="8.54296875" style="36"/>
  </cols>
  <sheetData>
    <row r="1" spans="2:14" ht="15.5" x14ac:dyDescent="0.35">
      <c r="B1" s="223"/>
    </row>
    <row r="3" spans="2:14" ht="18" x14ac:dyDescent="0.35">
      <c r="B3" s="347" t="s">
        <v>321</v>
      </c>
    </row>
    <row r="4" spans="2:14" s="37" customFormat="1" ht="13" x14ac:dyDescent="0.35">
      <c r="B4" s="37" t="s">
        <v>699</v>
      </c>
      <c r="F4" s="81"/>
    </row>
    <row r="5" spans="2:14" ht="37.4" customHeight="1" x14ac:dyDescent="0.35">
      <c r="B5" s="142" t="s">
        <v>0</v>
      </c>
      <c r="C5" s="142" t="s">
        <v>100</v>
      </c>
      <c r="D5" s="7" t="s">
        <v>11</v>
      </c>
      <c r="E5" s="7" t="s">
        <v>153</v>
      </c>
      <c r="F5" s="31" t="s">
        <v>1</v>
      </c>
      <c r="G5" s="7" t="s">
        <v>174</v>
      </c>
      <c r="H5" s="142" t="s">
        <v>161</v>
      </c>
    </row>
    <row r="6" spans="2:14" ht="41.25" customHeight="1" x14ac:dyDescent="0.35">
      <c r="B6" s="142"/>
      <c r="C6" s="143" t="s">
        <v>320</v>
      </c>
      <c r="D6" s="7"/>
      <c r="E6" s="31">
        <f>('Cong suat'!E29+'Cong suat'!E15)/2</f>
        <v>930</v>
      </c>
      <c r="F6" s="31"/>
      <c r="G6" s="142"/>
      <c r="H6" s="142"/>
    </row>
    <row r="7" spans="2:14" ht="30" customHeight="1" x14ac:dyDescent="0.35">
      <c r="B7" s="83">
        <v>1</v>
      </c>
      <c r="C7" s="41" t="s">
        <v>349</v>
      </c>
      <c r="D7" s="84"/>
      <c r="E7" s="293">
        <f>E8+E9</f>
        <v>13</v>
      </c>
      <c r="F7" s="85">
        <f>(E8*F8+E9*F9)/E7</f>
        <v>50500</v>
      </c>
      <c r="G7" s="88">
        <f>G8+G9</f>
        <v>705.91397849462373</v>
      </c>
      <c r="H7" s="84"/>
    </row>
    <row r="8" spans="2:14" ht="43.4" customHeight="1" x14ac:dyDescent="0.35">
      <c r="B8" s="89" t="s">
        <v>76</v>
      </c>
      <c r="C8" s="84" t="s">
        <v>225</v>
      </c>
      <c r="D8" s="84" t="s">
        <v>227</v>
      </c>
      <c r="E8" s="293">
        <f>'Cong suat'!$K$22*75%</f>
        <v>9.75</v>
      </c>
      <c r="F8" s="895">
        <f>(350000+50000+42000)/8</f>
        <v>55250</v>
      </c>
      <c r="G8" s="85">
        <f>E8*F8/E6</f>
        <v>579.23387096774195</v>
      </c>
      <c r="H8" s="41" t="s">
        <v>1912</v>
      </c>
    </row>
    <row r="9" spans="2:14" ht="35.5" customHeight="1" x14ac:dyDescent="0.35">
      <c r="B9" s="89" t="s">
        <v>77</v>
      </c>
      <c r="C9" s="84" t="s">
        <v>226</v>
      </c>
      <c r="D9" s="84" t="s">
        <v>227</v>
      </c>
      <c r="E9" s="293">
        <f>'Cong suat'!$K$22*25%</f>
        <v>3.25</v>
      </c>
      <c r="F9" s="895">
        <f>(250000+40000)/8</f>
        <v>36250</v>
      </c>
      <c r="G9" s="85">
        <f>E9*F9/E6</f>
        <v>126.68010752688173</v>
      </c>
      <c r="H9" s="41" t="s">
        <v>1913</v>
      </c>
      <c r="N9" s="80"/>
    </row>
    <row r="10" spans="2:14" ht="29.15" customHeight="1" x14ac:dyDescent="0.35">
      <c r="B10" s="83" t="s">
        <v>128</v>
      </c>
      <c r="C10" s="84" t="s">
        <v>291</v>
      </c>
      <c r="D10" s="84" t="s">
        <v>698</v>
      </c>
      <c r="E10" s="293"/>
      <c r="F10" s="85">
        <f>25000*1.05</f>
        <v>26250</v>
      </c>
      <c r="G10" s="85"/>
      <c r="H10" s="84"/>
    </row>
    <row r="11" spans="2:14" ht="33.65" customHeight="1" x14ac:dyDescent="0.35">
      <c r="B11" s="83">
        <v>2</v>
      </c>
      <c r="C11" s="84" t="s">
        <v>23</v>
      </c>
      <c r="D11" s="41" t="s">
        <v>182</v>
      </c>
      <c r="E11" s="224">
        <f>18071/3/26/7</f>
        <v>33.097069597069599</v>
      </c>
      <c r="F11" s="85">
        <v>2400</v>
      </c>
      <c r="G11" s="85">
        <f>E11*F11/E6</f>
        <v>85.411792508566705</v>
      </c>
      <c r="H11" s="41" t="s">
        <v>1911</v>
      </c>
      <c r="I11" s="86"/>
    </row>
    <row r="12" spans="2:14" ht="33.65" customHeight="1" x14ac:dyDescent="0.35">
      <c r="B12" s="273">
        <v>3</v>
      </c>
      <c r="C12" s="274" t="s">
        <v>694</v>
      </c>
      <c r="D12" s="228" t="s">
        <v>1775</v>
      </c>
      <c r="E12" s="708">
        <f>1/2000000*(('Cong suat'!$E$13+'Cong suat'!$E$27)/2)</f>
        <v>5.2499999999999997E-4</v>
      </c>
      <c r="F12" s="224">
        <f>150000000+10000000</f>
        <v>160000000</v>
      </c>
      <c r="G12" s="224">
        <f>E12*F12/$E$6</f>
        <v>90.322580645161295</v>
      </c>
      <c r="H12" s="41" t="s">
        <v>1773</v>
      </c>
      <c r="I12" s="86"/>
    </row>
    <row r="13" spans="2:14" ht="30.65" customHeight="1" x14ac:dyDescent="0.35">
      <c r="B13" s="83">
        <v>4</v>
      </c>
      <c r="C13" s="84" t="s">
        <v>14</v>
      </c>
      <c r="D13" s="41"/>
      <c r="E13" s="917">
        <f>0.3</f>
        <v>0.3</v>
      </c>
      <c r="F13" s="85">
        <v>51000</v>
      </c>
      <c r="G13" s="85">
        <f>E13*F13/230</f>
        <v>66.521739130434781</v>
      </c>
      <c r="H13" s="41" t="s">
        <v>1910</v>
      </c>
    </row>
    <row r="14" spans="2:14" ht="30.65" customHeight="1" x14ac:dyDescent="0.35">
      <c r="B14" s="83">
        <v>5</v>
      </c>
      <c r="C14" s="331" t="s">
        <v>309</v>
      </c>
      <c r="D14" s="228"/>
      <c r="E14" s="396"/>
      <c r="F14" s="224"/>
      <c r="G14" s="224"/>
      <c r="H14" s="228"/>
      <c r="J14" s="707"/>
    </row>
    <row r="15" spans="2:14" ht="30.65" customHeight="1" x14ac:dyDescent="0.35">
      <c r="B15" s="273">
        <v>6</v>
      </c>
      <c r="C15" s="331" t="s">
        <v>254</v>
      </c>
      <c r="D15" s="228"/>
      <c r="E15" s="396"/>
      <c r="F15" s="224"/>
      <c r="G15" s="224"/>
      <c r="H15" s="228"/>
    </row>
    <row r="16" spans="2:14" ht="29.5" customHeight="1" x14ac:dyDescent="0.35">
      <c r="B16" s="83">
        <v>7</v>
      </c>
      <c r="C16" s="84" t="s">
        <v>626</v>
      </c>
      <c r="D16" s="84" t="s">
        <v>12</v>
      </c>
      <c r="E16" s="293">
        <v>1</v>
      </c>
      <c r="F16" s="470">
        <v>300</v>
      </c>
      <c r="G16" s="85">
        <f>(('Cong suat'!$E$28+'Cong suat'!$E$14)*50%)*F16/$E$6</f>
        <v>38.70967741935484</v>
      </c>
      <c r="H16" s="41"/>
    </row>
    <row r="17" spans="2:9" ht="30.65" customHeight="1" x14ac:dyDescent="0.35">
      <c r="B17" s="83">
        <v>8</v>
      </c>
      <c r="C17" s="84" t="s">
        <v>152</v>
      </c>
      <c r="D17" s="41" t="s">
        <v>173</v>
      </c>
      <c r="E17" s="293">
        <v>0.8</v>
      </c>
      <c r="F17" s="85">
        <v>18000</v>
      </c>
      <c r="G17" s="224">
        <f>E17*F17/E6*3</f>
        <v>46.451612903225808</v>
      </c>
      <c r="H17" s="41" t="s">
        <v>1918</v>
      </c>
    </row>
    <row r="18" spans="2:9" ht="29.5" customHeight="1" x14ac:dyDescent="0.35">
      <c r="B18" s="273">
        <v>9</v>
      </c>
      <c r="C18" s="84" t="s">
        <v>172</v>
      </c>
      <c r="D18" s="87" t="s">
        <v>1908</v>
      </c>
      <c r="E18" s="292">
        <v>1</v>
      </c>
      <c r="F18" s="85">
        <v>1500000</v>
      </c>
      <c r="G18" s="85">
        <f>F18/7000</f>
        <v>214.28571428571428</v>
      </c>
      <c r="H18" s="41" t="s">
        <v>1909</v>
      </c>
    </row>
    <row r="19" spans="2:9" x14ac:dyDescent="0.35">
      <c r="B19" s="40"/>
    </row>
    <row r="20" spans="2:9" s="37" customFormat="1" ht="30.65" customHeight="1" x14ac:dyDescent="0.35">
      <c r="B20" s="37" t="s">
        <v>316</v>
      </c>
      <c r="F20" s="81"/>
    </row>
    <row r="21" spans="2:9" ht="37.75" customHeight="1" x14ac:dyDescent="0.35">
      <c r="B21" s="142" t="s">
        <v>0</v>
      </c>
      <c r="C21" s="143" t="s">
        <v>100</v>
      </c>
      <c r="D21" s="7" t="s">
        <v>11</v>
      </c>
      <c r="E21" s="271" t="s">
        <v>176</v>
      </c>
      <c r="F21" s="31" t="s">
        <v>1</v>
      </c>
      <c r="G21" s="7" t="s">
        <v>174</v>
      </c>
      <c r="H21" s="142" t="s">
        <v>161</v>
      </c>
    </row>
    <row r="22" spans="2:9" ht="25.75" customHeight="1" x14ac:dyDescent="0.35">
      <c r="B22" s="142"/>
      <c r="C22" s="143" t="s">
        <v>319</v>
      </c>
      <c r="D22" s="7"/>
      <c r="E22" s="31">
        <f>'Cong suat'!$E$82</f>
        <v>0</v>
      </c>
      <c r="F22" s="31"/>
      <c r="G22" s="206"/>
      <c r="H22" s="142"/>
    </row>
    <row r="23" spans="2:9" ht="21" customHeight="1" x14ac:dyDescent="0.35">
      <c r="B23" s="83">
        <v>1</v>
      </c>
      <c r="C23" s="84" t="s">
        <v>98</v>
      </c>
      <c r="D23" s="84"/>
      <c r="E23" s="88"/>
      <c r="F23" s="85"/>
      <c r="G23" s="88"/>
      <c r="H23" s="84"/>
    </row>
    <row r="24" spans="2:9" s="202" customFormat="1" ht="21" customHeight="1" x14ac:dyDescent="0.35">
      <c r="B24" s="198" t="s">
        <v>76</v>
      </c>
      <c r="C24" s="199" t="s">
        <v>225</v>
      </c>
      <c r="D24" s="199" t="s">
        <v>227</v>
      </c>
      <c r="E24" s="200"/>
      <c r="F24" s="201"/>
      <c r="G24" s="201"/>
      <c r="H24" s="199"/>
    </row>
    <row r="25" spans="2:9" s="202" customFormat="1" ht="21" customHeight="1" x14ac:dyDescent="0.35">
      <c r="B25" s="198" t="s">
        <v>77</v>
      </c>
      <c r="C25" s="199" t="s">
        <v>226</v>
      </c>
      <c r="D25" s="199" t="s">
        <v>227</v>
      </c>
      <c r="E25" s="200"/>
      <c r="F25" s="201"/>
      <c r="G25" s="201"/>
      <c r="H25" s="199"/>
    </row>
    <row r="26" spans="2:9" ht="21" customHeight="1" x14ac:dyDescent="0.35">
      <c r="B26" s="89" t="s">
        <v>128</v>
      </c>
      <c r="C26" s="84" t="s">
        <v>291</v>
      </c>
      <c r="D26" s="84" t="s">
        <v>292</v>
      </c>
      <c r="E26" s="84"/>
      <c r="F26" s="85"/>
      <c r="G26" s="85"/>
      <c r="H26" s="84"/>
    </row>
    <row r="27" spans="2:9" ht="21" customHeight="1" x14ac:dyDescent="0.35">
      <c r="B27" s="83">
        <v>2</v>
      </c>
      <c r="C27" s="84" t="s">
        <v>23</v>
      </c>
      <c r="D27" s="41" t="s">
        <v>182</v>
      </c>
      <c r="E27" s="84">
        <v>65</v>
      </c>
      <c r="F27" s="85">
        <v>2100</v>
      </c>
      <c r="G27" s="85">
        <f>E27*F27/$G$7</f>
        <v>193.36633663366334</v>
      </c>
      <c r="H27" s="41"/>
      <c r="I27" s="86"/>
    </row>
    <row r="28" spans="2:9" ht="21" customHeight="1" x14ac:dyDescent="0.35">
      <c r="B28" s="273">
        <v>3</v>
      </c>
      <c r="C28" s="36" t="s">
        <v>695</v>
      </c>
      <c r="D28" s="228"/>
      <c r="E28" s="708">
        <f>1/150000*'Cong suat'!$E$80</f>
        <v>0</v>
      </c>
      <c r="F28" s="224">
        <v>51000000</v>
      </c>
      <c r="G28" s="224" t="e">
        <f>E28*F28/$E$22</f>
        <v>#DIV/0!</v>
      </c>
      <c r="H28" s="41" t="s">
        <v>700</v>
      </c>
      <c r="I28" s="86"/>
    </row>
    <row r="29" spans="2:9" ht="21" customHeight="1" x14ac:dyDescent="0.35">
      <c r="B29" s="83">
        <v>4</v>
      </c>
      <c r="C29" s="84" t="s">
        <v>14</v>
      </c>
      <c r="D29" s="228"/>
      <c r="E29" s="274"/>
      <c r="F29" s="224"/>
      <c r="G29" s="224"/>
      <c r="H29" s="228"/>
      <c r="I29" s="86"/>
    </row>
    <row r="30" spans="2:9" ht="21" customHeight="1" x14ac:dyDescent="0.35">
      <c r="B30" s="83">
        <v>5</v>
      </c>
      <c r="C30" s="84" t="s">
        <v>309</v>
      </c>
      <c r="D30" s="41"/>
      <c r="E30" s="88">
        <f>E22/400</f>
        <v>0</v>
      </c>
      <c r="F30" s="85">
        <v>71000</v>
      </c>
      <c r="G30" s="85" t="e">
        <f>E30*F30/$E$22</f>
        <v>#DIV/0!</v>
      </c>
      <c r="H30" s="41"/>
    </row>
    <row r="31" spans="2:9" ht="21" customHeight="1" x14ac:dyDescent="0.35">
      <c r="B31" s="273">
        <v>6</v>
      </c>
      <c r="C31" s="84" t="s">
        <v>254</v>
      </c>
      <c r="D31" s="41"/>
      <c r="E31" s="84"/>
      <c r="F31" s="85"/>
      <c r="G31" s="85"/>
      <c r="H31" s="41"/>
      <c r="I31" s="86"/>
    </row>
    <row r="32" spans="2:9" ht="21" customHeight="1" x14ac:dyDescent="0.35">
      <c r="B32" s="83">
        <v>7</v>
      </c>
      <c r="C32" s="84" t="s">
        <v>326</v>
      </c>
      <c r="D32" s="84"/>
      <c r="E32" s="84">
        <v>3</v>
      </c>
      <c r="F32" s="85">
        <v>11000</v>
      </c>
      <c r="G32" s="85" t="e">
        <f>E32*F32/$E$22</f>
        <v>#DIV/0!</v>
      </c>
      <c r="H32" s="84" t="s">
        <v>1809</v>
      </c>
    </row>
    <row r="33" spans="2:9" ht="21" customHeight="1" x14ac:dyDescent="0.35">
      <c r="B33" s="83">
        <v>8</v>
      </c>
      <c r="C33" s="84" t="s">
        <v>152</v>
      </c>
      <c r="D33" s="41"/>
      <c r="E33" s="88">
        <f>30/10</f>
        <v>3</v>
      </c>
      <c r="F33" s="85">
        <v>18000</v>
      </c>
      <c r="G33" s="85">
        <f>E33*F33/1100</f>
        <v>49.090909090909093</v>
      </c>
      <c r="H33" s="41"/>
    </row>
    <row r="34" spans="2:9" ht="30.65" customHeight="1" x14ac:dyDescent="0.35">
      <c r="B34" s="273">
        <v>9</v>
      </c>
      <c r="C34" s="84" t="s">
        <v>172</v>
      </c>
      <c r="D34" s="87" t="s">
        <v>629</v>
      </c>
      <c r="E34" s="85">
        <v>10000</v>
      </c>
      <c r="F34" s="85">
        <v>3200000</v>
      </c>
      <c r="G34" s="85">
        <f>F34/E34</f>
        <v>320</v>
      </c>
      <c r="H34" s="41"/>
    </row>
    <row r="35" spans="2:9" x14ac:dyDescent="0.35">
      <c r="B35" s="40"/>
    </row>
    <row r="36" spans="2:9" ht="13" x14ac:dyDescent="0.35">
      <c r="B36" s="37" t="s">
        <v>317</v>
      </c>
      <c r="C36" s="37"/>
      <c r="D36" s="37"/>
      <c r="E36" s="37"/>
      <c r="F36" s="81"/>
      <c r="G36" s="37"/>
      <c r="H36" s="37"/>
    </row>
    <row r="37" spans="2:9" ht="35.5" customHeight="1" x14ac:dyDescent="0.35">
      <c r="B37" s="142" t="s">
        <v>0</v>
      </c>
      <c r="C37" s="143" t="s">
        <v>100</v>
      </c>
      <c r="D37" s="7" t="s">
        <v>11</v>
      </c>
      <c r="E37" s="7" t="s">
        <v>153</v>
      </c>
      <c r="F37" s="31" t="s">
        <v>1</v>
      </c>
      <c r="G37" s="7" t="s">
        <v>174</v>
      </c>
      <c r="H37" s="142" t="s">
        <v>161</v>
      </c>
    </row>
    <row r="38" spans="2:9" ht="13" x14ac:dyDescent="0.35">
      <c r="B38" s="142"/>
      <c r="C38" s="143" t="s">
        <v>318</v>
      </c>
      <c r="D38" s="7"/>
      <c r="E38" s="7"/>
      <c r="F38" s="31"/>
      <c r="G38" s="7"/>
      <c r="H38" s="142"/>
    </row>
    <row r="39" spans="2:9" ht="21" customHeight="1" x14ac:dyDescent="0.35">
      <c r="B39" s="83">
        <v>1</v>
      </c>
      <c r="C39" s="84" t="s">
        <v>98</v>
      </c>
      <c r="D39" s="84"/>
      <c r="E39" s="88"/>
      <c r="F39" s="85"/>
      <c r="G39" s="88"/>
      <c r="H39" s="84"/>
    </row>
    <row r="40" spans="2:9" s="202" customFormat="1" ht="21" customHeight="1" x14ac:dyDescent="0.35">
      <c r="B40" s="198" t="s">
        <v>76</v>
      </c>
      <c r="C40" s="199" t="s">
        <v>225</v>
      </c>
      <c r="D40" s="199"/>
      <c r="E40" s="200"/>
      <c r="F40" s="201"/>
      <c r="G40" s="201"/>
      <c r="H40" s="199"/>
    </row>
    <row r="41" spans="2:9" s="202" customFormat="1" ht="21" customHeight="1" x14ac:dyDescent="0.35">
      <c r="B41" s="198" t="s">
        <v>77</v>
      </c>
      <c r="C41" s="199" t="s">
        <v>226</v>
      </c>
      <c r="D41" s="199"/>
      <c r="E41" s="200"/>
      <c r="F41" s="201"/>
      <c r="G41" s="201"/>
      <c r="H41" s="199"/>
    </row>
    <row r="42" spans="2:9" ht="21" customHeight="1" x14ac:dyDescent="0.35">
      <c r="B42" s="89" t="s">
        <v>128</v>
      </c>
      <c r="C42" s="84" t="s">
        <v>291</v>
      </c>
      <c r="D42" s="84"/>
      <c r="E42" s="84"/>
      <c r="F42" s="85"/>
      <c r="G42" s="85"/>
      <c r="H42" s="84"/>
    </row>
    <row r="43" spans="2:9" ht="21" customHeight="1" x14ac:dyDescent="0.35">
      <c r="B43" s="83">
        <v>2</v>
      </c>
      <c r="C43" s="84" t="s">
        <v>23</v>
      </c>
      <c r="D43" s="41"/>
      <c r="E43" s="84"/>
      <c r="F43" s="85"/>
      <c r="G43" s="85"/>
      <c r="H43" s="41"/>
      <c r="I43" s="86"/>
    </row>
    <row r="44" spans="2:9" ht="21" customHeight="1" x14ac:dyDescent="0.35">
      <c r="B44" s="273">
        <v>3</v>
      </c>
      <c r="C44" s="36" t="s">
        <v>697</v>
      </c>
      <c r="D44" s="228"/>
      <c r="E44" s="274"/>
      <c r="F44" s="224"/>
      <c r="G44" s="224"/>
      <c r="H44" s="228"/>
      <c r="I44" s="86"/>
    </row>
    <row r="45" spans="2:9" ht="21" customHeight="1" x14ac:dyDescent="0.35">
      <c r="B45" s="83">
        <v>4</v>
      </c>
      <c r="C45" s="84" t="s">
        <v>14</v>
      </c>
      <c r="D45" s="228"/>
      <c r="E45" s="274"/>
      <c r="F45" s="224"/>
      <c r="G45" s="224"/>
      <c r="H45" s="228"/>
      <c r="I45" s="86"/>
    </row>
    <row r="46" spans="2:9" ht="21" customHeight="1" x14ac:dyDescent="0.35">
      <c r="B46" s="83">
        <v>5</v>
      </c>
      <c r="C46" s="84" t="s">
        <v>309</v>
      </c>
      <c r="D46" s="41"/>
      <c r="E46" s="84"/>
      <c r="F46" s="85"/>
      <c r="G46" s="85"/>
      <c r="H46" s="41"/>
    </row>
    <row r="47" spans="2:9" ht="21" customHeight="1" x14ac:dyDescent="0.35">
      <c r="B47" s="273">
        <v>6</v>
      </c>
      <c r="C47" s="84" t="s">
        <v>254</v>
      </c>
      <c r="D47" s="41"/>
      <c r="E47" s="84"/>
      <c r="F47" s="85"/>
      <c r="G47" s="85"/>
      <c r="H47" s="41"/>
      <c r="I47" s="86"/>
    </row>
    <row r="48" spans="2:9" ht="21" customHeight="1" x14ac:dyDescent="0.35">
      <c r="B48" s="83">
        <v>7</v>
      </c>
      <c r="C48" s="84" t="s">
        <v>326</v>
      </c>
      <c r="D48" s="84"/>
      <c r="E48" s="84"/>
      <c r="F48" s="85"/>
      <c r="G48" s="85"/>
      <c r="H48" s="84"/>
    </row>
    <row r="49" spans="2:9" ht="21" customHeight="1" x14ac:dyDescent="0.35">
      <c r="B49" s="83">
        <v>8</v>
      </c>
      <c r="C49" s="84" t="s">
        <v>152</v>
      </c>
      <c r="D49" s="41"/>
      <c r="E49" s="84"/>
      <c r="F49" s="85"/>
      <c r="G49" s="189"/>
      <c r="H49" s="41"/>
    </row>
    <row r="50" spans="2:9" ht="30.65" customHeight="1" x14ac:dyDescent="0.35">
      <c r="B50" s="273">
        <v>9</v>
      </c>
      <c r="C50" s="84" t="s">
        <v>172</v>
      </c>
      <c r="D50" s="87" t="s">
        <v>629</v>
      </c>
      <c r="E50" s="85">
        <v>10000</v>
      </c>
      <c r="F50" s="85">
        <v>3200000</v>
      </c>
      <c r="G50" s="85">
        <f>F50/E50</f>
        <v>320</v>
      </c>
      <c r="H50" s="41"/>
    </row>
    <row r="51" spans="2:9" x14ac:dyDescent="0.35">
      <c r="B51" s="40"/>
      <c r="F51" s="424"/>
      <c r="G51" s="424"/>
    </row>
    <row r="52" spans="2:9" x14ac:dyDescent="0.35">
      <c r="B52" s="40"/>
      <c r="F52" s="424"/>
      <c r="G52" s="424"/>
    </row>
    <row r="53" spans="2:9" x14ac:dyDescent="0.35">
      <c r="B53" s="40"/>
      <c r="F53" s="424"/>
      <c r="G53" s="424"/>
    </row>
    <row r="54" spans="2:9" ht="14.5" x14ac:dyDescent="0.35">
      <c r="H54" s="349" t="s">
        <v>625</v>
      </c>
    </row>
    <row r="55" spans="2:9" ht="14.5" x14ac:dyDescent="0.35">
      <c r="B55" s="350"/>
      <c r="C55" s="350" t="s">
        <v>392</v>
      </c>
      <c r="D55" s="350" t="s">
        <v>393</v>
      </c>
      <c r="E55" s="1449" t="s">
        <v>393</v>
      </c>
      <c r="F55" s="1449"/>
      <c r="G55" s="350" t="s">
        <v>393</v>
      </c>
      <c r="H55" s="350" t="s">
        <v>40</v>
      </c>
    </row>
    <row r="56" spans="2:9" ht="14.5" x14ac:dyDescent="0.35">
      <c r="B56" s="351"/>
      <c r="C56" s="351" t="s">
        <v>394</v>
      </c>
      <c r="D56" s="351" t="s">
        <v>395</v>
      </c>
      <c r="E56" s="1450" t="s">
        <v>397</v>
      </c>
      <c r="F56" s="1450"/>
      <c r="G56" s="351" t="s">
        <v>396</v>
      </c>
      <c r="H56" s="351" t="s">
        <v>51</v>
      </c>
    </row>
    <row r="57" spans="2:9" ht="14.5" x14ac:dyDescent="0.35">
      <c r="B57" s="348"/>
      <c r="C57" s="348"/>
      <c r="D57" s="348"/>
      <c r="E57" s="348"/>
      <c r="F57" s="348"/>
      <c r="G57" s="348"/>
      <c r="H57" s="348"/>
    </row>
    <row r="58" spans="2:9" ht="14.5" x14ac:dyDescent="0.35">
      <c r="B58" s="348"/>
      <c r="C58" s="348"/>
      <c r="D58" s="348"/>
      <c r="E58" s="348"/>
      <c r="F58" s="348"/>
      <c r="G58" s="348"/>
      <c r="H58" s="348"/>
    </row>
    <row r="59" spans="2:9" ht="14.5" x14ac:dyDescent="0.35">
      <c r="B59" s="348"/>
      <c r="C59" s="348"/>
      <c r="D59" s="348"/>
      <c r="E59" s="348"/>
      <c r="F59" s="348"/>
      <c r="G59" s="348"/>
      <c r="H59" s="348"/>
    </row>
    <row r="60" spans="2:9" ht="14.5" x14ac:dyDescent="0.35">
      <c r="B60" s="348"/>
      <c r="C60" s="348"/>
      <c r="D60" s="348"/>
      <c r="E60" s="348"/>
      <c r="F60" s="348"/>
      <c r="G60" s="348"/>
      <c r="H60" s="348"/>
    </row>
    <row r="61" spans="2:9" ht="14.5" x14ac:dyDescent="0.35">
      <c r="B61" s="351"/>
      <c r="C61" s="351"/>
      <c r="D61" s="351"/>
      <c r="E61" s="1450"/>
      <c r="F61" s="1450"/>
      <c r="G61" s="351"/>
      <c r="H61" s="351"/>
    </row>
    <row r="64" spans="2:9" ht="14.5" x14ac:dyDescent="0.35">
      <c r="G64" s="351"/>
      <c r="H64" s="351"/>
      <c r="I64" s="351"/>
    </row>
    <row r="65" spans="7:9" ht="14.5" x14ac:dyDescent="0.35">
      <c r="G65" s="348"/>
      <c r="H65" s="348"/>
      <c r="I65" s="348"/>
    </row>
    <row r="66" spans="7:9" ht="14.5" x14ac:dyDescent="0.35">
      <c r="G66" s="348"/>
      <c r="H66" s="348"/>
      <c r="I66" s="348"/>
    </row>
    <row r="67" spans="7:9" ht="14.5" x14ac:dyDescent="0.35">
      <c r="G67" s="348"/>
      <c r="H67" s="348"/>
      <c r="I67" s="348"/>
    </row>
    <row r="68" spans="7:9" ht="14.5" x14ac:dyDescent="0.35">
      <c r="G68" s="348"/>
      <c r="H68" s="348"/>
      <c r="I68" s="348"/>
    </row>
    <row r="69" spans="7:9" ht="14.5" x14ac:dyDescent="0.35">
      <c r="G69" s="351"/>
      <c r="H69" s="351"/>
      <c r="I69" s="351"/>
    </row>
  </sheetData>
  <mergeCells count="3">
    <mergeCell ref="E55:F55"/>
    <mergeCell ref="E56:F56"/>
    <mergeCell ref="E61:F61"/>
  </mergeCells>
  <printOptions horizontalCentered="1"/>
  <pageMargins left="0" right="0" top="0.19685039370078741" bottom="0.15748031496062992" header="0.31496062992125984" footer="0.31496062992125984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0883-2EDD-4C7A-99C0-47BB150CD2F3}">
  <sheetPr>
    <tabColor theme="4"/>
  </sheetPr>
  <dimension ref="A1:W87"/>
  <sheetViews>
    <sheetView showGridLines="0" topLeftCell="A3" zoomScaleNormal="100" workbookViewId="0">
      <pane ySplit="2" topLeftCell="A43" activePane="bottomLeft" state="frozen"/>
      <selection activeCell="A3" sqref="A3"/>
      <selection pane="bottomLeft" activeCell="S63" sqref="S63:T63"/>
    </sheetView>
  </sheetViews>
  <sheetFormatPr defaultColWidth="8.54296875" defaultRowHeight="14" x14ac:dyDescent="0.3"/>
  <cols>
    <col min="1" max="1" width="0.453125" style="36" customWidth="1"/>
    <col min="2" max="2" width="6.453125" style="40" customWidth="1"/>
    <col min="3" max="3" width="41.453125" style="36" customWidth="1"/>
    <col min="4" max="6" width="7.453125" style="40" customWidth="1"/>
    <col min="7" max="7" width="7.453125" style="252" customWidth="1"/>
    <col min="8" max="11" width="6.453125" style="36" customWidth="1"/>
    <col min="12" max="12" width="7.453125" style="36" customWidth="1"/>
    <col min="13" max="19" width="6.453125" style="36" customWidth="1"/>
    <col min="20" max="20" width="8.54296875" style="36" customWidth="1"/>
    <col min="21" max="21" width="4.453125" style="496" customWidth="1"/>
    <col min="22" max="22" width="38.453125" style="253" bestFit="1" customWidth="1"/>
    <col min="23" max="23" width="36.1796875" style="253" bestFit="1" customWidth="1"/>
    <col min="24" max="16384" width="8.54296875" style="253"/>
  </cols>
  <sheetData>
    <row r="1" spans="1:21" ht="15.5" x14ac:dyDescent="0.3">
      <c r="B1" s="469" t="e" vm="1">
        <v>#VALUE!</v>
      </c>
    </row>
    <row r="3" spans="1:21" ht="15" customHeight="1" x14ac:dyDescent="0.3">
      <c r="B3" s="137" t="s">
        <v>2249</v>
      </c>
      <c r="T3" s="254" t="s">
        <v>231</v>
      </c>
    </row>
    <row r="4" spans="1:21" ht="39" x14ac:dyDescent="0.3">
      <c r="A4" s="255"/>
      <c r="B4" s="30" t="s">
        <v>0</v>
      </c>
      <c r="C4" s="30" t="s">
        <v>132</v>
      </c>
      <c r="D4" s="30" t="s">
        <v>149</v>
      </c>
      <c r="E4" s="730" t="s">
        <v>1943</v>
      </c>
      <c r="F4" s="730" t="s">
        <v>1942</v>
      </c>
      <c r="G4" s="7" t="s">
        <v>405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61</v>
      </c>
      <c r="N4" s="7" t="s">
        <v>62</v>
      </c>
      <c r="O4" s="7" t="s">
        <v>63</v>
      </c>
      <c r="P4" s="7" t="s">
        <v>64</v>
      </c>
      <c r="Q4" s="7" t="s">
        <v>65</v>
      </c>
      <c r="R4" s="7" t="s">
        <v>66</v>
      </c>
      <c r="S4" s="7" t="s">
        <v>67</v>
      </c>
      <c r="T4" s="7" t="s">
        <v>2246</v>
      </c>
    </row>
    <row r="5" spans="1:21" s="258" customFormat="1" x14ac:dyDescent="0.3">
      <c r="A5" s="256"/>
      <c r="B5" s="257">
        <v>1</v>
      </c>
      <c r="C5" s="54" t="s">
        <v>513</v>
      </c>
      <c r="D5" s="55">
        <v>642</v>
      </c>
      <c r="E5" s="77">
        <f>SUM(E6:E8)</f>
        <v>1</v>
      </c>
      <c r="F5" s="77">
        <f t="shared" ref="F5:T5" si="0">SUM(F6:F8)</f>
        <v>2</v>
      </c>
      <c r="G5" s="77">
        <f t="shared" si="0"/>
        <v>2</v>
      </c>
      <c r="H5" s="77">
        <f t="shared" si="0"/>
        <v>3</v>
      </c>
      <c r="I5" s="77">
        <f t="shared" si="0"/>
        <v>3</v>
      </c>
      <c r="J5" s="77">
        <f t="shared" si="0"/>
        <v>3</v>
      </c>
      <c r="K5" s="77">
        <f t="shared" si="0"/>
        <v>3</v>
      </c>
      <c r="L5" s="77">
        <f t="shared" si="0"/>
        <v>3</v>
      </c>
      <c r="M5" s="77">
        <f t="shared" si="0"/>
        <v>3</v>
      </c>
      <c r="N5" s="77">
        <f t="shared" si="0"/>
        <v>3</v>
      </c>
      <c r="O5" s="77">
        <f t="shared" si="0"/>
        <v>3</v>
      </c>
      <c r="P5" s="77">
        <f t="shared" si="0"/>
        <v>3</v>
      </c>
      <c r="Q5" s="77">
        <f t="shared" si="0"/>
        <v>3</v>
      </c>
      <c r="R5" s="77">
        <f t="shared" si="0"/>
        <v>3</v>
      </c>
      <c r="S5" s="77">
        <f t="shared" si="0"/>
        <v>3</v>
      </c>
      <c r="T5" s="1367">
        <f t="shared" si="0"/>
        <v>3</v>
      </c>
      <c r="U5" s="496"/>
    </row>
    <row r="6" spans="1:21" x14ac:dyDescent="0.3">
      <c r="B6" s="83" t="s">
        <v>209</v>
      </c>
      <c r="C6" s="59" t="s">
        <v>535</v>
      </c>
      <c r="D6" s="60"/>
      <c r="E6" s="919"/>
      <c r="F6" s="1229">
        <v>1</v>
      </c>
      <c r="G6" s="78">
        <v>1</v>
      </c>
      <c r="H6" s="84">
        <v>1</v>
      </c>
      <c r="I6" s="84">
        <v>1</v>
      </c>
      <c r="J6" s="84">
        <v>1</v>
      </c>
      <c r="K6" s="84">
        <v>1</v>
      </c>
      <c r="L6" s="84">
        <v>1</v>
      </c>
      <c r="M6" s="84">
        <v>1</v>
      </c>
      <c r="N6" s="84">
        <v>1</v>
      </c>
      <c r="O6" s="84">
        <v>1</v>
      </c>
      <c r="P6" s="84">
        <v>1</v>
      </c>
      <c r="Q6" s="84">
        <v>1</v>
      </c>
      <c r="R6" s="84">
        <v>1</v>
      </c>
      <c r="S6" s="84">
        <v>1</v>
      </c>
      <c r="T6" s="89">
        <v>1</v>
      </c>
    </row>
    <row r="7" spans="1:21" x14ac:dyDescent="0.3">
      <c r="B7" s="83" t="s">
        <v>210</v>
      </c>
      <c r="C7" s="59" t="s">
        <v>50</v>
      </c>
      <c r="D7" s="60"/>
      <c r="E7" s="78">
        <v>1</v>
      </c>
      <c r="F7" s="78">
        <v>1</v>
      </c>
      <c r="G7" s="78">
        <v>1</v>
      </c>
      <c r="H7" s="84">
        <v>1</v>
      </c>
      <c r="I7" s="84">
        <v>1</v>
      </c>
      <c r="J7" s="84">
        <v>1</v>
      </c>
      <c r="K7" s="84">
        <v>1</v>
      </c>
      <c r="L7" s="84">
        <v>1</v>
      </c>
      <c r="M7" s="84">
        <v>1</v>
      </c>
      <c r="N7" s="84">
        <v>1</v>
      </c>
      <c r="O7" s="84">
        <v>1</v>
      </c>
      <c r="P7" s="84">
        <v>1</v>
      </c>
      <c r="Q7" s="84">
        <v>1</v>
      </c>
      <c r="R7" s="84">
        <v>1</v>
      </c>
      <c r="S7" s="84">
        <v>1</v>
      </c>
      <c r="T7" s="89">
        <v>1</v>
      </c>
    </row>
    <row r="8" spans="1:21" x14ac:dyDescent="0.3">
      <c r="B8" s="83" t="s">
        <v>211</v>
      </c>
      <c r="C8" s="59" t="s">
        <v>2247</v>
      </c>
      <c r="D8" s="919"/>
      <c r="E8" s="897"/>
      <c r="F8" s="897"/>
      <c r="G8" s="897"/>
      <c r="H8" s="274">
        <v>1</v>
      </c>
      <c r="I8" s="274">
        <v>1</v>
      </c>
      <c r="J8" s="274">
        <v>1</v>
      </c>
      <c r="K8" s="274">
        <v>1</v>
      </c>
      <c r="L8" s="274">
        <v>1</v>
      </c>
      <c r="M8" s="274">
        <v>1</v>
      </c>
      <c r="N8" s="274">
        <v>1</v>
      </c>
      <c r="O8" s="274">
        <v>1</v>
      </c>
      <c r="P8" s="274">
        <v>1</v>
      </c>
      <c r="Q8" s="274">
        <v>1</v>
      </c>
      <c r="R8" s="274">
        <v>1</v>
      </c>
      <c r="S8" s="274">
        <v>1</v>
      </c>
      <c r="T8" s="925">
        <v>1</v>
      </c>
    </row>
    <row r="9" spans="1:21" s="258" customFormat="1" x14ac:dyDescent="0.3">
      <c r="A9" s="256"/>
      <c r="B9" s="257">
        <v>2</v>
      </c>
      <c r="C9" s="54" t="s">
        <v>521</v>
      </c>
      <c r="D9" s="55">
        <v>642</v>
      </c>
      <c r="E9" s="77">
        <f>SUM(E10:E16)</f>
        <v>0</v>
      </c>
      <c r="F9" s="77">
        <f>SUM(F10:F16)</f>
        <v>0</v>
      </c>
      <c r="G9" s="77">
        <f>SUM(G10:G16)</f>
        <v>2</v>
      </c>
      <c r="H9" s="77">
        <f t="shared" ref="H9:T9" si="1">SUM(H10:H16)</f>
        <v>2</v>
      </c>
      <c r="I9" s="77">
        <f t="shared" si="1"/>
        <v>2</v>
      </c>
      <c r="J9" s="77">
        <f t="shared" si="1"/>
        <v>2</v>
      </c>
      <c r="K9" s="77">
        <f t="shared" si="1"/>
        <v>2</v>
      </c>
      <c r="L9" s="77">
        <f t="shared" si="1"/>
        <v>2</v>
      </c>
      <c r="M9" s="77">
        <f t="shared" si="1"/>
        <v>2</v>
      </c>
      <c r="N9" s="77">
        <f t="shared" si="1"/>
        <v>2</v>
      </c>
      <c r="O9" s="77">
        <f t="shared" si="1"/>
        <v>2</v>
      </c>
      <c r="P9" s="77">
        <f t="shared" si="1"/>
        <v>2</v>
      </c>
      <c r="Q9" s="77">
        <f t="shared" si="1"/>
        <v>2</v>
      </c>
      <c r="R9" s="77">
        <f t="shared" si="1"/>
        <v>2</v>
      </c>
      <c r="S9" s="77">
        <f t="shared" si="1"/>
        <v>2</v>
      </c>
      <c r="T9" s="1367">
        <f t="shared" si="1"/>
        <v>2</v>
      </c>
      <c r="U9" s="496"/>
    </row>
    <row r="10" spans="1:21" hidden="1" x14ac:dyDescent="0.3">
      <c r="B10" s="83" t="s">
        <v>214</v>
      </c>
      <c r="C10" s="59" t="s">
        <v>1919</v>
      </c>
      <c r="D10" s="60"/>
      <c r="E10" s="78"/>
      <c r="F10" s="78"/>
      <c r="G10" s="78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9"/>
    </row>
    <row r="11" spans="1:21" x14ac:dyDescent="0.3">
      <c r="B11" s="83">
        <v>2.1</v>
      </c>
      <c r="C11" s="59" t="s">
        <v>1920</v>
      </c>
      <c r="D11" s="60"/>
      <c r="E11" s="78"/>
      <c r="F11" s="78"/>
      <c r="G11" s="78">
        <v>1</v>
      </c>
      <c r="H11" s="84">
        <v>1</v>
      </c>
      <c r="I11" s="84">
        <v>1</v>
      </c>
      <c r="J11" s="84">
        <v>1</v>
      </c>
      <c r="K11" s="84">
        <v>1</v>
      </c>
      <c r="L11" s="84">
        <v>1</v>
      </c>
      <c r="M11" s="84">
        <v>1</v>
      </c>
      <c r="N11" s="84">
        <v>1</v>
      </c>
      <c r="O11" s="84">
        <v>1</v>
      </c>
      <c r="P11" s="84">
        <v>1</v>
      </c>
      <c r="Q11" s="84">
        <v>1</v>
      </c>
      <c r="R11" s="84">
        <v>1</v>
      </c>
      <c r="S11" s="84">
        <v>1</v>
      </c>
      <c r="T11" s="89">
        <v>1</v>
      </c>
    </row>
    <row r="12" spans="1:21" hidden="1" x14ac:dyDescent="0.3">
      <c r="B12" s="83" t="s">
        <v>213</v>
      </c>
      <c r="C12" s="59" t="s">
        <v>1921</v>
      </c>
      <c r="D12" s="60"/>
      <c r="E12" s="78"/>
      <c r="F12" s="78"/>
      <c r="G12" s="78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9"/>
    </row>
    <row r="13" spans="1:21" hidden="1" x14ac:dyDescent="0.3">
      <c r="B13" s="83" t="s">
        <v>215</v>
      </c>
      <c r="C13" s="59" t="s">
        <v>108</v>
      </c>
      <c r="D13" s="60"/>
      <c r="E13" s="78"/>
      <c r="F13" s="78"/>
      <c r="G13" s="78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9"/>
    </row>
    <row r="14" spans="1:21" x14ac:dyDescent="0.3">
      <c r="B14" s="1273">
        <v>2.2000000000000002</v>
      </c>
      <c r="C14" s="1274" t="s">
        <v>2227</v>
      </c>
      <c r="D14" s="1275"/>
      <c r="E14" s="1276"/>
      <c r="F14" s="1276"/>
      <c r="G14" s="1276">
        <v>1</v>
      </c>
      <c r="H14" s="1277">
        <v>1</v>
      </c>
      <c r="I14" s="1277">
        <v>1</v>
      </c>
      <c r="J14" s="1277">
        <v>1</v>
      </c>
      <c r="K14" s="1277">
        <v>1</v>
      </c>
      <c r="L14" s="1277">
        <v>1</v>
      </c>
      <c r="M14" s="1277">
        <v>1</v>
      </c>
      <c r="N14" s="1277">
        <v>1</v>
      </c>
      <c r="O14" s="1277">
        <v>1</v>
      </c>
      <c r="P14" s="1277">
        <v>1</v>
      </c>
      <c r="Q14" s="1277">
        <v>1</v>
      </c>
      <c r="R14" s="1277">
        <v>1</v>
      </c>
      <c r="S14" s="1277">
        <v>1</v>
      </c>
      <c r="T14" s="1368">
        <v>1</v>
      </c>
    </row>
    <row r="15" spans="1:21" hidden="1" x14ac:dyDescent="0.3">
      <c r="B15" s="83" t="s">
        <v>540</v>
      </c>
      <c r="C15" s="918" t="s">
        <v>105</v>
      </c>
      <c r="D15" s="919"/>
      <c r="E15" s="897"/>
      <c r="F15" s="897"/>
      <c r="G15" s="897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925"/>
    </row>
    <row r="16" spans="1:21" hidden="1" x14ac:dyDescent="0.3">
      <c r="B16" s="83" t="s">
        <v>1666</v>
      </c>
      <c r="C16" s="59" t="s">
        <v>1922</v>
      </c>
      <c r="D16" s="60"/>
      <c r="E16" s="78"/>
      <c r="F16" s="78"/>
      <c r="G16" s="78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9"/>
    </row>
    <row r="17" spans="1:21" s="258" customFormat="1" x14ac:dyDescent="0.3">
      <c r="A17" s="256"/>
      <c r="B17" s="257">
        <v>3</v>
      </c>
      <c r="C17" s="54" t="s">
        <v>522</v>
      </c>
      <c r="D17" s="55">
        <v>642</v>
      </c>
      <c r="E17" s="77">
        <f>SUM(E18:E21)</f>
        <v>3</v>
      </c>
      <c r="F17" s="77">
        <f>SUM(F18:F21)</f>
        <v>3</v>
      </c>
      <c r="G17" s="77">
        <f>SUM(G18:G21)</f>
        <v>3</v>
      </c>
      <c r="H17" s="77">
        <f t="shared" ref="H17:T17" si="2">SUM(H18:H21)</f>
        <v>3</v>
      </c>
      <c r="I17" s="77">
        <f t="shared" si="2"/>
        <v>3</v>
      </c>
      <c r="J17" s="77">
        <f t="shared" si="2"/>
        <v>3</v>
      </c>
      <c r="K17" s="77">
        <f t="shared" si="2"/>
        <v>3</v>
      </c>
      <c r="L17" s="77">
        <f t="shared" si="2"/>
        <v>3</v>
      </c>
      <c r="M17" s="77">
        <f t="shared" si="2"/>
        <v>3</v>
      </c>
      <c r="N17" s="77">
        <f t="shared" si="2"/>
        <v>3</v>
      </c>
      <c r="O17" s="77">
        <f t="shared" si="2"/>
        <v>3</v>
      </c>
      <c r="P17" s="77">
        <f t="shared" si="2"/>
        <v>3</v>
      </c>
      <c r="Q17" s="77">
        <f t="shared" si="2"/>
        <v>3</v>
      </c>
      <c r="R17" s="77">
        <f t="shared" si="2"/>
        <v>3</v>
      </c>
      <c r="S17" s="77">
        <f t="shared" si="2"/>
        <v>3</v>
      </c>
      <c r="T17" s="1367">
        <f t="shared" si="2"/>
        <v>3</v>
      </c>
      <c r="U17" s="496"/>
    </row>
    <row r="18" spans="1:21" x14ac:dyDescent="0.3">
      <c r="B18" s="83" t="s">
        <v>541</v>
      </c>
      <c r="C18" s="59" t="s">
        <v>51</v>
      </c>
      <c r="D18" s="60"/>
      <c r="E18" s="78">
        <v>1</v>
      </c>
      <c r="F18" s="78">
        <v>1</v>
      </c>
      <c r="G18" s="78">
        <v>1</v>
      </c>
      <c r="H18" s="84">
        <v>1</v>
      </c>
      <c r="I18" s="84">
        <v>1</v>
      </c>
      <c r="J18" s="84">
        <v>1</v>
      </c>
      <c r="K18" s="84">
        <v>1</v>
      </c>
      <c r="L18" s="84">
        <v>1</v>
      </c>
      <c r="M18" s="84">
        <v>1</v>
      </c>
      <c r="N18" s="84">
        <v>1</v>
      </c>
      <c r="O18" s="84">
        <v>1</v>
      </c>
      <c r="P18" s="84">
        <v>1</v>
      </c>
      <c r="Q18" s="84">
        <v>1</v>
      </c>
      <c r="R18" s="84">
        <v>1</v>
      </c>
      <c r="S18" s="84">
        <v>1</v>
      </c>
      <c r="T18" s="89">
        <v>1</v>
      </c>
    </row>
    <row r="19" spans="1:21" x14ac:dyDescent="0.3">
      <c r="B19" s="83" t="s">
        <v>542</v>
      </c>
      <c r="C19" s="59" t="s">
        <v>120</v>
      </c>
      <c r="D19" s="60"/>
      <c r="E19" s="78">
        <v>1</v>
      </c>
      <c r="F19" s="78">
        <v>1</v>
      </c>
      <c r="G19" s="78">
        <v>1</v>
      </c>
      <c r="H19" s="84">
        <v>1</v>
      </c>
      <c r="I19" s="84">
        <v>1</v>
      </c>
      <c r="J19" s="84">
        <v>1</v>
      </c>
      <c r="K19" s="84">
        <v>1</v>
      </c>
      <c r="L19" s="84">
        <v>1</v>
      </c>
      <c r="M19" s="84">
        <v>1</v>
      </c>
      <c r="N19" s="84">
        <v>1</v>
      </c>
      <c r="O19" s="84">
        <v>1</v>
      </c>
      <c r="P19" s="84">
        <v>1</v>
      </c>
      <c r="Q19" s="84">
        <v>1</v>
      </c>
      <c r="R19" s="84">
        <v>1</v>
      </c>
      <c r="S19" s="84">
        <v>1</v>
      </c>
      <c r="T19" s="89">
        <v>1</v>
      </c>
    </row>
    <row r="20" spans="1:21" x14ac:dyDescent="0.3">
      <c r="B20" s="83" t="s">
        <v>543</v>
      </c>
      <c r="C20" s="59" t="s">
        <v>27</v>
      </c>
      <c r="D20" s="60"/>
      <c r="E20" s="78">
        <v>1</v>
      </c>
      <c r="F20" s="78">
        <v>1</v>
      </c>
      <c r="G20" s="78">
        <v>1</v>
      </c>
      <c r="H20" s="84">
        <v>1</v>
      </c>
      <c r="I20" s="84">
        <v>1</v>
      </c>
      <c r="J20" s="84">
        <v>1</v>
      </c>
      <c r="K20" s="84">
        <v>1</v>
      </c>
      <c r="L20" s="84">
        <v>1</v>
      </c>
      <c r="M20" s="84">
        <v>1</v>
      </c>
      <c r="N20" s="84">
        <v>1</v>
      </c>
      <c r="O20" s="84">
        <v>1</v>
      </c>
      <c r="P20" s="84">
        <v>1</v>
      </c>
      <c r="Q20" s="84">
        <v>1</v>
      </c>
      <c r="R20" s="84">
        <v>1</v>
      </c>
      <c r="S20" s="84">
        <v>1</v>
      </c>
      <c r="T20" s="89">
        <v>1</v>
      </c>
    </row>
    <row r="21" spans="1:21" hidden="1" x14ac:dyDescent="0.3">
      <c r="B21" s="83" t="s">
        <v>544</v>
      </c>
      <c r="C21" s="59" t="s">
        <v>533</v>
      </c>
      <c r="D21" s="60"/>
      <c r="E21" s="78"/>
      <c r="F21" s="78"/>
      <c r="G21" s="78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9"/>
    </row>
    <row r="22" spans="1:21" s="258" customFormat="1" hidden="1" x14ac:dyDescent="0.3">
      <c r="A22" s="256"/>
      <c r="B22" s="257">
        <v>4</v>
      </c>
      <c r="C22" s="54" t="s">
        <v>524</v>
      </c>
      <c r="D22" s="55">
        <v>642</v>
      </c>
      <c r="E22" s="77">
        <f>E23</f>
        <v>0</v>
      </c>
      <c r="F22" s="77">
        <f>F23</f>
        <v>0</v>
      </c>
      <c r="G22" s="77">
        <f>G23</f>
        <v>0</v>
      </c>
      <c r="H22" s="77">
        <f t="shared" ref="H22:T22" si="3">H23</f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1369">
        <f t="shared" si="3"/>
        <v>0</v>
      </c>
      <c r="U22" s="496"/>
    </row>
    <row r="23" spans="1:21" hidden="1" x14ac:dyDescent="0.3">
      <c r="B23" s="83" t="s">
        <v>294</v>
      </c>
      <c r="C23" s="59" t="s">
        <v>112</v>
      </c>
      <c r="D23" s="60"/>
      <c r="E23" s="919"/>
      <c r="F23" s="919"/>
      <c r="G23" s="78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9"/>
    </row>
    <row r="24" spans="1:21" s="258" customFormat="1" hidden="1" x14ac:dyDescent="0.3">
      <c r="A24" s="256"/>
      <c r="B24" s="257">
        <v>5</v>
      </c>
      <c r="C24" s="54" t="s">
        <v>514</v>
      </c>
      <c r="D24" s="55">
        <v>642</v>
      </c>
      <c r="E24" s="77">
        <f t="shared" ref="E24:S24" si="4">E25</f>
        <v>0</v>
      </c>
      <c r="F24" s="77">
        <f t="shared" si="4"/>
        <v>0</v>
      </c>
      <c r="G24" s="77">
        <f t="shared" si="4"/>
        <v>0</v>
      </c>
      <c r="H24" s="77">
        <f t="shared" si="4"/>
        <v>0</v>
      </c>
      <c r="I24" s="77">
        <f t="shared" si="4"/>
        <v>0</v>
      </c>
      <c r="J24" s="77">
        <f t="shared" si="4"/>
        <v>0</v>
      </c>
      <c r="K24" s="77">
        <f t="shared" si="4"/>
        <v>0</v>
      </c>
      <c r="L24" s="77">
        <f t="shared" si="4"/>
        <v>0</v>
      </c>
      <c r="M24" s="77">
        <f t="shared" si="4"/>
        <v>0</v>
      </c>
      <c r="N24" s="77">
        <f t="shared" si="4"/>
        <v>0</v>
      </c>
      <c r="O24" s="77">
        <f t="shared" si="4"/>
        <v>0</v>
      </c>
      <c r="P24" s="77">
        <f t="shared" si="4"/>
        <v>0</v>
      </c>
      <c r="Q24" s="77">
        <f t="shared" si="4"/>
        <v>0</v>
      </c>
      <c r="R24" s="77">
        <f t="shared" si="4"/>
        <v>0</v>
      </c>
      <c r="S24" s="77">
        <f t="shared" si="4"/>
        <v>0</v>
      </c>
      <c r="T24" s="1369"/>
      <c r="U24" s="496"/>
    </row>
    <row r="25" spans="1:21" hidden="1" x14ac:dyDescent="0.3">
      <c r="B25" s="83" t="s">
        <v>545</v>
      </c>
      <c r="C25" s="59" t="s">
        <v>534</v>
      </c>
      <c r="D25" s="60"/>
      <c r="E25" s="78"/>
      <c r="F25" s="78"/>
      <c r="G25" s="78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9"/>
    </row>
    <row r="26" spans="1:21" s="258" customFormat="1" hidden="1" x14ac:dyDescent="0.3">
      <c r="A26" s="256"/>
      <c r="B26" s="257">
        <v>6</v>
      </c>
      <c r="C26" s="54" t="s">
        <v>525</v>
      </c>
      <c r="D26" s="55">
        <v>642</v>
      </c>
      <c r="E26" s="77">
        <f>E27</f>
        <v>0</v>
      </c>
      <c r="F26" s="77">
        <f>F27</f>
        <v>0</v>
      </c>
      <c r="G26" s="77">
        <f>G27</f>
        <v>0</v>
      </c>
      <c r="H26" s="77">
        <f>H27</f>
        <v>0</v>
      </c>
      <c r="I26" s="77">
        <f t="shared" ref="I26:S26" si="5">I27</f>
        <v>0</v>
      </c>
      <c r="J26" s="77">
        <f t="shared" si="5"/>
        <v>0</v>
      </c>
      <c r="K26" s="77">
        <f t="shared" si="5"/>
        <v>0</v>
      </c>
      <c r="L26" s="77">
        <f t="shared" si="5"/>
        <v>0</v>
      </c>
      <c r="M26" s="77">
        <f t="shared" si="5"/>
        <v>0</v>
      </c>
      <c r="N26" s="77">
        <f t="shared" si="5"/>
        <v>0</v>
      </c>
      <c r="O26" s="77">
        <f t="shared" si="5"/>
        <v>0</v>
      </c>
      <c r="P26" s="77">
        <f t="shared" si="5"/>
        <v>0</v>
      </c>
      <c r="Q26" s="77">
        <f t="shared" si="5"/>
        <v>0</v>
      </c>
      <c r="R26" s="77">
        <f t="shared" si="5"/>
        <v>0</v>
      </c>
      <c r="S26" s="77">
        <f t="shared" si="5"/>
        <v>0</v>
      </c>
      <c r="T26" s="1369"/>
      <c r="U26" s="496"/>
    </row>
    <row r="27" spans="1:21" hidden="1" x14ac:dyDescent="0.3">
      <c r="B27" s="83" t="s">
        <v>546</v>
      </c>
      <c r="C27" s="59" t="s">
        <v>531</v>
      </c>
      <c r="D27" s="60"/>
      <c r="E27" s="78"/>
      <c r="F27" s="78"/>
      <c r="G27" s="78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9"/>
    </row>
    <row r="28" spans="1:21" s="258" customFormat="1" hidden="1" x14ac:dyDescent="0.3">
      <c r="A28" s="256"/>
      <c r="B28" s="257">
        <v>7</v>
      </c>
      <c r="C28" s="54" t="s">
        <v>526</v>
      </c>
      <c r="D28" s="55">
        <v>642</v>
      </c>
      <c r="E28" s="77">
        <f>SUM(E29:E30)</f>
        <v>0</v>
      </c>
      <c r="F28" s="77">
        <f>SUM(F29:F30)</f>
        <v>0</v>
      </c>
      <c r="G28" s="77">
        <f>SUM(G29:G30)</f>
        <v>0</v>
      </c>
      <c r="H28" s="77">
        <f t="shared" ref="H28:T28" si="6">SUM(H29:H30)</f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1367">
        <f t="shared" si="6"/>
        <v>0</v>
      </c>
      <c r="U28" s="496"/>
    </row>
    <row r="29" spans="1:21" hidden="1" x14ac:dyDescent="0.3">
      <c r="B29" s="83" t="s">
        <v>223</v>
      </c>
      <c r="C29" s="59" t="s">
        <v>532</v>
      </c>
      <c r="D29" s="60"/>
      <c r="E29" s="78"/>
      <c r="F29" s="78"/>
      <c r="G29" s="78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9"/>
    </row>
    <row r="30" spans="1:21" hidden="1" x14ac:dyDescent="0.3">
      <c r="B30" s="273" t="s">
        <v>1923</v>
      </c>
      <c r="C30" s="918" t="s">
        <v>109</v>
      </c>
      <c r="D30" s="919"/>
      <c r="E30" s="897"/>
      <c r="F30" s="897"/>
      <c r="G30" s="897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925"/>
    </row>
    <row r="31" spans="1:21" s="258" customFormat="1" hidden="1" x14ac:dyDescent="0.3">
      <c r="A31" s="256"/>
      <c r="B31" s="257">
        <v>8</v>
      </c>
      <c r="C31" s="54" t="s">
        <v>523</v>
      </c>
      <c r="D31" s="55">
        <v>642</v>
      </c>
      <c r="E31" s="77">
        <f t="shared" ref="E31:S31" si="7">E32</f>
        <v>0</v>
      </c>
      <c r="F31" s="77">
        <f t="shared" si="7"/>
        <v>0</v>
      </c>
      <c r="G31" s="77">
        <f t="shared" si="7"/>
        <v>0</v>
      </c>
      <c r="H31" s="77">
        <f t="shared" si="7"/>
        <v>0</v>
      </c>
      <c r="I31" s="77">
        <f t="shared" si="7"/>
        <v>0</v>
      </c>
      <c r="J31" s="77">
        <f t="shared" si="7"/>
        <v>0</v>
      </c>
      <c r="K31" s="77">
        <f t="shared" si="7"/>
        <v>0</v>
      </c>
      <c r="L31" s="77">
        <f t="shared" si="7"/>
        <v>0</v>
      </c>
      <c r="M31" s="77">
        <f t="shared" si="7"/>
        <v>0</v>
      </c>
      <c r="N31" s="77">
        <f t="shared" si="7"/>
        <v>0</v>
      </c>
      <c r="O31" s="77">
        <f t="shared" si="7"/>
        <v>0</v>
      </c>
      <c r="P31" s="77">
        <f t="shared" si="7"/>
        <v>0</v>
      </c>
      <c r="Q31" s="77">
        <f t="shared" si="7"/>
        <v>0</v>
      </c>
      <c r="R31" s="77">
        <f t="shared" si="7"/>
        <v>0</v>
      </c>
      <c r="S31" s="77">
        <f t="shared" si="7"/>
        <v>0</v>
      </c>
      <c r="T31" s="1369"/>
      <c r="U31" s="496"/>
    </row>
    <row r="32" spans="1:21" hidden="1" x14ac:dyDescent="0.3">
      <c r="B32" s="83" t="s">
        <v>547</v>
      </c>
      <c r="C32" s="59" t="s">
        <v>534</v>
      </c>
      <c r="D32" s="60"/>
      <c r="E32" s="78"/>
      <c r="F32" s="78"/>
      <c r="G32" s="78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9"/>
    </row>
    <row r="33" spans="1:21" s="258" customFormat="1" hidden="1" x14ac:dyDescent="0.3">
      <c r="A33" s="256"/>
      <c r="B33" s="257">
        <v>9</v>
      </c>
      <c r="C33" s="54" t="s">
        <v>515</v>
      </c>
      <c r="D33" s="55">
        <v>642</v>
      </c>
      <c r="E33" s="77">
        <f t="shared" ref="E33:S33" si="8">E34</f>
        <v>0</v>
      </c>
      <c r="F33" s="77">
        <f t="shared" si="8"/>
        <v>0</v>
      </c>
      <c r="G33" s="77">
        <f t="shared" si="8"/>
        <v>0</v>
      </c>
      <c r="H33" s="77">
        <f t="shared" si="8"/>
        <v>0</v>
      </c>
      <c r="I33" s="77">
        <f t="shared" si="8"/>
        <v>0</v>
      </c>
      <c r="J33" s="77">
        <f t="shared" si="8"/>
        <v>0</v>
      </c>
      <c r="K33" s="77">
        <f t="shared" si="8"/>
        <v>0</v>
      </c>
      <c r="L33" s="77">
        <f t="shared" si="8"/>
        <v>0</v>
      </c>
      <c r="M33" s="77">
        <f t="shared" si="8"/>
        <v>0</v>
      </c>
      <c r="N33" s="77">
        <f t="shared" si="8"/>
        <v>0</v>
      </c>
      <c r="O33" s="77">
        <f t="shared" si="8"/>
        <v>0</v>
      </c>
      <c r="P33" s="77">
        <f t="shared" si="8"/>
        <v>0</v>
      </c>
      <c r="Q33" s="77">
        <f t="shared" si="8"/>
        <v>0</v>
      </c>
      <c r="R33" s="77">
        <f t="shared" si="8"/>
        <v>0</v>
      </c>
      <c r="S33" s="77">
        <f t="shared" si="8"/>
        <v>0</v>
      </c>
      <c r="T33" s="1369"/>
      <c r="U33" s="496"/>
    </row>
    <row r="34" spans="1:21" hidden="1" x14ac:dyDescent="0.3">
      <c r="B34" s="83" t="s">
        <v>548</v>
      </c>
      <c r="C34" s="59" t="s">
        <v>534</v>
      </c>
      <c r="D34" s="60"/>
      <c r="E34" s="78"/>
      <c r="F34" s="78"/>
      <c r="G34" s="78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9"/>
    </row>
    <row r="35" spans="1:21" s="258" customFormat="1" hidden="1" x14ac:dyDescent="0.3">
      <c r="A35" s="256"/>
      <c r="B35" s="257">
        <v>10</v>
      </c>
      <c r="C35" s="54" t="s">
        <v>527</v>
      </c>
      <c r="D35" s="55">
        <v>642</v>
      </c>
      <c r="E35" s="77">
        <f t="shared" ref="E35:S35" si="9">E36</f>
        <v>0</v>
      </c>
      <c r="F35" s="77">
        <f t="shared" si="9"/>
        <v>0</v>
      </c>
      <c r="G35" s="77">
        <f t="shared" si="9"/>
        <v>0</v>
      </c>
      <c r="H35" s="77">
        <f t="shared" si="9"/>
        <v>0</v>
      </c>
      <c r="I35" s="77">
        <f t="shared" si="9"/>
        <v>0</v>
      </c>
      <c r="J35" s="77">
        <f t="shared" si="9"/>
        <v>0</v>
      </c>
      <c r="K35" s="77">
        <f t="shared" si="9"/>
        <v>0</v>
      </c>
      <c r="L35" s="77">
        <f t="shared" si="9"/>
        <v>0</v>
      </c>
      <c r="M35" s="77">
        <f t="shared" si="9"/>
        <v>0</v>
      </c>
      <c r="N35" s="77">
        <f t="shared" si="9"/>
        <v>0</v>
      </c>
      <c r="O35" s="77">
        <f t="shared" si="9"/>
        <v>0</v>
      </c>
      <c r="P35" s="77">
        <f t="shared" si="9"/>
        <v>0</v>
      </c>
      <c r="Q35" s="77">
        <f t="shared" si="9"/>
        <v>0</v>
      </c>
      <c r="R35" s="77">
        <f t="shared" si="9"/>
        <v>0</v>
      </c>
      <c r="S35" s="77">
        <f t="shared" si="9"/>
        <v>0</v>
      </c>
      <c r="T35" s="1369"/>
      <c r="U35" s="496"/>
    </row>
    <row r="36" spans="1:21" hidden="1" x14ac:dyDescent="0.3">
      <c r="B36" s="83" t="s">
        <v>549</v>
      </c>
      <c r="C36" s="59" t="s">
        <v>534</v>
      </c>
      <c r="D36" s="60"/>
      <c r="E36" s="78"/>
      <c r="F36" s="78"/>
      <c r="G36" s="78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9"/>
    </row>
    <row r="37" spans="1:21" s="258" customFormat="1" hidden="1" x14ac:dyDescent="0.3">
      <c r="A37" s="256"/>
      <c r="B37" s="257">
        <v>11</v>
      </c>
      <c r="C37" s="54" t="s">
        <v>520</v>
      </c>
      <c r="D37" s="55">
        <v>627</v>
      </c>
      <c r="E37" s="77">
        <f t="shared" ref="E37:S37" si="10">E38</f>
        <v>0</v>
      </c>
      <c r="F37" s="77">
        <f t="shared" si="10"/>
        <v>0</v>
      </c>
      <c r="G37" s="77">
        <f t="shared" si="10"/>
        <v>0</v>
      </c>
      <c r="H37" s="77">
        <f t="shared" si="10"/>
        <v>0</v>
      </c>
      <c r="I37" s="77">
        <f t="shared" si="10"/>
        <v>0</v>
      </c>
      <c r="J37" s="77">
        <f t="shared" si="10"/>
        <v>0</v>
      </c>
      <c r="K37" s="77">
        <f t="shared" si="10"/>
        <v>0</v>
      </c>
      <c r="L37" s="77">
        <f t="shared" si="10"/>
        <v>0</v>
      </c>
      <c r="M37" s="77">
        <f t="shared" si="10"/>
        <v>0</v>
      </c>
      <c r="N37" s="77">
        <f t="shared" si="10"/>
        <v>0</v>
      </c>
      <c r="O37" s="77">
        <f t="shared" si="10"/>
        <v>0</v>
      </c>
      <c r="P37" s="77">
        <f t="shared" si="10"/>
        <v>0</v>
      </c>
      <c r="Q37" s="77">
        <f t="shared" si="10"/>
        <v>0</v>
      </c>
      <c r="R37" s="77">
        <f t="shared" si="10"/>
        <v>0</v>
      </c>
      <c r="S37" s="77">
        <f t="shared" si="10"/>
        <v>0</v>
      </c>
      <c r="T37" s="1369"/>
      <c r="U37" s="496"/>
    </row>
    <row r="38" spans="1:21" hidden="1" x14ac:dyDescent="0.3">
      <c r="B38" s="83" t="s">
        <v>550</v>
      </c>
      <c r="C38" s="59" t="s">
        <v>534</v>
      </c>
      <c r="D38" s="60"/>
      <c r="E38" s="919"/>
      <c r="F38" s="78"/>
      <c r="G38" s="78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9"/>
    </row>
    <row r="39" spans="1:21" s="258" customFormat="1" x14ac:dyDescent="0.3">
      <c r="A39" s="256"/>
      <c r="B39" s="257">
        <v>4</v>
      </c>
      <c r="C39" s="54" t="s">
        <v>519</v>
      </c>
      <c r="D39" s="55">
        <v>627</v>
      </c>
      <c r="E39" s="77">
        <f>SUM(E40:E42)</f>
        <v>1</v>
      </c>
      <c r="F39" s="77">
        <f>SUM(F40:F42)</f>
        <v>1</v>
      </c>
      <c r="G39" s="77">
        <f>SUM(G40:G42)</f>
        <v>2</v>
      </c>
      <c r="H39" s="77">
        <f t="shared" ref="H39:T39" si="11">SUM(H40:H42)</f>
        <v>3</v>
      </c>
      <c r="I39" s="77">
        <f t="shared" si="11"/>
        <v>3</v>
      </c>
      <c r="J39" s="77">
        <f t="shared" si="11"/>
        <v>3</v>
      </c>
      <c r="K39" s="77">
        <f t="shared" si="11"/>
        <v>3</v>
      </c>
      <c r="L39" s="77">
        <f t="shared" si="11"/>
        <v>3</v>
      </c>
      <c r="M39" s="77">
        <f t="shared" si="11"/>
        <v>3</v>
      </c>
      <c r="N39" s="77">
        <f t="shared" si="11"/>
        <v>3</v>
      </c>
      <c r="O39" s="77">
        <f t="shared" si="11"/>
        <v>3</v>
      </c>
      <c r="P39" s="77">
        <f t="shared" si="11"/>
        <v>3</v>
      </c>
      <c r="Q39" s="77">
        <f t="shared" si="11"/>
        <v>3</v>
      </c>
      <c r="R39" s="77">
        <f t="shared" si="11"/>
        <v>3</v>
      </c>
      <c r="S39" s="77">
        <f t="shared" si="11"/>
        <v>3</v>
      </c>
      <c r="T39" s="1367">
        <f t="shared" si="11"/>
        <v>3</v>
      </c>
      <c r="U39" s="496"/>
    </row>
    <row r="40" spans="1:21" s="258" customFormat="1" x14ac:dyDescent="0.3">
      <c r="A40" s="256"/>
      <c r="B40" s="83">
        <v>4.0999999999999996</v>
      </c>
      <c r="C40" s="59" t="s">
        <v>1924</v>
      </c>
      <c r="D40" s="60"/>
      <c r="E40" s="919"/>
      <c r="F40" s="919"/>
      <c r="G40" s="78">
        <v>1</v>
      </c>
      <c r="H40" s="78">
        <v>1</v>
      </c>
      <c r="I40" s="78">
        <v>1</v>
      </c>
      <c r="J40" s="78">
        <v>1</v>
      </c>
      <c r="K40" s="78">
        <v>1</v>
      </c>
      <c r="L40" s="78">
        <v>1</v>
      </c>
      <c r="M40" s="78">
        <v>1</v>
      </c>
      <c r="N40" s="78">
        <v>1</v>
      </c>
      <c r="O40" s="78">
        <v>1</v>
      </c>
      <c r="P40" s="78">
        <v>1</v>
      </c>
      <c r="Q40" s="78">
        <v>1</v>
      </c>
      <c r="R40" s="78">
        <v>1</v>
      </c>
      <c r="S40" s="78">
        <v>1</v>
      </c>
      <c r="T40" s="1370">
        <v>1</v>
      </c>
      <c r="U40" s="496"/>
    </row>
    <row r="41" spans="1:21" x14ac:dyDescent="0.3">
      <c r="B41" s="83">
        <v>4.2</v>
      </c>
      <c r="C41" s="59" t="s">
        <v>121</v>
      </c>
      <c r="D41" s="60"/>
      <c r="E41" s="78">
        <v>1</v>
      </c>
      <c r="F41" s="78">
        <v>1</v>
      </c>
      <c r="G41" s="78">
        <v>1</v>
      </c>
      <c r="H41" s="84">
        <v>1</v>
      </c>
      <c r="I41" s="84">
        <v>1</v>
      </c>
      <c r="J41" s="84">
        <v>1</v>
      </c>
      <c r="K41" s="84">
        <v>1</v>
      </c>
      <c r="L41" s="84">
        <v>1</v>
      </c>
      <c r="M41" s="84">
        <v>1</v>
      </c>
      <c r="N41" s="84">
        <v>1</v>
      </c>
      <c r="O41" s="84">
        <v>1</v>
      </c>
      <c r="P41" s="84">
        <v>1</v>
      </c>
      <c r="Q41" s="84">
        <v>1</v>
      </c>
      <c r="R41" s="84">
        <v>1</v>
      </c>
      <c r="S41" s="84">
        <v>1</v>
      </c>
      <c r="T41" s="89">
        <f>IFERROR(AVERAGEA(H41:S41),0)</f>
        <v>1</v>
      </c>
    </row>
    <row r="42" spans="1:21" x14ac:dyDescent="0.3">
      <c r="B42" s="1273">
        <v>4.3</v>
      </c>
      <c r="C42" s="1274" t="s">
        <v>2237</v>
      </c>
      <c r="D42" s="1275"/>
      <c r="E42" s="1320"/>
      <c r="F42" s="1320"/>
      <c r="G42" s="1276"/>
      <c r="H42" s="1277">
        <v>1</v>
      </c>
      <c r="I42" s="1277">
        <v>1</v>
      </c>
      <c r="J42" s="1277">
        <v>1</v>
      </c>
      <c r="K42" s="1277">
        <v>1</v>
      </c>
      <c r="L42" s="1277">
        <v>1</v>
      </c>
      <c r="M42" s="1277">
        <v>1</v>
      </c>
      <c r="N42" s="1277">
        <v>1</v>
      </c>
      <c r="O42" s="1277">
        <v>1</v>
      </c>
      <c r="P42" s="1277">
        <v>1</v>
      </c>
      <c r="Q42" s="1277">
        <v>1</v>
      </c>
      <c r="R42" s="1277">
        <v>1</v>
      </c>
      <c r="S42" s="1277">
        <v>1</v>
      </c>
      <c r="T42" s="1368">
        <f>IFERROR(AVERAGEA(H42:S42),0)</f>
        <v>1</v>
      </c>
    </row>
    <row r="43" spans="1:21" s="258" customFormat="1" x14ac:dyDescent="0.3">
      <c r="A43" s="256"/>
      <c r="B43" s="257">
        <v>5</v>
      </c>
      <c r="C43" s="54" t="s">
        <v>518</v>
      </c>
      <c r="D43" s="55">
        <v>627</v>
      </c>
      <c r="E43" s="77">
        <f t="shared" ref="E43:T43" si="12">SUM(E44:E50)</f>
        <v>0</v>
      </c>
      <c r="F43" s="77">
        <f t="shared" si="12"/>
        <v>0</v>
      </c>
      <c r="G43" s="77">
        <f t="shared" si="12"/>
        <v>3</v>
      </c>
      <c r="H43" s="77">
        <f t="shared" si="12"/>
        <v>3</v>
      </c>
      <c r="I43" s="77">
        <f t="shared" si="12"/>
        <v>3</v>
      </c>
      <c r="J43" s="77">
        <f t="shared" si="12"/>
        <v>3</v>
      </c>
      <c r="K43" s="77">
        <f t="shared" si="12"/>
        <v>3</v>
      </c>
      <c r="L43" s="77">
        <f t="shared" si="12"/>
        <v>3</v>
      </c>
      <c r="M43" s="77">
        <f t="shared" si="12"/>
        <v>3</v>
      </c>
      <c r="N43" s="77">
        <f t="shared" si="12"/>
        <v>3</v>
      </c>
      <c r="O43" s="77">
        <f t="shared" si="12"/>
        <v>3</v>
      </c>
      <c r="P43" s="77">
        <f t="shared" si="12"/>
        <v>3</v>
      </c>
      <c r="Q43" s="77">
        <f t="shared" si="12"/>
        <v>3</v>
      </c>
      <c r="R43" s="77">
        <f t="shared" si="12"/>
        <v>3</v>
      </c>
      <c r="S43" s="77">
        <f t="shared" si="12"/>
        <v>3</v>
      </c>
      <c r="T43" s="1369">
        <f t="shared" si="12"/>
        <v>3</v>
      </c>
      <c r="U43" s="496"/>
    </row>
    <row r="44" spans="1:21" hidden="1" x14ac:dyDescent="0.3">
      <c r="B44" s="83" t="s">
        <v>551</v>
      </c>
      <c r="C44" s="59" t="s">
        <v>1925</v>
      </c>
      <c r="D44" s="60"/>
      <c r="E44" s="919"/>
      <c r="F44" s="919"/>
      <c r="G44" s="78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9">
        <f>IFERROR(AVERAGEA(H44:S44),0)</f>
        <v>0</v>
      </c>
    </row>
    <row r="45" spans="1:21" hidden="1" x14ac:dyDescent="0.3">
      <c r="B45" s="83" t="s">
        <v>552</v>
      </c>
      <c r="C45" s="59" t="s">
        <v>1926</v>
      </c>
      <c r="D45" s="60"/>
      <c r="E45" s="919"/>
      <c r="F45" s="919"/>
      <c r="G45" s="78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9">
        <f t="shared" ref="T45:T50" si="13">IFERROR(AVERAGEA(H45:S45),0)</f>
        <v>0</v>
      </c>
    </row>
    <row r="46" spans="1:21" hidden="1" x14ac:dyDescent="0.3">
      <c r="B46" s="83" t="s">
        <v>553</v>
      </c>
      <c r="C46" s="59" t="s">
        <v>1927</v>
      </c>
      <c r="D46" s="60"/>
      <c r="E46" s="919"/>
      <c r="F46" s="919"/>
      <c r="G46" s="78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9">
        <f t="shared" si="13"/>
        <v>0</v>
      </c>
    </row>
    <row r="47" spans="1:21" x14ac:dyDescent="0.3">
      <c r="B47" s="83">
        <v>5.0999999999999996</v>
      </c>
      <c r="C47" s="59" t="s">
        <v>1928</v>
      </c>
      <c r="D47" s="60"/>
      <c r="E47" s="919"/>
      <c r="F47" s="919"/>
      <c r="G47" s="78">
        <v>2</v>
      </c>
      <c r="H47" s="84">
        <v>1</v>
      </c>
      <c r="I47" s="84">
        <v>1</v>
      </c>
      <c r="J47" s="84">
        <v>1</v>
      </c>
      <c r="K47" s="84">
        <v>1</v>
      </c>
      <c r="L47" s="84">
        <v>1</v>
      </c>
      <c r="M47" s="84">
        <v>1</v>
      </c>
      <c r="N47" s="84">
        <v>1</v>
      </c>
      <c r="O47" s="84">
        <v>1</v>
      </c>
      <c r="P47" s="84">
        <v>1</v>
      </c>
      <c r="Q47" s="84">
        <v>1</v>
      </c>
      <c r="R47" s="84">
        <v>1</v>
      </c>
      <c r="S47" s="84">
        <v>1</v>
      </c>
      <c r="T47" s="89">
        <f t="shared" si="13"/>
        <v>1</v>
      </c>
    </row>
    <row r="48" spans="1:21" x14ac:dyDescent="0.3">
      <c r="B48" s="83">
        <v>5.2</v>
      </c>
      <c r="C48" s="59" t="s">
        <v>1929</v>
      </c>
      <c r="D48" s="60"/>
      <c r="E48" s="919"/>
      <c r="F48" s="919"/>
      <c r="G48" s="78">
        <v>1</v>
      </c>
      <c r="H48" s="84">
        <v>2</v>
      </c>
      <c r="I48" s="84">
        <v>2</v>
      </c>
      <c r="J48" s="84">
        <v>2</v>
      </c>
      <c r="K48" s="84">
        <v>2</v>
      </c>
      <c r="L48" s="84">
        <v>2</v>
      </c>
      <c r="M48" s="84">
        <v>2</v>
      </c>
      <c r="N48" s="84">
        <v>2</v>
      </c>
      <c r="O48" s="84">
        <v>2</v>
      </c>
      <c r="P48" s="84">
        <v>2</v>
      </c>
      <c r="Q48" s="84">
        <v>2</v>
      </c>
      <c r="R48" s="84">
        <v>2</v>
      </c>
      <c r="S48" s="84">
        <v>2</v>
      </c>
      <c r="T48" s="89">
        <f t="shared" si="13"/>
        <v>2</v>
      </c>
    </row>
    <row r="49" spans="1:22" hidden="1" x14ac:dyDescent="0.3">
      <c r="B49" s="83" t="s">
        <v>554</v>
      </c>
      <c r="C49" s="59" t="s">
        <v>1930</v>
      </c>
      <c r="D49" s="60"/>
      <c r="E49" s="919"/>
      <c r="F49" s="919"/>
      <c r="G49" s="78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9">
        <f t="shared" si="13"/>
        <v>0</v>
      </c>
    </row>
    <row r="50" spans="1:22" hidden="1" x14ac:dyDescent="0.3">
      <c r="B50" s="83" t="s">
        <v>555</v>
      </c>
      <c r="C50" s="59" t="s">
        <v>1931</v>
      </c>
      <c r="D50" s="60"/>
      <c r="E50" s="919"/>
      <c r="F50" s="919"/>
      <c r="G50" s="78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9">
        <f t="shared" si="13"/>
        <v>0</v>
      </c>
    </row>
    <row r="51" spans="1:22" s="258" customFormat="1" x14ac:dyDescent="0.3">
      <c r="A51" s="256"/>
      <c r="B51" s="257">
        <v>6</v>
      </c>
      <c r="C51" s="54" t="s">
        <v>516</v>
      </c>
      <c r="D51" s="55"/>
      <c r="E51" s="77">
        <f t="shared" ref="E51:T51" si="14">E52+E57+E64</f>
        <v>51</v>
      </c>
      <c r="F51" s="77">
        <f t="shared" si="14"/>
        <v>42</v>
      </c>
      <c r="G51" s="77">
        <f t="shared" si="14"/>
        <v>40</v>
      </c>
      <c r="H51" s="77">
        <f t="shared" si="14"/>
        <v>41</v>
      </c>
      <c r="I51" s="77">
        <f t="shared" si="14"/>
        <v>41</v>
      </c>
      <c r="J51" s="77">
        <f t="shared" si="14"/>
        <v>41</v>
      </c>
      <c r="K51" s="77">
        <f t="shared" si="14"/>
        <v>41</v>
      </c>
      <c r="L51" s="77">
        <f t="shared" si="14"/>
        <v>41</v>
      </c>
      <c r="M51" s="77">
        <f t="shared" si="14"/>
        <v>41</v>
      </c>
      <c r="N51" s="77">
        <f t="shared" si="14"/>
        <v>41</v>
      </c>
      <c r="O51" s="77">
        <f t="shared" si="14"/>
        <v>41</v>
      </c>
      <c r="P51" s="77">
        <f t="shared" si="14"/>
        <v>41</v>
      </c>
      <c r="Q51" s="77">
        <f t="shared" si="14"/>
        <v>41</v>
      </c>
      <c r="R51" s="77">
        <f t="shared" si="14"/>
        <v>41</v>
      </c>
      <c r="S51" s="77">
        <f t="shared" si="14"/>
        <v>41</v>
      </c>
      <c r="T51" s="1367">
        <f t="shared" si="14"/>
        <v>39</v>
      </c>
      <c r="U51" s="496"/>
    </row>
    <row r="52" spans="1:22" s="258" customFormat="1" x14ac:dyDescent="0.3">
      <c r="A52" s="37"/>
      <c r="B52" s="260">
        <v>6.1</v>
      </c>
      <c r="C52" s="375" t="s">
        <v>113</v>
      </c>
      <c r="D52" s="207" t="s">
        <v>150</v>
      </c>
      <c r="E52" s="208">
        <f>SUM(E53:E56)</f>
        <v>1</v>
      </c>
      <c r="F52" s="208">
        <f>SUM(F53:F56)</f>
        <v>1</v>
      </c>
      <c r="G52" s="208">
        <f>SUM(G53:G56)</f>
        <v>2</v>
      </c>
      <c r="H52" s="208">
        <f t="shared" ref="H52:T52" si="15">SUM(H53:H56)</f>
        <v>2</v>
      </c>
      <c r="I52" s="208">
        <f t="shared" si="15"/>
        <v>2</v>
      </c>
      <c r="J52" s="208">
        <f t="shared" si="15"/>
        <v>2</v>
      </c>
      <c r="K52" s="208">
        <f t="shared" si="15"/>
        <v>2</v>
      </c>
      <c r="L52" s="208">
        <f t="shared" si="15"/>
        <v>2</v>
      </c>
      <c r="M52" s="208">
        <f t="shared" si="15"/>
        <v>2</v>
      </c>
      <c r="N52" s="208">
        <f t="shared" si="15"/>
        <v>2</v>
      </c>
      <c r="O52" s="208">
        <f t="shared" si="15"/>
        <v>2</v>
      </c>
      <c r="P52" s="208">
        <f t="shared" si="15"/>
        <v>2</v>
      </c>
      <c r="Q52" s="208">
        <f t="shared" si="15"/>
        <v>2</v>
      </c>
      <c r="R52" s="208">
        <f t="shared" si="15"/>
        <v>2</v>
      </c>
      <c r="S52" s="208">
        <f t="shared" si="15"/>
        <v>2</v>
      </c>
      <c r="T52" s="1371">
        <f t="shared" si="15"/>
        <v>2</v>
      </c>
      <c r="U52" s="496"/>
    </row>
    <row r="53" spans="1:22" x14ac:dyDescent="0.3">
      <c r="B53" s="89" t="s">
        <v>2250</v>
      </c>
      <c r="C53" s="68" t="s">
        <v>2259</v>
      </c>
      <c r="D53" s="70"/>
      <c r="E53" s="78"/>
      <c r="F53" s="78"/>
      <c r="G53" s="78">
        <v>1</v>
      </c>
      <c r="H53" s="84">
        <v>1</v>
      </c>
      <c r="I53" s="84">
        <v>1</v>
      </c>
      <c r="J53" s="84">
        <v>1</v>
      </c>
      <c r="K53" s="84">
        <v>1</v>
      </c>
      <c r="L53" s="84">
        <v>1</v>
      </c>
      <c r="M53" s="84">
        <v>1</v>
      </c>
      <c r="N53" s="84">
        <v>1</v>
      </c>
      <c r="O53" s="84">
        <v>1</v>
      </c>
      <c r="P53" s="84">
        <v>1</v>
      </c>
      <c r="Q53" s="84">
        <v>1</v>
      </c>
      <c r="R53" s="84">
        <v>1</v>
      </c>
      <c r="S53" s="84">
        <v>1</v>
      </c>
      <c r="T53" s="89">
        <f t="shared" ref="T53:T55" si="16">IFERROR(AVERAGEA(H53:S53),0)</f>
        <v>1</v>
      </c>
    </row>
    <row r="54" spans="1:22" hidden="1" x14ac:dyDescent="0.3">
      <c r="B54" s="89" t="s">
        <v>556</v>
      </c>
      <c r="C54" s="68" t="s">
        <v>1932</v>
      </c>
      <c r="D54" s="70"/>
      <c r="E54" s="78"/>
      <c r="F54" s="78"/>
      <c r="G54" s="78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9">
        <f t="shared" si="16"/>
        <v>0</v>
      </c>
    </row>
    <row r="55" spans="1:22" x14ac:dyDescent="0.3">
      <c r="B55" s="89" t="s">
        <v>2251</v>
      </c>
      <c r="C55" s="68" t="s">
        <v>1933</v>
      </c>
      <c r="D55" s="70"/>
      <c r="E55" s="78">
        <v>1</v>
      </c>
      <c r="F55" s="78">
        <v>1</v>
      </c>
      <c r="G55" s="78">
        <v>1</v>
      </c>
      <c r="H55" s="84">
        <v>1</v>
      </c>
      <c r="I55" s="84">
        <v>1</v>
      </c>
      <c r="J55" s="84">
        <v>1</v>
      </c>
      <c r="K55" s="84">
        <v>1</v>
      </c>
      <c r="L55" s="84">
        <v>1</v>
      </c>
      <c r="M55" s="84">
        <v>1</v>
      </c>
      <c r="N55" s="84">
        <v>1</v>
      </c>
      <c r="O55" s="84">
        <v>1</v>
      </c>
      <c r="P55" s="84">
        <v>1</v>
      </c>
      <c r="Q55" s="84">
        <v>1</v>
      </c>
      <c r="R55" s="84">
        <v>1</v>
      </c>
      <c r="S55" s="84">
        <v>1</v>
      </c>
      <c r="T55" s="89">
        <f t="shared" si="16"/>
        <v>1</v>
      </c>
    </row>
    <row r="56" spans="1:22" ht="14.15" hidden="1" customHeight="1" x14ac:dyDescent="0.3">
      <c r="B56" s="89" t="s">
        <v>557</v>
      </c>
      <c r="C56" s="68" t="s">
        <v>1934</v>
      </c>
      <c r="D56" s="70"/>
      <c r="E56" s="78"/>
      <c r="F56" s="78"/>
      <c r="G56" s="78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9"/>
      <c r="V56" s="253" t="s">
        <v>1838</v>
      </c>
    </row>
    <row r="57" spans="1:22" s="258" customFormat="1" x14ac:dyDescent="0.3">
      <c r="A57" s="37"/>
      <c r="B57" s="260">
        <v>6.2</v>
      </c>
      <c r="C57" s="376" t="s">
        <v>607</v>
      </c>
      <c r="D57" s="207" t="s">
        <v>325</v>
      </c>
      <c r="E57" s="208">
        <f t="shared" ref="E57:T57" si="17">SUM(E58:E63)</f>
        <v>50</v>
      </c>
      <c r="F57" s="208">
        <f t="shared" si="17"/>
        <v>41</v>
      </c>
      <c r="G57" s="208">
        <f>SUM(G58:G63)</f>
        <v>38</v>
      </c>
      <c r="H57" s="208">
        <f>SUM(H58:H63)</f>
        <v>39</v>
      </c>
      <c r="I57" s="208">
        <f t="shared" si="17"/>
        <v>39</v>
      </c>
      <c r="J57" s="208">
        <f t="shared" si="17"/>
        <v>39</v>
      </c>
      <c r="K57" s="208">
        <f t="shared" si="17"/>
        <v>39</v>
      </c>
      <c r="L57" s="208">
        <f t="shared" si="17"/>
        <v>39</v>
      </c>
      <c r="M57" s="208">
        <f t="shared" si="17"/>
        <v>39</v>
      </c>
      <c r="N57" s="208">
        <f t="shared" si="17"/>
        <v>39</v>
      </c>
      <c r="O57" s="208">
        <f t="shared" si="17"/>
        <v>39</v>
      </c>
      <c r="P57" s="208">
        <f t="shared" si="17"/>
        <v>39</v>
      </c>
      <c r="Q57" s="208">
        <f t="shared" si="17"/>
        <v>39</v>
      </c>
      <c r="R57" s="208">
        <f t="shared" si="17"/>
        <v>39</v>
      </c>
      <c r="S57" s="208">
        <f t="shared" si="17"/>
        <v>39</v>
      </c>
      <c r="T57" s="1371">
        <f t="shared" si="17"/>
        <v>37</v>
      </c>
      <c r="U57" s="496"/>
      <c r="V57" s="376" t="s">
        <v>607</v>
      </c>
    </row>
    <row r="58" spans="1:22" s="36" customFormat="1" x14ac:dyDescent="0.3">
      <c r="B58" s="1376" t="s">
        <v>2252</v>
      </c>
      <c r="C58" s="926" t="s">
        <v>1935</v>
      </c>
      <c r="D58" s="70"/>
      <c r="E58" s="931">
        <v>37</v>
      </c>
      <c r="F58" s="931">
        <v>26</v>
      </c>
      <c r="G58" s="931">
        <v>12</v>
      </c>
      <c r="H58" s="78">
        <f>27-H59-H60-H62-H70-H61</f>
        <v>14</v>
      </c>
      <c r="I58" s="78">
        <f t="shared" ref="I58:S58" si="18">27-I59-I60-I62-I70-I61</f>
        <v>14</v>
      </c>
      <c r="J58" s="78">
        <f t="shared" si="18"/>
        <v>14</v>
      </c>
      <c r="K58" s="78">
        <f t="shared" si="18"/>
        <v>14</v>
      </c>
      <c r="L58" s="78">
        <f t="shared" si="18"/>
        <v>14</v>
      </c>
      <c r="M58" s="78">
        <f t="shared" si="18"/>
        <v>14</v>
      </c>
      <c r="N58" s="78">
        <f t="shared" si="18"/>
        <v>14</v>
      </c>
      <c r="O58" s="78">
        <f t="shared" si="18"/>
        <v>14</v>
      </c>
      <c r="P58" s="78">
        <f t="shared" si="18"/>
        <v>14</v>
      </c>
      <c r="Q58" s="78">
        <f t="shared" si="18"/>
        <v>14</v>
      </c>
      <c r="R58" s="78">
        <f t="shared" si="18"/>
        <v>14</v>
      </c>
      <c r="S58" s="78">
        <f t="shared" si="18"/>
        <v>14</v>
      </c>
      <c r="T58" s="1370">
        <f t="shared" ref="T58" si="19">25-T59-T60-T62-T70-T61</f>
        <v>12</v>
      </c>
      <c r="U58" s="496"/>
      <c r="V58" s="721" t="s">
        <v>1837</v>
      </c>
    </row>
    <row r="59" spans="1:22" s="36" customFormat="1" x14ac:dyDescent="0.3">
      <c r="B59" s="1376" t="s">
        <v>2253</v>
      </c>
      <c r="C59" s="926" t="s">
        <v>1936</v>
      </c>
      <c r="D59" s="70"/>
      <c r="E59" s="931">
        <v>3</v>
      </c>
      <c r="F59" s="931">
        <v>3</v>
      </c>
      <c r="G59" s="931">
        <v>3</v>
      </c>
      <c r="H59" s="78">
        <v>3</v>
      </c>
      <c r="I59" s="78">
        <v>3</v>
      </c>
      <c r="J59" s="78">
        <v>3</v>
      </c>
      <c r="K59" s="78">
        <v>3</v>
      </c>
      <c r="L59" s="78">
        <v>3</v>
      </c>
      <c r="M59" s="78">
        <v>3</v>
      </c>
      <c r="N59" s="78">
        <v>3</v>
      </c>
      <c r="O59" s="78">
        <v>3</v>
      </c>
      <c r="P59" s="78">
        <v>3</v>
      </c>
      <c r="Q59" s="78">
        <v>3</v>
      </c>
      <c r="R59" s="78">
        <v>3</v>
      </c>
      <c r="S59" s="78">
        <v>3</v>
      </c>
      <c r="T59" s="1370">
        <v>3</v>
      </c>
      <c r="U59" s="496"/>
      <c r="V59" s="722" t="s">
        <v>1826</v>
      </c>
    </row>
    <row r="60" spans="1:22" s="36" customFormat="1" x14ac:dyDescent="0.3">
      <c r="B60" s="1376" t="s">
        <v>2254</v>
      </c>
      <c r="C60" s="926" t="s">
        <v>1937</v>
      </c>
      <c r="D60" s="927"/>
      <c r="E60" s="932">
        <v>2</v>
      </c>
      <c r="F60" s="932">
        <v>2</v>
      </c>
      <c r="G60" s="932">
        <v>2</v>
      </c>
      <c r="H60" s="897">
        <v>2</v>
      </c>
      <c r="I60" s="897">
        <v>2</v>
      </c>
      <c r="J60" s="897">
        <v>2</v>
      </c>
      <c r="K60" s="897">
        <v>2</v>
      </c>
      <c r="L60" s="897">
        <v>2</v>
      </c>
      <c r="M60" s="897">
        <v>2</v>
      </c>
      <c r="N60" s="897">
        <v>2</v>
      </c>
      <c r="O60" s="897">
        <v>2</v>
      </c>
      <c r="P60" s="897">
        <v>2</v>
      </c>
      <c r="Q60" s="897">
        <v>2</v>
      </c>
      <c r="R60" s="897">
        <v>2</v>
      </c>
      <c r="S60" s="897">
        <v>2</v>
      </c>
      <c r="T60" s="1372">
        <v>2</v>
      </c>
      <c r="U60" s="496"/>
      <c r="V60" s="723" t="s">
        <v>1827</v>
      </c>
    </row>
    <row r="61" spans="1:22" s="36" customFormat="1" x14ac:dyDescent="0.3">
      <c r="B61" s="1376" t="s">
        <v>2255</v>
      </c>
      <c r="C61" s="926" t="s">
        <v>1832</v>
      </c>
      <c r="D61" s="927"/>
      <c r="E61" s="931">
        <v>3</v>
      </c>
      <c r="F61" s="931">
        <v>3</v>
      </c>
      <c r="G61" s="931">
        <v>3</v>
      </c>
      <c r="H61" s="931">
        <v>3</v>
      </c>
      <c r="I61" s="931">
        <v>3</v>
      </c>
      <c r="J61" s="931">
        <v>3</v>
      </c>
      <c r="K61" s="931">
        <v>3</v>
      </c>
      <c r="L61" s="931">
        <v>3</v>
      </c>
      <c r="M61" s="931">
        <v>3</v>
      </c>
      <c r="N61" s="931">
        <v>3</v>
      </c>
      <c r="O61" s="931">
        <v>3</v>
      </c>
      <c r="P61" s="931">
        <v>3</v>
      </c>
      <c r="Q61" s="931">
        <v>3</v>
      </c>
      <c r="R61" s="931">
        <v>3</v>
      </c>
      <c r="S61" s="931">
        <v>3</v>
      </c>
      <c r="T61" s="931">
        <v>3</v>
      </c>
      <c r="U61" s="496"/>
      <c r="V61" s="723" t="s">
        <v>1828</v>
      </c>
    </row>
    <row r="62" spans="1:22" x14ac:dyDescent="0.3">
      <c r="B62" s="1376" t="s">
        <v>2256</v>
      </c>
      <c r="C62" s="68" t="s">
        <v>510</v>
      </c>
      <c r="D62" s="70"/>
      <c r="E62" s="78">
        <v>5</v>
      </c>
      <c r="F62" s="78">
        <v>5</v>
      </c>
      <c r="G62" s="78">
        <v>5</v>
      </c>
      <c r="H62" s="84">
        <v>5</v>
      </c>
      <c r="I62" s="84">
        <v>5</v>
      </c>
      <c r="J62" s="84">
        <v>5</v>
      </c>
      <c r="K62" s="84">
        <v>5</v>
      </c>
      <c r="L62" s="84">
        <v>5</v>
      </c>
      <c r="M62" s="84">
        <v>5</v>
      </c>
      <c r="N62" s="84">
        <v>5</v>
      </c>
      <c r="O62" s="84">
        <v>5</v>
      </c>
      <c r="P62" s="84">
        <v>5</v>
      </c>
      <c r="Q62" s="84">
        <v>5</v>
      </c>
      <c r="R62" s="84">
        <v>5</v>
      </c>
      <c r="S62" s="84">
        <v>5</v>
      </c>
      <c r="T62" s="89">
        <f>IFERROR(AVERAGEA(H62:S62),0)</f>
        <v>5</v>
      </c>
      <c r="V62" s="728" t="s">
        <v>1836</v>
      </c>
    </row>
    <row r="63" spans="1:22" x14ac:dyDescent="0.3">
      <c r="B63" s="1377" t="s">
        <v>2257</v>
      </c>
      <c r="C63" s="924" t="s">
        <v>109</v>
      </c>
      <c r="D63" s="928"/>
      <c r="E63" s="928"/>
      <c r="F63" s="929">
        <v>2</v>
      </c>
      <c r="G63" s="1365">
        <v>13</v>
      </c>
      <c r="H63" s="930">
        <v>12</v>
      </c>
      <c r="I63" s="930">
        <v>12</v>
      </c>
      <c r="J63" s="930">
        <v>12</v>
      </c>
      <c r="K63" s="930">
        <v>12</v>
      </c>
      <c r="L63" s="930">
        <v>12</v>
      </c>
      <c r="M63" s="930">
        <v>12</v>
      </c>
      <c r="N63" s="930">
        <v>12</v>
      </c>
      <c r="O63" s="930">
        <v>12</v>
      </c>
      <c r="P63" s="930">
        <v>12</v>
      </c>
      <c r="Q63" s="930">
        <v>12</v>
      </c>
      <c r="R63" s="930">
        <v>12</v>
      </c>
      <c r="S63" s="930">
        <v>12</v>
      </c>
      <c r="T63" s="930">
        <v>12</v>
      </c>
      <c r="V63" s="723" t="s">
        <v>1829</v>
      </c>
    </row>
    <row r="64" spans="1:22" s="258" customFormat="1" hidden="1" x14ac:dyDescent="0.3">
      <c r="A64" s="37"/>
      <c r="B64" s="260" t="s">
        <v>558</v>
      </c>
      <c r="C64" s="375" t="s">
        <v>330</v>
      </c>
      <c r="D64" s="207" t="s">
        <v>325</v>
      </c>
      <c r="E64" s="1227"/>
      <c r="F64" s="1227"/>
      <c r="G64" s="208">
        <f>G65+G66</f>
        <v>0</v>
      </c>
      <c r="H64" s="208">
        <f t="shared" ref="H64:S64" si="20">H65+H66</f>
        <v>0</v>
      </c>
      <c r="I64" s="208">
        <f t="shared" si="20"/>
        <v>0</v>
      </c>
      <c r="J64" s="208">
        <f t="shared" si="20"/>
        <v>0</v>
      </c>
      <c r="K64" s="208">
        <f t="shared" si="20"/>
        <v>0</v>
      </c>
      <c r="L64" s="208">
        <f t="shared" si="20"/>
        <v>0</v>
      </c>
      <c r="M64" s="208">
        <f t="shared" si="20"/>
        <v>0</v>
      </c>
      <c r="N64" s="208">
        <f t="shared" si="20"/>
        <v>0</v>
      </c>
      <c r="O64" s="208">
        <f t="shared" si="20"/>
        <v>0</v>
      </c>
      <c r="P64" s="208">
        <f t="shared" si="20"/>
        <v>0</v>
      </c>
      <c r="Q64" s="208">
        <f t="shared" si="20"/>
        <v>0</v>
      </c>
      <c r="R64" s="208">
        <f t="shared" si="20"/>
        <v>0</v>
      </c>
      <c r="S64" s="208">
        <f t="shared" si="20"/>
        <v>0</v>
      </c>
      <c r="T64" s="1373"/>
      <c r="U64" s="496"/>
      <c r="V64" s="724" t="s">
        <v>1830</v>
      </c>
    </row>
    <row r="65" spans="1:23" s="36" customFormat="1" hidden="1" x14ac:dyDescent="0.3">
      <c r="B65" s="89" t="s">
        <v>559</v>
      </c>
      <c r="C65" s="68" t="s">
        <v>1938</v>
      </c>
      <c r="D65" s="70"/>
      <c r="E65" s="927"/>
      <c r="F65" s="92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89"/>
      <c r="U65" s="496"/>
      <c r="V65" s="721" t="s">
        <v>1831</v>
      </c>
    </row>
    <row r="66" spans="1:23" s="36" customFormat="1" hidden="1" x14ac:dyDescent="0.3">
      <c r="B66" s="89" t="s">
        <v>560</v>
      </c>
      <c r="C66" s="68" t="s">
        <v>109</v>
      </c>
      <c r="D66" s="70"/>
      <c r="E66" s="927"/>
      <c r="F66" s="927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89"/>
      <c r="U66" s="496"/>
      <c r="V66" s="725" t="s">
        <v>1832</v>
      </c>
    </row>
    <row r="67" spans="1:23" s="258" customFormat="1" x14ac:dyDescent="0.3">
      <c r="A67" s="256"/>
      <c r="B67" s="257">
        <v>8</v>
      </c>
      <c r="C67" s="54" t="s">
        <v>517</v>
      </c>
      <c r="D67" s="55" t="s">
        <v>150</v>
      </c>
      <c r="E67" s="77">
        <f t="shared" ref="E67:T67" si="21">SUM(E68:E71)</f>
        <v>0</v>
      </c>
      <c r="F67" s="77">
        <f t="shared" si="21"/>
        <v>1</v>
      </c>
      <c r="G67" s="77">
        <f t="shared" si="21"/>
        <v>1</v>
      </c>
      <c r="H67" s="77">
        <f t="shared" si="21"/>
        <v>1</v>
      </c>
      <c r="I67" s="77">
        <f t="shared" si="21"/>
        <v>1</v>
      </c>
      <c r="J67" s="77">
        <f t="shared" si="21"/>
        <v>1</v>
      </c>
      <c r="K67" s="77">
        <f t="shared" si="21"/>
        <v>1</v>
      </c>
      <c r="L67" s="77">
        <f t="shared" si="21"/>
        <v>1</v>
      </c>
      <c r="M67" s="77">
        <f t="shared" si="21"/>
        <v>1</v>
      </c>
      <c r="N67" s="77">
        <f t="shared" si="21"/>
        <v>1</v>
      </c>
      <c r="O67" s="77">
        <f t="shared" si="21"/>
        <v>1</v>
      </c>
      <c r="P67" s="77">
        <f t="shared" si="21"/>
        <v>1</v>
      </c>
      <c r="Q67" s="77">
        <f t="shared" si="21"/>
        <v>1</v>
      </c>
      <c r="R67" s="77">
        <f t="shared" si="21"/>
        <v>1</v>
      </c>
      <c r="S67" s="77">
        <f t="shared" si="21"/>
        <v>1</v>
      </c>
      <c r="T67" s="1367">
        <f t="shared" si="21"/>
        <v>1</v>
      </c>
      <c r="U67" s="496"/>
      <c r="V67" s="726" t="s">
        <v>1833</v>
      </c>
    </row>
    <row r="68" spans="1:23" s="258" customFormat="1" x14ac:dyDescent="0.3">
      <c r="A68" s="37"/>
      <c r="B68" s="273">
        <v>8.1</v>
      </c>
      <c r="C68" s="68" t="s">
        <v>512</v>
      </c>
      <c r="D68" s="373"/>
      <c r="E68" s="902">
        <v>0</v>
      </c>
      <c r="F68" s="902">
        <v>1</v>
      </c>
      <c r="G68" s="902">
        <v>1</v>
      </c>
      <c r="H68" s="897">
        <v>1</v>
      </c>
      <c r="I68" s="897">
        <v>1</v>
      </c>
      <c r="J68" s="897">
        <v>1</v>
      </c>
      <c r="K68" s="897">
        <v>1</v>
      </c>
      <c r="L68" s="897">
        <v>1</v>
      </c>
      <c r="M68" s="897">
        <v>1</v>
      </c>
      <c r="N68" s="897">
        <v>1</v>
      </c>
      <c r="O68" s="897">
        <v>1</v>
      </c>
      <c r="P68" s="897">
        <v>1</v>
      </c>
      <c r="Q68" s="897">
        <v>1</v>
      </c>
      <c r="R68" s="897">
        <v>1</v>
      </c>
      <c r="S68" s="897">
        <v>1</v>
      </c>
      <c r="T68" s="89">
        <f t="shared" ref="T68:T87" si="22">IFERROR(AVERAGEA(H68:S68),0)</f>
        <v>1</v>
      </c>
      <c r="U68" s="496"/>
      <c r="V68" s="727" t="s">
        <v>1834</v>
      </c>
    </row>
    <row r="69" spans="1:23" hidden="1" x14ac:dyDescent="0.3">
      <c r="B69" s="83" t="s">
        <v>561</v>
      </c>
      <c r="C69" s="68" t="s">
        <v>511</v>
      </c>
      <c r="D69" s="70"/>
      <c r="E69" s="78"/>
      <c r="F69" s="78"/>
      <c r="G69" s="78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9">
        <f t="shared" si="22"/>
        <v>0</v>
      </c>
      <c r="V69" s="721" t="s">
        <v>1835</v>
      </c>
    </row>
    <row r="70" spans="1:23" hidden="1" x14ac:dyDescent="0.3">
      <c r="B70" s="83" t="s">
        <v>562</v>
      </c>
      <c r="C70" s="68" t="s">
        <v>509</v>
      </c>
      <c r="D70" s="70"/>
      <c r="E70" s="78"/>
      <c r="F70" s="78"/>
      <c r="G70" s="78"/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9">
        <f t="shared" si="22"/>
        <v>0</v>
      </c>
    </row>
    <row r="71" spans="1:23" hidden="1" x14ac:dyDescent="0.3">
      <c r="B71" s="933" t="s">
        <v>1939</v>
      </c>
      <c r="C71" s="934" t="s">
        <v>109</v>
      </c>
      <c r="D71" s="928"/>
      <c r="E71" s="928"/>
      <c r="F71" s="928"/>
      <c r="G71" s="930"/>
      <c r="H71" s="935"/>
      <c r="I71" s="935"/>
      <c r="J71" s="935"/>
      <c r="K71" s="935"/>
      <c r="L71" s="935"/>
      <c r="M71" s="935"/>
      <c r="N71" s="935"/>
      <c r="O71" s="935"/>
      <c r="P71" s="935"/>
      <c r="Q71" s="935"/>
      <c r="R71" s="935"/>
      <c r="S71" s="935"/>
      <c r="T71" s="923"/>
    </row>
    <row r="72" spans="1:23" s="258" customFormat="1" hidden="1" x14ac:dyDescent="0.3">
      <c r="A72" s="256"/>
      <c r="B72" s="257">
        <v>16</v>
      </c>
      <c r="C72" s="54" t="s">
        <v>528</v>
      </c>
      <c r="D72" s="55">
        <v>642</v>
      </c>
      <c r="E72" s="77">
        <f t="shared" ref="E72:S76" si="23">E73</f>
        <v>0</v>
      </c>
      <c r="F72" s="77">
        <f t="shared" si="23"/>
        <v>0</v>
      </c>
      <c r="G72" s="77">
        <f t="shared" si="23"/>
        <v>0</v>
      </c>
      <c r="H72" s="77">
        <f>H73</f>
        <v>0</v>
      </c>
      <c r="I72" s="77">
        <f t="shared" si="23"/>
        <v>0</v>
      </c>
      <c r="J72" s="77">
        <f t="shared" si="23"/>
        <v>0</v>
      </c>
      <c r="K72" s="77">
        <f t="shared" si="23"/>
        <v>0</v>
      </c>
      <c r="L72" s="77">
        <f t="shared" si="23"/>
        <v>0</v>
      </c>
      <c r="M72" s="77">
        <f t="shared" si="23"/>
        <v>0</v>
      </c>
      <c r="N72" s="77">
        <f t="shared" si="23"/>
        <v>0</v>
      </c>
      <c r="O72" s="77">
        <f t="shared" si="23"/>
        <v>0</v>
      </c>
      <c r="P72" s="77">
        <f t="shared" si="23"/>
        <v>0</v>
      </c>
      <c r="Q72" s="77">
        <f t="shared" si="23"/>
        <v>0</v>
      </c>
      <c r="R72" s="77">
        <f t="shared" si="23"/>
        <v>0</v>
      </c>
      <c r="S72" s="77">
        <f t="shared" si="23"/>
        <v>0</v>
      </c>
      <c r="T72" s="89">
        <f t="shared" si="22"/>
        <v>0</v>
      </c>
      <c r="U72" s="496"/>
    </row>
    <row r="73" spans="1:23" hidden="1" x14ac:dyDescent="0.3">
      <c r="B73" s="83" t="s">
        <v>224</v>
      </c>
      <c r="C73" s="59" t="s">
        <v>534</v>
      </c>
      <c r="D73" s="60"/>
      <c r="E73" s="78"/>
      <c r="F73" s="78"/>
      <c r="G73" s="78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9">
        <f t="shared" si="22"/>
        <v>0</v>
      </c>
      <c r="W73" s="258"/>
    </row>
    <row r="74" spans="1:23" s="258" customFormat="1" hidden="1" x14ac:dyDescent="0.3">
      <c r="A74" s="256"/>
      <c r="B74" s="257">
        <v>17</v>
      </c>
      <c r="C74" s="54" t="s">
        <v>529</v>
      </c>
      <c r="D74" s="55">
        <v>642</v>
      </c>
      <c r="E74" s="77">
        <f t="shared" si="23"/>
        <v>0</v>
      </c>
      <c r="F74" s="77">
        <f t="shared" si="23"/>
        <v>0</v>
      </c>
      <c r="G74" s="77">
        <f t="shared" si="23"/>
        <v>0</v>
      </c>
      <c r="H74" s="77">
        <f>H75</f>
        <v>0</v>
      </c>
      <c r="I74" s="77">
        <f t="shared" si="23"/>
        <v>0</v>
      </c>
      <c r="J74" s="77">
        <f t="shared" si="23"/>
        <v>0</v>
      </c>
      <c r="K74" s="77">
        <f t="shared" si="23"/>
        <v>0</v>
      </c>
      <c r="L74" s="77">
        <f t="shared" si="23"/>
        <v>0</v>
      </c>
      <c r="M74" s="77">
        <f t="shared" si="23"/>
        <v>0</v>
      </c>
      <c r="N74" s="77">
        <f t="shared" si="23"/>
        <v>0</v>
      </c>
      <c r="O74" s="77">
        <f t="shared" si="23"/>
        <v>0</v>
      </c>
      <c r="P74" s="77">
        <f t="shared" si="23"/>
        <v>0</v>
      </c>
      <c r="Q74" s="77">
        <f t="shared" si="23"/>
        <v>0</v>
      </c>
      <c r="R74" s="77">
        <f t="shared" si="23"/>
        <v>0</v>
      </c>
      <c r="S74" s="77">
        <f t="shared" si="23"/>
        <v>0</v>
      </c>
      <c r="T74" s="89">
        <f t="shared" si="22"/>
        <v>0</v>
      </c>
      <c r="U74" s="496"/>
      <c r="W74" s="253"/>
    </row>
    <row r="75" spans="1:23" hidden="1" x14ac:dyDescent="0.3">
      <c r="B75" s="83" t="s">
        <v>563</v>
      </c>
      <c r="C75" s="59" t="s">
        <v>534</v>
      </c>
      <c r="D75" s="60"/>
      <c r="E75" s="78"/>
      <c r="F75" s="78"/>
      <c r="G75" s="78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9">
        <f t="shared" si="22"/>
        <v>0</v>
      </c>
      <c r="W75" s="258"/>
    </row>
    <row r="76" spans="1:23" s="258" customFormat="1" hidden="1" x14ac:dyDescent="0.3">
      <c r="A76" s="256"/>
      <c r="B76" s="257">
        <v>18</v>
      </c>
      <c r="C76" s="54" t="s">
        <v>530</v>
      </c>
      <c r="D76" s="55">
        <v>642</v>
      </c>
      <c r="E76" s="77">
        <f t="shared" si="23"/>
        <v>0</v>
      </c>
      <c r="F76" s="77">
        <f t="shared" si="23"/>
        <v>0</v>
      </c>
      <c r="G76" s="77">
        <f t="shared" si="23"/>
        <v>0</v>
      </c>
      <c r="H76" s="77">
        <f>H77</f>
        <v>0</v>
      </c>
      <c r="I76" s="77">
        <f t="shared" si="23"/>
        <v>0</v>
      </c>
      <c r="J76" s="77">
        <f t="shared" si="23"/>
        <v>0</v>
      </c>
      <c r="K76" s="77">
        <f t="shared" si="23"/>
        <v>0</v>
      </c>
      <c r="L76" s="77">
        <f t="shared" si="23"/>
        <v>0</v>
      </c>
      <c r="M76" s="77">
        <f t="shared" si="23"/>
        <v>0</v>
      </c>
      <c r="N76" s="77">
        <f t="shared" si="23"/>
        <v>0</v>
      </c>
      <c r="O76" s="77">
        <f t="shared" si="23"/>
        <v>0</v>
      </c>
      <c r="P76" s="77">
        <f t="shared" si="23"/>
        <v>0</v>
      </c>
      <c r="Q76" s="77">
        <f t="shared" si="23"/>
        <v>0</v>
      </c>
      <c r="R76" s="77">
        <f t="shared" si="23"/>
        <v>0</v>
      </c>
      <c r="S76" s="77">
        <f t="shared" si="23"/>
        <v>0</v>
      </c>
      <c r="T76" s="89">
        <f t="shared" si="22"/>
        <v>0</v>
      </c>
      <c r="U76" s="496"/>
      <c r="W76" s="253"/>
    </row>
    <row r="77" spans="1:23" hidden="1" x14ac:dyDescent="0.3">
      <c r="B77" s="83" t="s">
        <v>206</v>
      </c>
      <c r="C77" s="59" t="s">
        <v>534</v>
      </c>
      <c r="D77" s="60"/>
      <c r="E77" s="78"/>
      <c r="F77" s="78"/>
      <c r="G77" s="78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9">
        <f t="shared" si="22"/>
        <v>0</v>
      </c>
    </row>
    <row r="78" spans="1:23" s="258" customFormat="1" x14ac:dyDescent="0.3">
      <c r="A78" s="256"/>
      <c r="B78" s="920"/>
      <c r="C78" s="921" t="s">
        <v>1940</v>
      </c>
      <c r="D78" s="921"/>
      <c r="E78" s="922">
        <f>E5+E9+E17+E22+E24+E26+E28+E31+E33+E35+E37+E39+E43+E51+E67</f>
        <v>56</v>
      </c>
      <c r="F78" s="922">
        <f t="shared" ref="F78:T78" si="24">F5+F9+F17+F22+F24+F26+F28+F31+F33+F35+F37+F39+F43+F51+F67</f>
        <v>49</v>
      </c>
      <c r="G78" s="922">
        <f t="shared" si="24"/>
        <v>53</v>
      </c>
      <c r="H78" s="922">
        <f t="shared" si="24"/>
        <v>56</v>
      </c>
      <c r="I78" s="922">
        <f t="shared" si="24"/>
        <v>56</v>
      </c>
      <c r="J78" s="922">
        <f t="shared" si="24"/>
        <v>56</v>
      </c>
      <c r="K78" s="922">
        <f t="shared" si="24"/>
        <v>56</v>
      </c>
      <c r="L78" s="922">
        <f t="shared" si="24"/>
        <v>56</v>
      </c>
      <c r="M78" s="922">
        <f t="shared" si="24"/>
        <v>56</v>
      </c>
      <c r="N78" s="922">
        <f t="shared" si="24"/>
        <v>56</v>
      </c>
      <c r="O78" s="922">
        <f t="shared" si="24"/>
        <v>56</v>
      </c>
      <c r="P78" s="922">
        <f t="shared" si="24"/>
        <v>56</v>
      </c>
      <c r="Q78" s="922">
        <f t="shared" si="24"/>
        <v>56</v>
      </c>
      <c r="R78" s="922">
        <f t="shared" si="24"/>
        <v>56</v>
      </c>
      <c r="S78" s="922">
        <f t="shared" si="24"/>
        <v>56</v>
      </c>
      <c r="T78" s="1374">
        <f t="shared" si="24"/>
        <v>54</v>
      </c>
      <c r="U78" s="496"/>
      <c r="V78" s="253"/>
      <c r="W78" s="263"/>
    </row>
    <row r="79" spans="1:23" s="37" customFormat="1" x14ac:dyDescent="0.3">
      <c r="B79" s="936"/>
      <c r="C79" s="937" t="s">
        <v>1941</v>
      </c>
      <c r="D79" s="937"/>
      <c r="E79" s="902">
        <f>E78-E80</f>
        <v>56</v>
      </c>
      <c r="F79" s="902">
        <f>F78-F80</f>
        <v>47</v>
      </c>
      <c r="G79" s="902">
        <f>G78-G80</f>
        <v>39</v>
      </c>
      <c r="H79" s="902">
        <f t="shared" ref="H79:S79" si="25">H78-H80</f>
        <v>42</v>
      </c>
      <c r="I79" s="902">
        <f t="shared" si="25"/>
        <v>42</v>
      </c>
      <c r="J79" s="902">
        <f t="shared" si="25"/>
        <v>42</v>
      </c>
      <c r="K79" s="902">
        <f t="shared" si="25"/>
        <v>42</v>
      </c>
      <c r="L79" s="902">
        <f t="shared" si="25"/>
        <v>42</v>
      </c>
      <c r="M79" s="902">
        <f t="shared" si="25"/>
        <v>42</v>
      </c>
      <c r="N79" s="902">
        <f t="shared" si="25"/>
        <v>42</v>
      </c>
      <c r="O79" s="902">
        <f t="shared" si="25"/>
        <v>42</v>
      </c>
      <c r="P79" s="902">
        <f t="shared" si="25"/>
        <v>42</v>
      </c>
      <c r="Q79" s="902">
        <f t="shared" si="25"/>
        <v>42</v>
      </c>
      <c r="R79" s="902">
        <f t="shared" si="25"/>
        <v>42</v>
      </c>
      <c r="S79" s="902">
        <f t="shared" si="25"/>
        <v>42</v>
      </c>
      <c r="T79" s="1375">
        <f>T78-T80</f>
        <v>40</v>
      </c>
      <c r="U79" s="496"/>
      <c r="V79" s="36"/>
      <c r="W79" s="39"/>
    </row>
    <row r="80" spans="1:23" s="37" customFormat="1" x14ac:dyDescent="0.3">
      <c r="B80" s="938"/>
      <c r="C80" s="939" t="s">
        <v>109</v>
      </c>
      <c r="D80" s="939"/>
      <c r="E80" s="940">
        <f t="shared" ref="E80:G80" si="26">E63+E71+E14</f>
        <v>0</v>
      </c>
      <c r="F80" s="940">
        <f t="shared" si="26"/>
        <v>2</v>
      </c>
      <c r="G80" s="940">
        <f t="shared" si="26"/>
        <v>14</v>
      </c>
      <c r="H80" s="940">
        <f>H63+H71+H14+H42</f>
        <v>14</v>
      </c>
      <c r="I80" s="940">
        <f t="shared" ref="I80:T80" si="27">I63+I71+I14+I42</f>
        <v>14</v>
      </c>
      <c r="J80" s="940">
        <f t="shared" si="27"/>
        <v>14</v>
      </c>
      <c r="K80" s="940">
        <f t="shared" si="27"/>
        <v>14</v>
      </c>
      <c r="L80" s="940">
        <f t="shared" si="27"/>
        <v>14</v>
      </c>
      <c r="M80" s="940">
        <f t="shared" si="27"/>
        <v>14</v>
      </c>
      <c r="N80" s="940">
        <f t="shared" si="27"/>
        <v>14</v>
      </c>
      <c r="O80" s="940">
        <f t="shared" si="27"/>
        <v>14</v>
      </c>
      <c r="P80" s="940">
        <f t="shared" si="27"/>
        <v>14</v>
      </c>
      <c r="Q80" s="940">
        <f t="shared" si="27"/>
        <v>14</v>
      </c>
      <c r="R80" s="940">
        <f t="shared" si="27"/>
        <v>14</v>
      </c>
      <c r="S80" s="940">
        <f t="shared" si="27"/>
        <v>14</v>
      </c>
      <c r="T80" s="940">
        <f t="shared" si="27"/>
        <v>14</v>
      </c>
      <c r="U80" s="496"/>
      <c r="V80" s="36"/>
      <c r="W80" s="39"/>
    </row>
    <row r="81" spans="1:23" x14ac:dyDescent="0.3">
      <c r="V81" s="263"/>
      <c r="W81" s="258"/>
    </row>
    <row r="82" spans="1:23" ht="15.5" hidden="1" x14ac:dyDescent="0.3">
      <c r="A82" s="253"/>
      <c r="B82" s="137" t="s">
        <v>345</v>
      </c>
      <c r="G82" s="261"/>
      <c r="H82" s="261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V82" s="258"/>
    </row>
    <row r="83" spans="1:23" s="263" customFormat="1" ht="45.65" hidden="1" customHeight="1" x14ac:dyDescent="0.3">
      <c r="B83" s="264">
        <v>19</v>
      </c>
      <c r="C83" s="219" t="s">
        <v>101</v>
      </c>
      <c r="D83" s="220" t="str">
        <f>D4</f>
        <v>Tài khoản</v>
      </c>
      <c r="E83" s="1228" t="s">
        <v>1943</v>
      </c>
      <c r="F83" s="1228" t="s">
        <v>1942</v>
      </c>
      <c r="G83" s="220" t="str">
        <f t="shared" ref="G83:T83" si="28">G4</f>
        <v>KQKD 2025</v>
      </c>
      <c r="H83" s="220" t="str">
        <f t="shared" si="28"/>
        <v>T1</v>
      </c>
      <c r="I83" s="220" t="str">
        <f t="shared" si="28"/>
        <v>T2</v>
      </c>
      <c r="J83" s="220" t="str">
        <f t="shared" si="28"/>
        <v>T3</v>
      </c>
      <c r="K83" s="220" t="str">
        <f t="shared" si="28"/>
        <v>T4</v>
      </c>
      <c r="L83" s="220" t="str">
        <f t="shared" si="28"/>
        <v>T5</v>
      </c>
      <c r="M83" s="220" t="str">
        <f t="shared" si="28"/>
        <v>T6</v>
      </c>
      <c r="N83" s="220" t="str">
        <f t="shared" si="28"/>
        <v>T7</v>
      </c>
      <c r="O83" s="220" t="str">
        <f t="shared" si="28"/>
        <v>T8</v>
      </c>
      <c r="P83" s="220" t="str">
        <f t="shared" si="28"/>
        <v>T9</v>
      </c>
      <c r="Q83" s="220" t="str">
        <f t="shared" si="28"/>
        <v>T10</v>
      </c>
      <c r="R83" s="220" t="str">
        <f t="shared" si="28"/>
        <v>T11</v>
      </c>
      <c r="S83" s="220" t="str">
        <f t="shared" si="28"/>
        <v>T12</v>
      </c>
      <c r="T83" s="220" t="str">
        <f t="shared" si="28"/>
        <v>Kế hoạch 2026</v>
      </c>
      <c r="U83" s="496"/>
      <c r="V83" s="253"/>
      <c r="W83" s="258"/>
    </row>
    <row r="84" spans="1:23" s="258" customFormat="1" hidden="1" x14ac:dyDescent="0.3">
      <c r="B84" s="259" t="s">
        <v>564</v>
      </c>
      <c r="C84" s="62" t="s">
        <v>113</v>
      </c>
      <c r="D84" s="63" t="s">
        <v>150</v>
      </c>
      <c r="E84" s="373"/>
      <c r="F84" s="373"/>
      <c r="G84" s="64"/>
      <c r="H84" s="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84">
        <f>IFERROR(AVERAGEA(H84:S84),0)</f>
        <v>0</v>
      </c>
      <c r="U84" s="496"/>
    </row>
    <row r="85" spans="1:23" hidden="1" x14ac:dyDescent="0.3">
      <c r="A85" s="253"/>
      <c r="B85" s="89" t="s">
        <v>565</v>
      </c>
      <c r="C85" s="68" t="s">
        <v>133</v>
      </c>
      <c r="D85" s="60"/>
      <c r="E85" s="919"/>
      <c r="F85" s="919"/>
      <c r="G85" s="61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84">
        <f t="shared" si="22"/>
        <v>0</v>
      </c>
      <c r="V85" s="258"/>
    </row>
    <row r="86" spans="1:23" s="258" customFormat="1" hidden="1" x14ac:dyDescent="0.3">
      <c r="A86" s="37"/>
      <c r="B86" s="259" t="s">
        <v>566</v>
      </c>
      <c r="C86" s="69" t="s">
        <v>344</v>
      </c>
      <c r="D86" s="63" t="s">
        <v>325</v>
      </c>
      <c r="E86" s="373"/>
      <c r="F86" s="373"/>
      <c r="G86" s="65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84">
        <f t="shared" si="22"/>
        <v>0</v>
      </c>
      <c r="U86" s="496"/>
      <c r="V86" s="253"/>
      <c r="W86" s="253"/>
    </row>
    <row r="87" spans="1:23" s="258" customFormat="1" hidden="1" x14ac:dyDescent="0.3">
      <c r="B87" s="257"/>
      <c r="C87" s="55" t="s">
        <v>41</v>
      </c>
      <c r="D87" s="55"/>
      <c r="E87" s="921"/>
      <c r="F87" s="921"/>
      <c r="G87" s="56"/>
      <c r="H87" s="77">
        <f t="shared" ref="H87:S87" si="29">H85+H86</f>
        <v>0</v>
      </c>
      <c r="I87" s="77">
        <f>I85+I86</f>
        <v>0</v>
      </c>
      <c r="J87" s="77">
        <f t="shared" si="29"/>
        <v>0</v>
      </c>
      <c r="K87" s="77">
        <f t="shared" si="29"/>
        <v>0</v>
      </c>
      <c r="L87" s="77">
        <f t="shared" si="29"/>
        <v>0</v>
      </c>
      <c r="M87" s="77">
        <f t="shared" si="29"/>
        <v>0</v>
      </c>
      <c r="N87" s="77">
        <f t="shared" si="29"/>
        <v>0</v>
      </c>
      <c r="O87" s="77">
        <f t="shared" si="29"/>
        <v>0</v>
      </c>
      <c r="P87" s="77">
        <f t="shared" si="29"/>
        <v>0</v>
      </c>
      <c r="Q87" s="77">
        <f t="shared" si="29"/>
        <v>0</v>
      </c>
      <c r="R87" s="77">
        <f t="shared" si="29"/>
        <v>0</v>
      </c>
      <c r="S87" s="77">
        <f t="shared" si="29"/>
        <v>0</v>
      </c>
      <c r="T87" s="77">
        <f t="shared" si="22"/>
        <v>0</v>
      </c>
      <c r="U87" s="496"/>
      <c r="V87" s="253"/>
      <c r="W87" s="253"/>
    </row>
  </sheetData>
  <phoneticPr fontId="8" type="noConversion"/>
  <conditionalFormatting sqref="C71">
    <cfRule type="containsText" dxfId="102" priority="65" operator="containsText" text="xxx">
      <formula>NOT(ISERROR(SEARCH("xxx",C71)))</formula>
    </cfRule>
  </conditionalFormatting>
  <conditionalFormatting sqref="C6:G8 C10:G16 C18:G21 C23:G23 C27:G27 C29:G30 C32:G32 C34:G34 C36:G36 C38:G38 C41:G42 C44:G50 H52:T52 C52:G56 D57:T62 I63:T63 D63:S64 C65:S66 E68:S69 G70:S70 D71:S71 C73:G73 C75:G75 C77:G77 C86:F86 C85:G85">
    <cfRule type="containsText" dxfId="101" priority="124" operator="containsText" text="xxx">
      <formula>NOT(ISERROR(SEARCH("xxx",C6)))</formula>
    </cfRule>
  </conditionalFormatting>
  <conditionalFormatting sqref="C25:G25">
    <cfRule type="containsText" dxfId="100" priority="97" operator="containsText" text="xxx">
      <formula>NOT(ISERROR(SEARCH("xxx",C25)))</formula>
    </cfRule>
  </conditionalFormatting>
  <conditionalFormatting sqref="C84:H84 C83:T83">
    <cfRule type="containsText" dxfId="99" priority="122" operator="containsText" text="xxx">
      <formula>NOT(ISERROR(SEARCH("xxx",C83)))</formula>
    </cfRule>
  </conditionalFormatting>
  <conditionalFormatting sqref="C22:S22">
    <cfRule type="containsText" dxfId="98" priority="102" operator="containsText" text="xxx">
      <formula>NOT(ISERROR(SEARCH("xxx",C22)))</formula>
    </cfRule>
  </conditionalFormatting>
  <conditionalFormatting sqref="C24:S24 C78:T80 C5:T5 C9:T9 C17:T17 C26:S26">
    <cfRule type="containsText" dxfId="97" priority="133" operator="containsText" text="xxx">
      <formula>NOT(ISERROR(SEARCH("xxx",C5)))</formula>
    </cfRule>
  </conditionalFormatting>
  <conditionalFormatting sqref="C31:S31">
    <cfRule type="containsText" dxfId="96" priority="94" operator="containsText" text="xxx">
      <formula>NOT(ISERROR(SEARCH("xxx",C31)))</formula>
    </cfRule>
  </conditionalFormatting>
  <conditionalFormatting sqref="C33:S33">
    <cfRule type="containsText" dxfId="95" priority="92" operator="containsText" text="xxx">
      <formula>NOT(ISERROR(SEARCH("xxx",C33)))</formula>
    </cfRule>
  </conditionalFormatting>
  <conditionalFormatting sqref="C35:S35">
    <cfRule type="containsText" dxfId="94" priority="90" operator="containsText" text="xxx">
      <formula>NOT(ISERROR(SEARCH("xxx",C35)))</formula>
    </cfRule>
  </conditionalFormatting>
  <conditionalFormatting sqref="C37:S37">
    <cfRule type="containsText" dxfId="93" priority="88" operator="containsText" text="xxx">
      <formula>NOT(ISERROR(SEARCH("xxx",C37)))</formula>
    </cfRule>
  </conditionalFormatting>
  <conditionalFormatting sqref="C43:S43">
    <cfRule type="containsText" dxfId="92" priority="84" operator="containsText" text="xxx">
      <formula>NOT(ISERROR(SEARCH("xxx",C43)))</formula>
    </cfRule>
  </conditionalFormatting>
  <conditionalFormatting sqref="C62:S62 C57:C64 C68:S69 C70:F70">
    <cfRule type="containsText" dxfId="91" priority="68" operator="containsText" text="xxx">
      <formula>NOT(ISERROR(SEARCH("xxx",C57)))</formula>
    </cfRule>
  </conditionalFormatting>
  <conditionalFormatting sqref="C72:S72">
    <cfRule type="containsText" dxfId="90" priority="78" operator="containsText" text="xxx">
      <formula>NOT(ISERROR(SEARCH("xxx",C72)))</formula>
    </cfRule>
  </conditionalFormatting>
  <conditionalFormatting sqref="C74:S74">
    <cfRule type="containsText" dxfId="89" priority="76" operator="containsText" text="xxx">
      <formula>NOT(ISERROR(SEARCH("xxx",C74)))</formula>
    </cfRule>
  </conditionalFormatting>
  <conditionalFormatting sqref="C76:S76">
    <cfRule type="containsText" dxfId="88" priority="74" operator="containsText" text="xxx">
      <formula>NOT(ISERROR(SEARCH("xxx",C76)))</formula>
    </cfRule>
  </conditionalFormatting>
  <conditionalFormatting sqref="C28:T28">
    <cfRule type="containsText" dxfId="87" priority="96" operator="containsText" text="xxx">
      <formula>NOT(ISERROR(SEARCH("xxx",C28)))</formula>
    </cfRule>
  </conditionalFormatting>
  <conditionalFormatting sqref="C39:T40">
    <cfRule type="containsText" dxfId="86" priority="69" operator="containsText" text="xxx">
      <formula>NOT(ISERROR(SEARCH("xxx",C39)))</formula>
    </cfRule>
  </conditionalFormatting>
  <conditionalFormatting sqref="C51:T51">
    <cfRule type="containsText" dxfId="85" priority="82" operator="containsText" text="xxx">
      <formula>NOT(ISERROR(SEARCH("xxx",C51)))</formula>
    </cfRule>
  </conditionalFormatting>
  <conditionalFormatting sqref="C67:T67">
    <cfRule type="containsText" dxfId="84" priority="80" operator="containsText" text="xxx">
      <formula>NOT(ISERROR(SEARCH("xxx",C67)))</formula>
    </cfRule>
  </conditionalFormatting>
  <conditionalFormatting sqref="C87:T87">
    <cfRule type="containsText" dxfId="83" priority="116" operator="containsText" text="xxx">
      <formula>NOT(ISERROR(SEARCH("xxx",C87)))</formula>
    </cfRule>
  </conditionalFormatting>
  <conditionalFormatting sqref="D86:S86 G5:G61 H28:T28 H51:T52 H63:S69 G63:G80 H67:T67 H39:T40 F60:F63 E62:S62 E68:S69 E70:F70 H9:T9 H17:T17 H79:T80">
    <cfRule type="cellIs" dxfId="82" priority="118" operator="equal">
      <formula>0</formula>
    </cfRule>
  </conditionalFormatting>
  <conditionalFormatting sqref="E7:E8">
    <cfRule type="cellIs" dxfId="81" priority="35" operator="equal">
      <formula>0</formula>
    </cfRule>
  </conditionalFormatting>
  <conditionalFormatting sqref="E24:E37">
    <cfRule type="cellIs" dxfId="80" priority="57" operator="equal">
      <formula>0</formula>
    </cfRule>
  </conditionalFormatting>
  <conditionalFormatting sqref="E39">
    <cfRule type="cellIs" dxfId="79" priority="54" operator="equal">
      <formula>0</formula>
    </cfRule>
  </conditionalFormatting>
  <conditionalFormatting sqref="E60:E62">
    <cfRule type="cellIs" dxfId="78" priority="17" operator="equal">
      <formula>0</formula>
    </cfRule>
  </conditionalFormatting>
  <conditionalFormatting sqref="E9:F22">
    <cfRule type="cellIs" dxfId="77" priority="19" operator="equal">
      <formula>0</formula>
    </cfRule>
  </conditionalFormatting>
  <conditionalFormatting sqref="E41:F41">
    <cfRule type="cellIs" dxfId="76" priority="29" operator="equal">
      <formula>0</formula>
    </cfRule>
  </conditionalFormatting>
  <conditionalFormatting sqref="E43:F43">
    <cfRule type="cellIs" dxfId="75" priority="51" operator="equal">
      <formula>0</formula>
    </cfRule>
  </conditionalFormatting>
  <conditionalFormatting sqref="E51:F62">
    <cfRule type="cellIs" dxfId="74" priority="21" operator="equal">
      <formula>0</formula>
    </cfRule>
  </conditionalFormatting>
  <conditionalFormatting sqref="E62:F62">
    <cfRule type="containsText" dxfId="73" priority="11" operator="containsText" text="xxx">
      <formula>NOT(ISERROR(SEARCH("xxx",E62)))</formula>
    </cfRule>
  </conditionalFormatting>
  <conditionalFormatting sqref="E72:F80">
    <cfRule type="cellIs" dxfId="72" priority="1" operator="equal">
      <formula>0</formula>
    </cfRule>
  </conditionalFormatting>
  <conditionalFormatting sqref="E5:T5">
    <cfRule type="cellIs" dxfId="71" priority="64" operator="equal">
      <formula>0</formula>
    </cfRule>
  </conditionalFormatting>
  <conditionalFormatting sqref="E67:T67">
    <cfRule type="cellIs" dxfId="70" priority="42" operator="equal">
      <formula>0</formula>
    </cfRule>
  </conditionalFormatting>
  <conditionalFormatting sqref="F6:F8">
    <cfRule type="cellIs" dxfId="69" priority="36" operator="equal">
      <formula>0</formula>
    </cfRule>
  </conditionalFormatting>
  <conditionalFormatting sqref="F24:F39">
    <cfRule type="cellIs" dxfId="68" priority="53" operator="equal">
      <formula>0</formula>
    </cfRule>
  </conditionalFormatting>
  <conditionalFormatting sqref="G85:S85">
    <cfRule type="cellIs" dxfId="67" priority="114" operator="equal">
      <formula>0</formula>
    </cfRule>
  </conditionalFormatting>
  <conditionalFormatting sqref="G86:S86">
    <cfRule type="containsText" dxfId="66" priority="117" operator="containsText" text="xxx">
      <formula>NOT(ISERROR(SEARCH("xxx",G86)))</formula>
    </cfRule>
  </conditionalFormatting>
  <conditionalFormatting sqref="G57:T62 I63:T63">
    <cfRule type="cellIs" dxfId="65" priority="66" operator="equal">
      <formula>0</formula>
    </cfRule>
  </conditionalFormatting>
  <conditionalFormatting sqref="H84">
    <cfRule type="cellIs" dxfId="64" priority="121" operator="equal">
      <formula>0</formula>
    </cfRule>
  </conditionalFormatting>
  <conditionalFormatting sqref="H22:S22">
    <cfRule type="cellIs" dxfId="63" priority="101" operator="equal">
      <formula>0</formula>
    </cfRule>
  </conditionalFormatting>
  <conditionalFormatting sqref="H24:S24 F78:T78">
    <cfRule type="cellIs" dxfId="62" priority="132" operator="equal">
      <formula>0</formula>
    </cfRule>
  </conditionalFormatting>
  <conditionalFormatting sqref="H26:S26">
    <cfRule type="cellIs" dxfId="61" priority="98" operator="equal">
      <formula>0</formula>
    </cfRule>
  </conditionalFormatting>
  <conditionalFormatting sqref="H31:S31">
    <cfRule type="cellIs" dxfId="60" priority="93" operator="equal">
      <formula>0</formula>
    </cfRule>
  </conditionalFormatting>
  <conditionalFormatting sqref="H33:S33">
    <cfRule type="cellIs" dxfId="59" priority="91" operator="equal">
      <formula>0</formula>
    </cfRule>
  </conditionalFormatting>
  <conditionalFormatting sqref="H35:S35">
    <cfRule type="cellIs" dxfId="58" priority="89" operator="equal">
      <formula>0</formula>
    </cfRule>
  </conditionalFormatting>
  <conditionalFormatting sqref="H37:S37">
    <cfRule type="cellIs" dxfId="57" priority="87" operator="equal">
      <formula>0</formula>
    </cfRule>
  </conditionalFormatting>
  <conditionalFormatting sqref="H43:S43">
    <cfRule type="cellIs" dxfId="56" priority="83" operator="equal">
      <formula>0</formula>
    </cfRule>
  </conditionalFormatting>
  <conditionalFormatting sqref="H70:S72">
    <cfRule type="cellIs" dxfId="55" priority="77" operator="equal">
      <formula>0</formula>
    </cfRule>
  </conditionalFormatting>
  <conditionalFormatting sqref="H74:S74">
    <cfRule type="cellIs" dxfId="54" priority="75" operator="equal">
      <formula>0</formula>
    </cfRule>
  </conditionalFormatting>
  <conditionalFormatting sqref="H76:S76">
    <cfRule type="cellIs" dxfId="53" priority="73" operator="equal">
      <formula>0</formula>
    </cfRule>
  </conditionalFormatting>
  <conditionalFormatting sqref="H85:S85">
    <cfRule type="containsText" dxfId="52" priority="113" operator="containsText" text="xxx">
      <formula>NOT(ISERROR(SEARCH("xxx",H85)))</formula>
    </cfRule>
  </conditionalFormatting>
  <conditionalFormatting sqref="H51:T51">
    <cfRule type="cellIs" dxfId="51" priority="81" operator="equal">
      <formula>0</formula>
    </cfRule>
  </conditionalFormatting>
  <conditionalFormatting sqref="H87:T87">
    <cfRule type="cellIs" dxfId="50" priority="115" operator="equal">
      <formula>0</formula>
    </cfRule>
  </conditionalFormatting>
  <conditionalFormatting sqref="V57">
    <cfRule type="containsText" dxfId="49" priority="70" operator="containsText" text="xxx">
      <formula>NOT(ISERROR(SEARCH("xxx",V57)))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42CE-93D8-419E-8A80-86F3FDA06C0D}">
  <sheetPr filterMode="1">
    <tabColor theme="4"/>
  </sheetPr>
  <dimension ref="B3:U233"/>
  <sheetViews>
    <sheetView showGridLines="0" zoomScale="106" zoomScaleNormal="106" workbookViewId="0">
      <pane xSplit="1" ySplit="4" topLeftCell="E86" activePane="bottomRight" state="frozen"/>
      <selection pane="topRight" activeCell="B1" sqref="B1"/>
      <selection pane="bottomLeft" activeCell="A5" sqref="A5"/>
      <selection pane="bottomRight" activeCell="F3" sqref="F3:Q3"/>
    </sheetView>
  </sheetViews>
  <sheetFormatPr defaultColWidth="8.81640625" defaultRowHeight="12.5" x14ac:dyDescent="0.25"/>
  <cols>
    <col min="1" max="1" width="2.54296875" style="4" customWidth="1"/>
    <col min="2" max="2" width="24.54296875" style="4" customWidth="1"/>
    <col min="3" max="3" width="11.81640625" style="4" customWidth="1"/>
    <col min="4" max="4" width="37.81640625" style="4" customWidth="1"/>
    <col min="5" max="5" width="24.453125" style="4" customWidth="1"/>
    <col min="6" max="17" width="7.81640625" style="4" customWidth="1"/>
    <col min="18" max="18" width="13.26953125" style="4" customWidth="1"/>
    <col min="19" max="19" width="7.81640625" style="4" customWidth="1"/>
    <col min="20" max="16384" width="8.81640625" style="4"/>
  </cols>
  <sheetData>
    <row r="3" spans="2:18" ht="15.5" x14ac:dyDescent="0.25">
      <c r="B3" s="137" t="s">
        <v>696</v>
      </c>
      <c r="F3" s="4">
        <f>SUBTOTAL(9,F5:F208)</f>
        <v>50405987</v>
      </c>
      <c r="G3" s="4">
        <f t="shared" ref="G3:Q3" si="0">SUBTOTAL(9,G5:G208)</f>
        <v>86833987</v>
      </c>
      <c r="H3" s="4">
        <f t="shared" si="0"/>
        <v>48781987</v>
      </c>
      <c r="I3" s="4">
        <f t="shared" si="0"/>
        <v>49453987</v>
      </c>
      <c r="J3" s="4">
        <f t="shared" si="0"/>
        <v>51133987</v>
      </c>
      <c r="K3" s="4">
        <f t="shared" si="0"/>
        <v>49453987</v>
      </c>
      <c r="L3" s="4">
        <f t="shared" si="0"/>
        <v>49229987</v>
      </c>
      <c r="M3" s="4">
        <f t="shared" si="0"/>
        <v>49229987</v>
      </c>
      <c r="N3" s="4">
        <f t="shared" si="0"/>
        <v>50405987</v>
      </c>
      <c r="O3" s="4">
        <f t="shared" si="0"/>
        <v>49005987</v>
      </c>
      <c r="P3" s="4">
        <f t="shared" si="0"/>
        <v>49453987</v>
      </c>
      <c r="Q3" s="4">
        <f t="shared" si="0"/>
        <v>49229987</v>
      </c>
    </row>
    <row r="4" spans="2:18" s="36" customFormat="1" ht="35.5" customHeight="1" x14ac:dyDescent="0.35">
      <c r="B4" s="397" t="s">
        <v>132</v>
      </c>
      <c r="C4" s="398" t="s">
        <v>568</v>
      </c>
      <c r="D4" s="398" t="s">
        <v>470</v>
      </c>
      <c r="E4" s="399" t="s">
        <v>701</v>
      </c>
      <c r="F4" s="374" t="s">
        <v>56</v>
      </c>
      <c r="G4" s="374" t="s">
        <v>57</v>
      </c>
      <c r="H4" s="374" t="s">
        <v>58</v>
      </c>
      <c r="I4" s="374" t="s">
        <v>59</v>
      </c>
      <c r="J4" s="374" t="s">
        <v>60</v>
      </c>
      <c r="K4" s="374" t="s">
        <v>61</v>
      </c>
      <c r="L4" s="374" t="s">
        <v>62</v>
      </c>
      <c r="M4" s="374" t="s">
        <v>63</v>
      </c>
      <c r="N4" s="374" t="s">
        <v>64</v>
      </c>
      <c r="O4" s="374" t="s">
        <v>65</v>
      </c>
      <c r="P4" s="374" t="s">
        <v>66</v>
      </c>
      <c r="Q4" s="374" t="s">
        <v>67</v>
      </c>
      <c r="R4" s="374" t="s">
        <v>2246</v>
      </c>
    </row>
    <row r="5" spans="2:18" s="1" customFormat="1" ht="13" hidden="1" x14ac:dyDescent="0.3">
      <c r="B5" s="400" t="s">
        <v>513</v>
      </c>
      <c r="C5" s="401"/>
      <c r="D5" s="402" t="s">
        <v>536</v>
      </c>
      <c r="E5" s="401"/>
      <c r="F5" s="403">
        <f>'Dinh bien_HCNS'!H5</f>
        <v>3</v>
      </c>
      <c r="G5" s="403">
        <f>'Dinh bien_HCNS'!I5</f>
        <v>3</v>
      </c>
      <c r="H5" s="403">
        <f>'Dinh bien_HCNS'!J5</f>
        <v>3</v>
      </c>
      <c r="I5" s="403">
        <f>'Dinh bien_HCNS'!K5</f>
        <v>3</v>
      </c>
      <c r="J5" s="403">
        <f>'Dinh bien_HCNS'!L5</f>
        <v>3</v>
      </c>
      <c r="K5" s="403">
        <f>'Dinh bien_HCNS'!M5</f>
        <v>3</v>
      </c>
      <c r="L5" s="403">
        <f>'Dinh bien_HCNS'!N5</f>
        <v>3</v>
      </c>
      <c r="M5" s="403">
        <f>'Dinh bien_HCNS'!O5</f>
        <v>3</v>
      </c>
      <c r="N5" s="403">
        <f>'Dinh bien_HCNS'!P5</f>
        <v>3</v>
      </c>
      <c r="O5" s="403">
        <f>'Dinh bien_HCNS'!Q5</f>
        <v>3</v>
      </c>
      <c r="P5" s="403">
        <f>'Dinh bien_HCNS'!R5</f>
        <v>3</v>
      </c>
      <c r="Q5" s="403">
        <f>'Dinh bien_HCNS'!S5</f>
        <v>3</v>
      </c>
      <c r="R5" s="403">
        <f>'Dinh bien_HCNS'!T5</f>
        <v>3</v>
      </c>
    </row>
    <row r="6" spans="2:18" s="1" customFormat="1" ht="13" hidden="1" x14ac:dyDescent="0.35">
      <c r="B6" s="404" t="s">
        <v>513</v>
      </c>
      <c r="C6" s="405"/>
      <c r="D6" s="406" t="s">
        <v>611</v>
      </c>
      <c r="E6" s="405"/>
      <c r="F6" s="407">
        <f>SUM(F8:F16)</f>
        <v>219959680</v>
      </c>
      <c r="G6" s="407">
        <f t="shared" ref="G6:Q6" si="1">SUM(G8:G16)</f>
        <v>238357680</v>
      </c>
      <c r="H6" s="407">
        <f t="shared" si="1"/>
        <v>219275680</v>
      </c>
      <c r="I6" s="407">
        <f t="shared" si="1"/>
        <v>219527680</v>
      </c>
      <c r="J6" s="407">
        <f t="shared" si="1"/>
        <v>220307680</v>
      </c>
      <c r="K6" s="407">
        <f t="shared" si="1"/>
        <v>219527680</v>
      </c>
      <c r="L6" s="407">
        <f t="shared" si="1"/>
        <v>219443680</v>
      </c>
      <c r="M6" s="407">
        <f t="shared" si="1"/>
        <v>219443680</v>
      </c>
      <c r="N6" s="407">
        <f t="shared" si="1"/>
        <v>219959680</v>
      </c>
      <c r="O6" s="407">
        <f t="shared" si="1"/>
        <v>219359680</v>
      </c>
      <c r="P6" s="407">
        <f t="shared" si="1"/>
        <v>219527680</v>
      </c>
      <c r="Q6" s="407">
        <f t="shared" si="1"/>
        <v>219443680</v>
      </c>
      <c r="R6" s="408">
        <f>SUM(R8:R16)</f>
        <v>2654134160</v>
      </c>
    </row>
    <row r="7" spans="2:18" s="1" customFormat="1" ht="13" hidden="1" x14ac:dyDescent="0.3">
      <c r="B7" s="404" t="s">
        <v>513</v>
      </c>
      <c r="C7" s="405"/>
      <c r="D7" s="402" t="s">
        <v>537</v>
      </c>
      <c r="E7" s="405"/>
      <c r="F7" s="407">
        <f>IFERROR(SUM(F8:F15)/F5,0)</f>
        <v>73319893.333333328</v>
      </c>
      <c r="G7" s="407">
        <f t="shared" ref="G7" si="2">IFERROR(SUM(G8:G15)/G5,0)</f>
        <v>79452560</v>
      </c>
      <c r="H7" s="407">
        <f t="shared" ref="H7" si="3">IFERROR(SUM(H8:H15)/H5,0)</f>
        <v>73091893.333333328</v>
      </c>
      <c r="I7" s="407">
        <f t="shared" ref="I7" si="4">IFERROR(SUM(I8:I15)/I5,0)</f>
        <v>73175893.333333328</v>
      </c>
      <c r="J7" s="407">
        <f t="shared" ref="J7" si="5">IFERROR(SUM(J8:J15)/J5,0)</f>
        <v>73435893.333333328</v>
      </c>
      <c r="K7" s="407">
        <f t="shared" ref="K7" si="6">IFERROR(SUM(K8:K15)/K5,0)</f>
        <v>73175893.333333328</v>
      </c>
      <c r="L7" s="407">
        <f t="shared" ref="L7" si="7">IFERROR(SUM(L8:L15)/L5,0)</f>
        <v>73147893.333333328</v>
      </c>
      <c r="M7" s="407">
        <f t="shared" ref="M7" si="8">IFERROR(SUM(M8:M15)/M5,0)</f>
        <v>73147893.333333328</v>
      </c>
      <c r="N7" s="407">
        <f t="shared" ref="N7" si="9">IFERROR(SUM(N8:N15)/N5,0)</f>
        <v>73319893.333333328</v>
      </c>
      <c r="O7" s="407">
        <f t="shared" ref="O7" si="10">IFERROR(SUM(O8:O15)/O5,0)</f>
        <v>73119893.333333328</v>
      </c>
      <c r="P7" s="407">
        <f t="shared" ref="P7" si="11">IFERROR(SUM(P8:P15)/P5,0)</f>
        <v>73175893.333333328</v>
      </c>
      <c r="Q7" s="407">
        <f t="shared" ref="Q7" si="12">IFERROR(SUM(Q8:Q15)/Q5,0)</f>
        <v>73147893.333333328</v>
      </c>
      <c r="R7" s="408">
        <f>AVERAGEA(F7:Q7)</f>
        <v>73725948.888888896</v>
      </c>
    </row>
    <row r="8" spans="2:18" s="36" customFormat="1" hidden="1" x14ac:dyDescent="0.35">
      <c r="B8" s="409" t="s">
        <v>513</v>
      </c>
      <c r="C8" s="410">
        <v>6421002604</v>
      </c>
      <c r="D8" s="411" t="s">
        <v>461</v>
      </c>
      <c r="E8" s="411" t="s">
        <v>569</v>
      </c>
      <c r="F8" s="412">
        <v>159236000</v>
      </c>
      <c r="G8" s="412">
        <v>159236000</v>
      </c>
      <c r="H8" s="412">
        <v>159236000</v>
      </c>
      <c r="I8" s="412">
        <v>159236000</v>
      </c>
      <c r="J8" s="412">
        <v>159236000</v>
      </c>
      <c r="K8" s="412">
        <v>159236000</v>
      </c>
      <c r="L8" s="412">
        <v>159236000</v>
      </c>
      <c r="M8" s="412">
        <v>159236000</v>
      </c>
      <c r="N8" s="412">
        <v>159236000</v>
      </c>
      <c r="O8" s="412">
        <v>159236000</v>
      </c>
      <c r="P8" s="412">
        <v>159236000</v>
      </c>
      <c r="Q8" s="412">
        <v>159236000</v>
      </c>
      <c r="R8" s="412">
        <f>SUM(F8:Q8)</f>
        <v>1910832000</v>
      </c>
    </row>
    <row r="9" spans="2:18" s="36" customFormat="1" hidden="1" x14ac:dyDescent="0.35">
      <c r="B9" s="409" t="s">
        <v>513</v>
      </c>
      <c r="C9" s="410">
        <v>6421002605</v>
      </c>
      <c r="D9" s="410" t="s">
        <v>462</v>
      </c>
      <c r="E9" s="411" t="s">
        <v>574</v>
      </c>
      <c r="F9" s="412">
        <v>12566600</v>
      </c>
      <c r="G9" s="412">
        <v>12566600</v>
      </c>
      <c r="H9" s="412">
        <v>12566600</v>
      </c>
      <c r="I9" s="412">
        <v>12566600</v>
      </c>
      <c r="J9" s="412">
        <v>12566600</v>
      </c>
      <c r="K9" s="412">
        <v>12566600</v>
      </c>
      <c r="L9" s="412">
        <v>12566600</v>
      </c>
      <c r="M9" s="412">
        <v>12566600</v>
      </c>
      <c r="N9" s="412">
        <v>12566600</v>
      </c>
      <c r="O9" s="412">
        <v>12566600</v>
      </c>
      <c r="P9" s="412">
        <v>12566600</v>
      </c>
      <c r="Q9" s="412">
        <v>12566600</v>
      </c>
      <c r="R9" s="412">
        <f t="shared" ref="R9:R15" si="13">SUM(F9:Q9)</f>
        <v>150799200</v>
      </c>
    </row>
    <row r="10" spans="2:18" s="36" customFormat="1" x14ac:dyDescent="0.35">
      <c r="B10" s="409" t="s">
        <v>513</v>
      </c>
      <c r="C10" s="410">
        <v>6421002802</v>
      </c>
      <c r="D10" s="411" t="s">
        <v>465</v>
      </c>
      <c r="E10" s="411" t="s">
        <v>570</v>
      </c>
      <c r="F10" s="412">
        <v>600000</v>
      </c>
      <c r="G10" s="412">
        <v>0</v>
      </c>
      <c r="H10" s="412">
        <v>0</v>
      </c>
      <c r="I10" s="412">
        <v>0</v>
      </c>
      <c r="J10" s="412">
        <v>1200000</v>
      </c>
      <c r="K10" s="412">
        <v>0</v>
      </c>
      <c r="L10" s="412">
        <v>0</v>
      </c>
      <c r="M10" s="412">
        <v>0</v>
      </c>
      <c r="N10" s="412">
        <v>600000</v>
      </c>
      <c r="O10" s="412">
        <v>0</v>
      </c>
      <c r="P10" s="412">
        <v>0</v>
      </c>
      <c r="Q10" s="412">
        <v>0</v>
      </c>
      <c r="R10" s="412">
        <f t="shared" si="13"/>
        <v>2400000</v>
      </c>
    </row>
    <row r="11" spans="2:18" s="36" customFormat="1" hidden="1" x14ac:dyDescent="0.35">
      <c r="B11" s="409" t="s">
        <v>513</v>
      </c>
      <c r="C11" s="410">
        <v>6421002806</v>
      </c>
      <c r="D11" s="410" t="s">
        <v>584</v>
      </c>
      <c r="E11" s="411" t="s">
        <v>574</v>
      </c>
      <c r="F11" s="412">
        <v>17064120</v>
      </c>
      <c r="G11" s="412">
        <v>17064120</v>
      </c>
      <c r="H11" s="412">
        <v>17064120</v>
      </c>
      <c r="I11" s="412">
        <v>17064120</v>
      </c>
      <c r="J11" s="412">
        <v>17064120</v>
      </c>
      <c r="K11" s="412">
        <v>17064120</v>
      </c>
      <c r="L11" s="412">
        <v>17064120</v>
      </c>
      <c r="M11" s="412">
        <v>17064120</v>
      </c>
      <c r="N11" s="412">
        <v>17064120</v>
      </c>
      <c r="O11" s="412">
        <v>17064120</v>
      </c>
      <c r="P11" s="412">
        <v>17064120</v>
      </c>
      <c r="Q11" s="412">
        <v>17064120</v>
      </c>
      <c r="R11" s="412">
        <f t="shared" si="13"/>
        <v>204769440</v>
      </c>
    </row>
    <row r="12" spans="2:18" s="36" customFormat="1" x14ac:dyDescent="0.35">
      <c r="B12" s="409" t="s">
        <v>513</v>
      </c>
      <c r="C12" s="410">
        <v>6421007202</v>
      </c>
      <c r="D12" s="411" t="s">
        <v>431</v>
      </c>
      <c r="E12" s="411" t="s">
        <v>570</v>
      </c>
      <c r="F12" s="412"/>
      <c r="G12" s="412">
        <v>19250000</v>
      </c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1396">
        <f t="shared" si="13"/>
        <v>19250000</v>
      </c>
    </row>
    <row r="13" spans="2:18" s="36" customFormat="1" x14ac:dyDescent="0.35">
      <c r="B13" s="409" t="s">
        <v>513</v>
      </c>
      <c r="C13" s="410">
        <v>6421003202</v>
      </c>
      <c r="D13" s="410" t="s">
        <v>467</v>
      </c>
      <c r="E13" s="411" t="s">
        <v>570</v>
      </c>
      <c r="F13" s="412">
        <v>2100000</v>
      </c>
      <c r="G13" s="412">
        <v>1848000</v>
      </c>
      <c r="H13" s="412">
        <v>2016000</v>
      </c>
      <c r="I13" s="412">
        <v>2268000</v>
      </c>
      <c r="J13" s="412">
        <v>1848000</v>
      </c>
      <c r="K13" s="412">
        <v>2268000</v>
      </c>
      <c r="L13" s="412">
        <v>2184000</v>
      </c>
      <c r="M13" s="412">
        <v>2184000</v>
      </c>
      <c r="N13" s="412">
        <v>2100000</v>
      </c>
      <c r="O13" s="412">
        <v>2100000</v>
      </c>
      <c r="P13" s="412">
        <v>2268000</v>
      </c>
      <c r="Q13" s="412">
        <v>2184000</v>
      </c>
      <c r="R13" s="412">
        <f t="shared" si="13"/>
        <v>25368000</v>
      </c>
    </row>
    <row r="14" spans="2:18" s="36" customFormat="1" hidden="1" x14ac:dyDescent="0.35">
      <c r="B14" s="409" t="s">
        <v>513</v>
      </c>
      <c r="C14" s="410">
        <v>6421002603</v>
      </c>
      <c r="D14" s="411" t="s">
        <v>466</v>
      </c>
      <c r="E14" s="411" t="s">
        <v>574</v>
      </c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>
        <f t="shared" si="13"/>
        <v>0</v>
      </c>
    </row>
    <row r="15" spans="2:18" s="36" customFormat="1" x14ac:dyDescent="0.35">
      <c r="B15" s="409" t="s">
        <v>513</v>
      </c>
      <c r="C15" s="410">
        <v>6421003401</v>
      </c>
      <c r="D15" s="410" t="s">
        <v>463</v>
      </c>
      <c r="E15" s="411" t="s">
        <v>570</v>
      </c>
      <c r="F15" s="412">
        <v>28392960</v>
      </c>
      <c r="G15" s="412">
        <v>28392960</v>
      </c>
      <c r="H15" s="412">
        <v>28392960</v>
      </c>
      <c r="I15" s="412">
        <v>28392960</v>
      </c>
      <c r="J15" s="412">
        <v>28392960</v>
      </c>
      <c r="K15" s="412">
        <v>28392960</v>
      </c>
      <c r="L15" s="412">
        <v>28392960</v>
      </c>
      <c r="M15" s="412">
        <v>28392960</v>
      </c>
      <c r="N15" s="412">
        <v>28392960</v>
      </c>
      <c r="O15" s="412">
        <v>28392960</v>
      </c>
      <c r="P15" s="412">
        <v>28392960</v>
      </c>
      <c r="Q15" s="412">
        <v>28392960</v>
      </c>
      <c r="R15" s="412">
        <f t="shared" si="13"/>
        <v>340715520</v>
      </c>
    </row>
    <row r="16" spans="2:18" s="36" customFormat="1" hidden="1" x14ac:dyDescent="0.35">
      <c r="B16" s="413" t="s">
        <v>513</v>
      </c>
      <c r="C16" s="414">
        <v>6421002703</v>
      </c>
      <c r="D16" s="415" t="s">
        <v>464</v>
      </c>
      <c r="E16" s="415" t="s">
        <v>574</v>
      </c>
      <c r="F16" s="416"/>
      <c r="G16" s="416"/>
      <c r="H16" s="416"/>
      <c r="I16" s="416"/>
      <c r="J16" s="416"/>
      <c r="K16" s="416"/>
      <c r="L16" s="416"/>
      <c r="M16" s="416"/>
      <c r="N16" s="416"/>
      <c r="O16" s="416"/>
      <c r="P16" s="416"/>
      <c r="Q16" s="416"/>
      <c r="R16" s="416">
        <f t="shared" ref="R16" si="14">SUM(F16:Q16)</f>
        <v>0</v>
      </c>
    </row>
    <row r="17" spans="2:18" s="1" customFormat="1" ht="13" hidden="1" x14ac:dyDescent="0.3">
      <c r="B17" s="400" t="s">
        <v>521</v>
      </c>
      <c r="C17" s="401"/>
      <c r="D17" s="402" t="s">
        <v>536</v>
      </c>
      <c r="E17" s="401"/>
      <c r="F17" s="403">
        <f>'Dinh bien_HCNS'!H9</f>
        <v>2</v>
      </c>
      <c r="G17" s="403">
        <f>'Dinh bien_HCNS'!I9</f>
        <v>2</v>
      </c>
      <c r="H17" s="403">
        <f>'Dinh bien_HCNS'!J9</f>
        <v>2</v>
      </c>
      <c r="I17" s="403">
        <f>'Dinh bien_HCNS'!K9</f>
        <v>2</v>
      </c>
      <c r="J17" s="403">
        <f>'Dinh bien_HCNS'!L9</f>
        <v>2</v>
      </c>
      <c r="K17" s="403">
        <f>'Dinh bien_HCNS'!M9</f>
        <v>2</v>
      </c>
      <c r="L17" s="403">
        <f>'Dinh bien_HCNS'!N9</f>
        <v>2</v>
      </c>
      <c r="M17" s="403">
        <f>'Dinh bien_HCNS'!O9</f>
        <v>2</v>
      </c>
      <c r="N17" s="403">
        <f>'Dinh bien_HCNS'!P9</f>
        <v>2</v>
      </c>
      <c r="O17" s="403">
        <f>'Dinh bien_HCNS'!Q9</f>
        <v>2</v>
      </c>
      <c r="P17" s="403">
        <f>'Dinh bien_HCNS'!R9</f>
        <v>2</v>
      </c>
      <c r="Q17" s="403">
        <f>'Dinh bien_HCNS'!S9</f>
        <v>2</v>
      </c>
      <c r="R17" s="403">
        <f>'Dinh bien_HCNS'!T9</f>
        <v>2</v>
      </c>
    </row>
    <row r="18" spans="2:18" s="1" customFormat="1" ht="13" hidden="1" x14ac:dyDescent="0.35">
      <c r="B18" s="404" t="s">
        <v>521</v>
      </c>
      <c r="C18" s="405"/>
      <c r="D18" s="406" t="s">
        <v>611</v>
      </c>
      <c r="E18" s="405"/>
      <c r="F18" s="407">
        <f>SUM(F20:F28)</f>
        <v>27239400</v>
      </c>
      <c r="G18" s="407">
        <f t="shared" ref="G18:Q18" si="15">SUM(G20:G28)</f>
        <v>26518323</v>
      </c>
      <c r="H18" s="407">
        <f t="shared" si="15"/>
        <v>25799554</v>
      </c>
      <c r="I18" s="407">
        <f t="shared" si="15"/>
        <v>28148323</v>
      </c>
      <c r="J18" s="407">
        <f t="shared" si="15"/>
        <v>26004477</v>
      </c>
      <c r="K18" s="407">
        <f t="shared" si="15"/>
        <v>28148323</v>
      </c>
      <c r="L18" s="407">
        <f t="shared" si="15"/>
        <v>27365400</v>
      </c>
      <c r="M18" s="407">
        <f t="shared" si="15"/>
        <v>27365400</v>
      </c>
      <c r="N18" s="407">
        <f t="shared" si="15"/>
        <v>27696323</v>
      </c>
      <c r="O18" s="407">
        <f t="shared" si="15"/>
        <v>26582477</v>
      </c>
      <c r="P18" s="407">
        <f t="shared" si="15"/>
        <v>28148323</v>
      </c>
      <c r="Q18" s="407">
        <f t="shared" si="15"/>
        <v>27365400</v>
      </c>
      <c r="R18" s="408">
        <f>SUM(R20:R28)</f>
        <v>326381723</v>
      </c>
    </row>
    <row r="19" spans="2:18" s="1" customFormat="1" ht="13" hidden="1" x14ac:dyDescent="0.3">
      <c r="B19" s="404" t="s">
        <v>521</v>
      </c>
      <c r="C19" s="405"/>
      <c r="D19" s="402" t="s">
        <v>537</v>
      </c>
      <c r="E19" s="405"/>
      <c r="F19" s="407">
        <f>IFERROR(SUM(F20:F27)/F17,0)</f>
        <v>13619700</v>
      </c>
      <c r="G19" s="407">
        <f t="shared" ref="G19" si="16">IFERROR(SUM(G20:G27)/G17,0)</f>
        <v>13259161.5</v>
      </c>
      <c r="H19" s="407">
        <f t="shared" ref="H19" si="17">IFERROR(SUM(H20:H27)/H17,0)</f>
        <v>12899777</v>
      </c>
      <c r="I19" s="407">
        <f t="shared" ref="I19" si="18">IFERROR(SUM(I20:I27)/I17,0)</f>
        <v>14074161.5</v>
      </c>
      <c r="J19" s="407">
        <f t="shared" ref="J19" si="19">IFERROR(SUM(J20:J27)/J17,0)</f>
        <v>13002238.5</v>
      </c>
      <c r="K19" s="407">
        <f t="shared" ref="K19" si="20">IFERROR(SUM(K20:K27)/K17,0)</f>
        <v>14074161.5</v>
      </c>
      <c r="L19" s="407">
        <f t="shared" ref="L19" si="21">IFERROR(SUM(L20:L27)/L17,0)</f>
        <v>13682700</v>
      </c>
      <c r="M19" s="407">
        <f t="shared" ref="M19" si="22">IFERROR(SUM(M20:M27)/M17,0)</f>
        <v>13682700</v>
      </c>
      <c r="N19" s="407">
        <f t="shared" ref="N19" si="23">IFERROR(SUM(N20:N27)/N17,0)</f>
        <v>13848161.5</v>
      </c>
      <c r="O19" s="407">
        <f t="shared" ref="O19" si="24">IFERROR(SUM(O20:O27)/O17,0)</f>
        <v>13291238.5</v>
      </c>
      <c r="P19" s="407">
        <f t="shared" ref="P19" si="25">IFERROR(SUM(P20:P27)/P17,0)</f>
        <v>14074161.5</v>
      </c>
      <c r="Q19" s="407">
        <f t="shared" ref="Q19" si="26">IFERROR(SUM(Q20:Q27)/Q17,0)</f>
        <v>13682700</v>
      </c>
      <c r="R19" s="408">
        <f>AVERAGEA(F19:Q19)</f>
        <v>13599238.458333334</v>
      </c>
    </row>
    <row r="20" spans="2:18" s="36" customFormat="1" ht="13" hidden="1" x14ac:dyDescent="0.35">
      <c r="B20" s="409" t="s">
        <v>521</v>
      </c>
      <c r="C20" s="410">
        <v>6421002604</v>
      </c>
      <c r="D20" s="411" t="s">
        <v>461</v>
      </c>
      <c r="E20" s="411" t="s">
        <v>569</v>
      </c>
      <c r="F20" s="412">
        <f>13880000+6750000</f>
        <v>20630000</v>
      </c>
      <c r="G20" s="412">
        <f>14336923+5940000</f>
        <v>20276923</v>
      </c>
      <c r="H20" s="412">
        <f>12966154+6480000</f>
        <v>19446154</v>
      </c>
      <c r="I20" s="412">
        <f>14336923+7290000</f>
        <v>21626923</v>
      </c>
      <c r="J20" s="412">
        <f>13423077+5940000</f>
        <v>19363077</v>
      </c>
      <c r="K20" s="412">
        <f>14336923+7290000</f>
        <v>21626923</v>
      </c>
      <c r="L20" s="412">
        <f>13880000+7020000</f>
        <v>20900000</v>
      </c>
      <c r="M20" s="412">
        <f>13880000+7020000</f>
        <v>20900000</v>
      </c>
      <c r="N20" s="412">
        <f>14336923+6750000</f>
        <v>21086923</v>
      </c>
      <c r="O20" s="412">
        <f>13423077+6750000</f>
        <v>20173077</v>
      </c>
      <c r="P20" s="412">
        <f>14336923+7290000</f>
        <v>21626923</v>
      </c>
      <c r="Q20" s="412">
        <f>13880000+7020000</f>
        <v>20900000</v>
      </c>
      <c r="R20" s="417">
        <f>SUM(F20:Q20)</f>
        <v>248556923</v>
      </c>
    </row>
    <row r="21" spans="2:18" s="36" customFormat="1" ht="13" hidden="1" x14ac:dyDescent="0.35">
      <c r="B21" s="409" t="s">
        <v>521</v>
      </c>
      <c r="C21" s="410">
        <v>6421002605</v>
      </c>
      <c r="D21" s="410" t="s">
        <v>462</v>
      </c>
      <c r="E21" s="411" t="s">
        <v>574</v>
      </c>
      <c r="F21" s="412">
        <v>940500</v>
      </c>
      <c r="G21" s="412">
        <v>940500</v>
      </c>
      <c r="H21" s="412">
        <v>940500</v>
      </c>
      <c r="I21" s="412">
        <v>940500</v>
      </c>
      <c r="J21" s="412">
        <v>940500</v>
      </c>
      <c r="K21" s="412">
        <v>940500</v>
      </c>
      <c r="L21" s="412">
        <v>940500</v>
      </c>
      <c r="M21" s="412">
        <v>940500</v>
      </c>
      <c r="N21" s="412">
        <v>940500</v>
      </c>
      <c r="O21" s="412">
        <v>940500</v>
      </c>
      <c r="P21" s="412">
        <v>940500</v>
      </c>
      <c r="Q21" s="412">
        <v>940500</v>
      </c>
      <c r="R21" s="417">
        <f t="shared" ref="R21:R27" si="27">SUM(F21:Q21)</f>
        <v>11286000</v>
      </c>
    </row>
    <row r="22" spans="2:18" s="36" customFormat="1" ht="13" x14ac:dyDescent="0.35">
      <c r="B22" s="409" t="s">
        <v>521</v>
      </c>
      <c r="C22" s="410">
        <v>6421002802</v>
      </c>
      <c r="D22" s="411" t="s">
        <v>465</v>
      </c>
      <c r="E22" s="411" t="s">
        <v>570</v>
      </c>
      <c r="F22" s="412">
        <v>200000</v>
      </c>
      <c r="G22" s="412">
        <v>0</v>
      </c>
      <c r="H22" s="412">
        <v>0</v>
      </c>
      <c r="I22" s="412">
        <v>0</v>
      </c>
      <c r="J22" s="412">
        <v>400000</v>
      </c>
      <c r="K22" s="412">
        <v>0</v>
      </c>
      <c r="L22" s="412">
        <v>0</v>
      </c>
      <c r="M22" s="412">
        <v>0</v>
      </c>
      <c r="N22" s="412">
        <v>200000</v>
      </c>
      <c r="O22" s="412">
        <v>0</v>
      </c>
      <c r="P22" s="412">
        <v>0</v>
      </c>
      <c r="Q22" s="412">
        <v>0</v>
      </c>
      <c r="R22" s="417">
        <f t="shared" si="27"/>
        <v>800000</v>
      </c>
    </row>
    <row r="23" spans="2:18" s="36" customFormat="1" ht="13" hidden="1" x14ac:dyDescent="0.35">
      <c r="B23" s="409" t="s">
        <v>521</v>
      </c>
      <c r="C23" s="410">
        <v>6421002806</v>
      </c>
      <c r="D23" s="410" t="s">
        <v>584</v>
      </c>
      <c r="E23" s="411" t="s">
        <v>574</v>
      </c>
      <c r="F23" s="412">
        <v>1277100</v>
      </c>
      <c r="G23" s="412">
        <v>1277100</v>
      </c>
      <c r="H23" s="412">
        <v>1277100</v>
      </c>
      <c r="I23" s="412">
        <v>1277100</v>
      </c>
      <c r="J23" s="412">
        <v>1277100</v>
      </c>
      <c r="K23" s="412">
        <v>1277100</v>
      </c>
      <c r="L23" s="412">
        <v>1277100</v>
      </c>
      <c r="M23" s="412">
        <v>1277100</v>
      </c>
      <c r="N23" s="412">
        <v>1277100</v>
      </c>
      <c r="O23" s="412">
        <v>1277100</v>
      </c>
      <c r="P23" s="412">
        <v>1277100</v>
      </c>
      <c r="Q23" s="412">
        <v>1277100</v>
      </c>
      <c r="R23" s="417">
        <f t="shared" si="27"/>
        <v>15325200</v>
      </c>
    </row>
    <row r="24" spans="2:18" s="36" customFormat="1" ht="13" x14ac:dyDescent="0.35">
      <c r="B24" s="409" t="s">
        <v>521</v>
      </c>
      <c r="C24" s="410">
        <v>6421007202</v>
      </c>
      <c r="D24" s="411" t="s">
        <v>431</v>
      </c>
      <c r="E24" s="411" t="s">
        <v>570</v>
      </c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7">
        <f t="shared" si="27"/>
        <v>0</v>
      </c>
    </row>
    <row r="25" spans="2:18" s="36" customFormat="1" ht="13" x14ac:dyDescent="0.35">
      <c r="B25" s="409" t="s">
        <v>521</v>
      </c>
      <c r="C25" s="410">
        <v>6421003202</v>
      </c>
      <c r="D25" s="410" t="s">
        <v>467</v>
      </c>
      <c r="E25" s="411" t="s">
        <v>570</v>
      </c>
      <c r="F25" s="412">
        <f>700000*2</f>
        <v>1400000</v>
      </c>
      <c r="G25" s="412">
        <f>616000*2</f>
        <v>1232000</v>
      </c>
      <c r="H25" s="412">
        <f>672000*2</f>
        <v>1344000</v>
      </c>
      <c r="I25" s="412">
        <f>756000*2</f>
        <v>1512000</v>
      </c>
      <c r="J25" s="412">
        <f>616000*2</f>
        <v>1232000</v>
      </c>
      <c r="K25" s="412">
        <f>756000*2</f>
        <v>1512000</v>
      </c>
      <c r="L25" s="412">
        <f>728000*2</f>
        <v>1456000</v>
      </c>
      <c r="M25" s="412">
        <f>728000*2</f>
        <v>1456000</v>
      </c>
      <c r="N25" s="412">
        <f>700000*2</f>
        <v>1400000</v>
      </c>
      <c r="O25" s="412">
        <f>700000*2</f>
        <v>1400000</v>
      </c>
      <c r="P25" s="412">
        <f>756000*2</f>
        <v>1512000</v>
      </c>
      <c r="Q25" s="412">
        <f>728000*2</f>
        <v>1456000</v>
      </c>
      <c r="R25" s="417">
        <f t="shared" si="27"/>
        <v>16912000</v>
      </c>
    </row>
    <row r="26" spans="2:18" s="36" customFormat="1" ht="13" hidden="1" x14ac:dyDescent="0.35">
      <c r="B26" s="409" t="s">
        <v>521</v>
      </c>
      <c r="C26" s="410">
        <v>6421002603</v>
      </c>
      <c r="D26" s="411" t="s">
        <v>466</v>
      </c>
      <c r="E26" s="411" t="s">
        <v>574</v>
      </c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7">
        <f t="shared" si="27"/>
        <v>0</v>
      </c>
    </row>
    <row r="27" spans="2:18" s="36" customFormat="1" ht="13" x14ac:dyDescent="0.35">
      <c r="B27" s="409" t="s">
        <v>521</v>
      </c>
      <c r="C27" s="410">
        <v>6421003401</v>
      </c>
      <c r="D27" s="410" t="s">
        <v>463</v>
      </c>
      <c r="E27" s="411" t="s">
        <v>570</v>
      </c>
      <c r="F27" s="412">
        <v>2791800</v>
      </c>
      <c r="G27" s="412">
        <v>2791800</v>
      </c>
      <c r="H27" s="412">
        <v>2791800</v>
      </c>
      <c r="I27" s="412">
        <v>2791800</v>
      </c>
      <c r="J27" s="412">
        <v>2791800</v>
      </c>
      <c r="K27" s="412">
        <v>2791800</v>
      </c>
      <c r="L27" s="412">
        <v>2791800</v>
      </c>
      <c r="M27" s="412">
        <v>2791800</v>
      </c>
      <c r="N27" s="412">
        <v>2791800</v>
      </c>
      <c r="O27" s="412">
        <v>2791800</v>
      </c>
      <c r="P27" s="412">
        <v>2791800</v>
      </c>
      <c r="Q27" s="412">
        <v>2791800</v>
      </c>
      <c r="R27" s="417">
        <f t="shared" si="27"/>
        <v>33501600</v>
      </c>
    </row>
    <row r="28" spans="2:18" s="36" customFormat="1" ht="13" hidden="1" x14ac:dyDescent="0.35">
      <c r="B28" s="413" t="s">
        <v>521</v>
      </c>
      <c r="C28" s="414">
        <v>6421002703</v>
      </c>
      <c r="D28" s="415" t="s">
        <v>464</v>
      </c>
      <c r="E28" s="415" t="s">
        <v>574</v>
      </c>
      <c r="F28" s="416"/>
      <c r="G28" s="416"/>
      <c r="H28" s="416"/>
      <c r="I28" s="416"/>
      <c r="J28" s="416"/>
      <c r="K28" s="416"/>
      <c r="L28" s="416"/>
      <c r="M28" s="416"/>
      <c r="N28" s="416"/>
      <c r="O28" s="416"/>
      <c r="P28" s="416"/>
      <c r="Q28" s="416"/>
      <c r="R28" s="418">
        <f>SUM(F28:Q28)</f>
        <v>0</v>
      </c>
    </row>
    <row r="29" spans="2:18" s="1" customFormat="1" ht="13" hidden="1" x14ac:dyDescent="0.3">
      <c r="B29" s="400" t="s">
        <v>522</v>
      </c>
      <c r="C29" s="401"/>
      <c r="D29" s="402" t="s">
        <v>536</v>
      </c>
      <c r="E29" s="401"/>
      <c r="F29" s="403">
        <f>'Dinh bien_HCNS'!H17</f>
        <v>3</v>
      </c>
      <c r="G29" s="403">
        <f>'Dinh bien_HCNS'!I17</f>
        <v>3</v>
      </c>
      <c r="H29" s="403">
        <f>'Dinh bien_HCNS'!J17</f>
        <v>3</v>
      </c>
      <c r="I29" s="403">
        <f>'Dinh bien_HCNS'!K17</f>
        <v>3</v>
      </c>
      <c r="J29" s="403">
        <f>'Dinh bien_HCNS'!L17</f>
        <v>3</v>
      </c>
      <c r="K29" s="403">
        <f>'Dinh bien_HCNS'!M17</f>
        <v>3</v>
      </c>
      <c r="L29" s="403">
        <f>'Dinh bien_HCNS'!N17</f>
        <v>3</v>
      </c>
      <c r="M29" s="403">
        <f>'Dinh bien_HCNS'!O17</f>
        <v>3</v>
      </c>
      <c r="N29" s="403">
        <f>'Dinh bien_HCNS'!P17</f>
        <v>3</v>
      </c>
      <c r="O29" s="403">
        <f>'Dinh bien_HCNS'!Q17</f>
        <v>3</v>
      </c>
      <c r="P29" s="403">
        <f>'Dinh bien_HCNS'!R17</f>
        <v>3</v>
      </c>
      <c r="Q29" s="403">
        <f>'Dinh bien_HCNS'!S17</f>
        <v>3</v>
      </c>
      <c r="R29" s="403">
        <f>'Dinh bien_HCNS'!T17</f>
        <v>3</v>
      </c>
    </row>
    <row r="30" spans="2:18" s="1" customFormat="1" ht="13" hidden="1" x14ac:dyDescent="0.35">
      <c r="B30" s="404" t="s">
        <v>522</v>
      </c>
      <c r="C30" s="405"/>
      <c r="D30" s="406" t="s">
        <v>611</v>
      </c>
      <c r="E30" s="405"/>
      <c r="F30" s="407">
        <f>SUM(F32:F40)</f>
        <v>76746454</v>
      </c>
      <c r="G30" s="407">
        <f t="shared" ref="G30:Q30" si="28">SUM(G32:G40)</f>
        <v>97131171</v>
      </c>
      <c r="H30" s="407">
        <f t="shared" si="28"/>
        <v>72057557</v>
      </c>
      <c r="I30" s="407">
        <f t="shared" si="28"/>
        <v>78323643</v>
      </c>
      <c r="J30" s="407">
        <f t="shared" si="28"/>
        <v>75080769</v>
      </c>
      <c r="K30" s="407">
        <f t="shared" si="28"/>
        <v>78323643</v>
      </c>
      <c r="L30" s="407">
        <f t="shared" si="28"/>
        <v>76234948</v>
      </c>
      <c r="M30" s="407">
        <f t="shared" si="28"/>
        <v>76234948</v>
      </c>
      <c r="N30" s="407">
        <f t="shared" si="28"/>
        <v>78746655</v>
      </c>
      <c r="O30" s="407">
        <f t="shared" si="28"/>
        <v>74146253</v>
      </c>
      <c r="P30" s="407">
        <f t="shared" si="28"/>
        <v>78323643</v>
      </c>
      <c r="Q30" s="407">
        <f t="shared" si="28"/>
        <v>76234948</v>
      </c>
      <c r="R30" s="408">
        <f>SUM(R32:R40)</f>
        <v>937584632</v>
      </c>
    </row>
    <row r="31" spans="2:18" s="1" customFormat="1" ht="13" hidden="1" x14ac:dyDescent="0.3">
      <c r="B31" s="404" t="s">
        <v>522</v>
      </c>
      <c r="C31" s="405"/>
      <c r="D31" s="402" t="s">
        <v>537</v>
      </c>
      <c r="E31" s="405"/>
      <c r="F31" s="407">
        <f>IFERROR(SUM(F32:F39)/F29,0)</f>
        <v>25582151.333333332</v>
      </c>
      <c r="G31" s="407">
        <f t="shared" ref="G31" si="29">IFERROR(SUM(G32:G39)/G29,0)</f>
        <v>32377057</v>
      </c>
      <c r="H31" s="407">
        <f t="shared" ref="H31" si="30">IFERROR(SUM(H32:H39)/H29,0)</f>
        <v>24019185.666666668</v>
      </c>
      <c r="I31" s="407">
        <f t="shared" ref="I31" si="31">IFERROR(SUM(I32:I39)/I29,0)</f>
        <v>26107881</v>
      </c>
      <c r="J31" s="407">
        <f t="shared" ref="J31" si="32">IFERROR(SUM(J32:J39)/J29,0)</f>
        <v>25026923</v>
      </c>
      <c r="K31" s="407">
        <f t="shared" ref="K31" si="33">IFERROR(SUM(K32:K39)/K29,0)</f>
        <v>26107881</v>
      </c>
      <c r="L31" s="407">
        <f t="shared" ref="L31" si="34">IFERROR(SUM(L32:L39)/L29,0)</f>
        <v>25411649.333333332</v>
      </c>
      <c r="M31" s="407">
        <f t="shared" ref="M31" si="35">IFERROR(SUM(M32:M39)/M29,0)</f>
        <v>25411649.333333332</v>
      </c>
      <c r="N31" s="407">
        <f t="shared" ref="N31" si="36">IFERROR(SUM(N32:N39)/N29,0)</f>
        <v>26248885</v>
      </c>
      <c r="O31" s="407">
        <f t="shared" ref="O31" si="37">IFERROR(SUM(O32:O39)/O29,0)</f>
        <v>24715417.666666668</v>
      </c>
      <c r="P31" s="407">
        <f t="shared" ref="P31" si="38">IFERROR(SUM(P32:P39)/P29,0)</f>
        <v>26107881</v>
      </c>
      <c r="Q31" s="407">
        <f t="shared" ref="Q31" si="39">IFERROR(SUM(Q32:Q39)/Q29,0)</f>
        <v>25411649.333333332</v>
      </c>
      <c r="R31" s="408">
        <f>AVERAGEA(F31:Q31)</f>
        <v>26044017.555555556</v>
      </c>
    </row>
    <row r="32" spans="2:18" s="36" customFormat="1" ht="13" hidden="1" x14ac:dyDescent="0.35">
      <c r="B32" s="409" t="s">
        <v>522</v>
      </c>
      <c r="C32" s="410">
        <v>6421002604</v>
      </c>
      <c r="D32" s="411" t="s">
        <v>461</v>
      </c>
      <c r="E32" s="411" t="s">
        <v>569</v>
      </c>
      <c r="F32" s="412">
        <v>52117584</v>
      </c>
      <c r="G32" s="412">
        <v>54104301</v>
      </c>
      <c r="H32" s="412">
        <v>48112687</v>
      </c>
      <c r="I32" s="412">
        <v>54126773</v>
      </c>
      <c r="J32" s="412">
        <v>50103899</v>
      </c>
      <c r="K32" s="412">
        <v>54126773</v>
      </c>
      <c r="L32" s="412">
        <v>52122078</v>
      </c>
      <c r="M32" s="412">
        <v>52122078</v>
      </c>
      <c r="N32" s="412">
        <v>54117785</v>
      </c>
      <c r="O32" s="412">
        <v>50117383</v>
      </c>
      <c r="P32" s="412">
        <v>54126773</v>
      </c>
      <c r="Q32" s="412">
        <v>52122078</v>
      </c>
      <c r="R32" s="417">
        <f>SUM(F32:Q32)</f>
        <v>627420192</v>
      </c>
    </row>
    <row r="33" spans="2:18" s="36" customFormat="1" ht="13" hidden="1" x14ac:dyDescent="0.35">
      <c r="B33" s="409" t="s">
        <v>522</v>
      </c>
      <c r="C33" s="410">
        <v>6421002605</v>
      </c>
      <c r="D33" s="410" t="s">
        <v>462</v>
      </c>
      <c r="E33" s="411" t="s">
        <v>574</v>
      </c>
      <c r="F33" s="412">
        <v>4117081</v>
      </c>
      <c r="G33" s="412">
        <v>4117081</v>
      </c>
      <c r="H33" s="412">
        <v>4117081</v>
      </c>
      <c r="I33" s="412">
        <v>4117081</v>
      </c>
      <c r="J33" s="412">
        <v>4117081</v>
      </c>
      <c r="K33" s="412">
        <v>4117081</v>
      </c>
      <c r="L33" s="412">
        <v>4117081</v>
      </c>
      <c r="M33" s="412">
        <v>4117081</v>
      </c>
      <c r="N33" s="412">
        <v>4117081</v>
      </c>
      <c r="O33" s="412">
        <v>4117081</v>
      </c>
      <c r="P33" s="412">
        <v>4117081</v>
      </c>
      <c r="Q33" s="412">
        <v>4117081</v>
      </c>
      <c r="R33" s="417">
        <f t="shared" ref="R33:R40" si="40">SUM(F33:Q33)</f>
        <v>49404972</v>
      </c>
    </row>
    <row r="34" spans="2:18" s="36" customFormat="1" ht="13" x14ac:dyDescent="0.35">
      <c r="B34" s="409" t="s">
        <v>522</v>
      </c>
      <c r="C34" s="410">
        <v>6421002802</v>
      </c>
      <c r="D34" s="411" t="s">
        <v>465</v>
      </c>
      <c r="E34" s="411" t="s">
        <v>570</v>
      </c>
      <c r="F34" s="412">
        <v>600000</v>
      </c>
      <c r="G34" s="412">
        <v>0</v>
      </c>
      <c r="H34" s="412">
        <v>0</v>
      </c>
      <c r="I34" s="412">
        <v>0</v>
      </c>
      <c r="J34" s="412">
        <v>1200000</v>
      </c>
      <c r="K34" s="412">
        <v>0</v>
      </c>
      <c r="L34" s="412">
        <v>0</v>
      </c>
      <c r="M34" s="412">
        <v>0</v>
      </c>
      <c r="N34" s="412">
        <v>600000</v>
      </c>
      <c r="O34" s="412">
        <v>0</v>
      </c>
      <c r="P34" s="412">
        <v>0</v>
      </c>
      <c r="Q34" s="412">
        <v>0</v>
      </c>
      <c r="R34" s="417">
        <f t="shared" si="40"/>
        <v>2400000</v>
      </c>
    </row>
    <row r="35" spans="2:18" s="36" customFormat="1" ht="13" hidden="1" x14ac:dyDescent="0.35">
      <c r="B35" s="409" t="s">
        <v>522</v>
      </c>
      <c r="C35" s="1023">
        <v>6421002806</v>
      </c>
      <c r="D35" s="1023" t="s">
        <v>584</v>
      </c>
      <c r="E35" s="1024" t="s">
        <v>574</v>
      </c>
      <c r="F35" s="1025">
        <v>5590562</v>
      </c>
      <c r="G35" s="1025">
        <v>5590562</v>
      </c>
      <c r="H35" s="1025">
        <v>5590562</v>
      </c>
      <c r="I35" s="1025">
        <v>5590562</v>
      </c>
      <c r="J35" s="1025">
        <v>5590562</v>
      </c>
      <c r="K35" s="1025">
        <v>5590562</v>
      </c>
      <c r="L35" s="1025">
        <v>5590562</v>
      </c>
      <c r="M35" s="1025">
        <v>5590562</v>
      </c>
      <c r="N35" s="1025">
        <v>5590562</v>
      </c>
      <c r="O35" s="1025">
        <v>5590562</v>
      </c>
      <c r="P35" s="1025">
        <v>5590562</v>
      </c>
      <c r="Q35" s="1025">
        <v>5590562</v>
      </c>
      <c r="R35" s="417">
        <f t="shared" si="40"/>
        <v>67086744</v>
      </c>
    </row>
    <row r="36" spans="2:18" s="36" customFormat="1" ht="13" x14ac:dyDescent="0.35">
      <c r="B36" s="409" t="s">
        <v>522</v>
      </c>
      <c r="C36" s="410">
        <v>6421007202</v>
      </c>
      <c r="D36" s="411" t="s">
        <v>431</v>
      </c>
      <c r="E36" s="411" t="s">
        <v>570</v>
      </c>
      <c r="F36" s="412"/>
      <c r="G36" s="412">
        <v>19250000</v>
      </c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7">
        <f t="shared" si="40"/>
        <v>19250000</v>
      </c>
    </row>
    <row r="37" spans="2:18" s="36" customFormat="1" ht="13" x14ac:dyDescent="0.35">
      <c r="B37" s="409" t="s">
        <v>522</v>
      </c>
      <c r="C37" s="410">
        <v>6421003202</v>
      </c>
      <c r="D37" s="410" t="s">
        <v>467</v>
      </c>
      <c r="E37" s="411" t="s">
        <v>570</v>
      </c>
      <c r="F37" s="412">
        <v>2100000</v>
      </c>
      <c r="G37" s="412">
        <v>1848000</v>
      </c>
      <c r="H37" s="412">
        <v>2016000</v>
      </c>
      <c r="I37" s="412">
        <v>2268000</v>
      </c>
      <c r="J37" s="412">
        <v>1848000</v>
      </c>
      <c r="K37" s="412">
        <v>2268000</v>
      </c>
      <c r="L37" s="412">
        <v>2184000</v>
      </c>
      <c r="M37" s="412">
        <v>2184000</v>
      </c>
      <c r="N37" s="412">
        <v>2100000</v>
      </c>
      <c r="O37" s="412">
        <v>2100000</v>
      </c>
      <c r="P37" s="412">
        <v>2268000</v>
      </c>
      <c r="Q37" s="412">
        <v>2184000</v>
      </c>
      <c r="R37" s="417">
        <f t="shared" si="40"/>
        <v>25368000</v>
      </c>
    </row>
    <row r="38" spans="2:18" s="36" customFormat="1" ht="13" hidden="1" x14ac:dyDescent="0.35">
      <c r="B38" s="409" t="s">
        <v>522</v>
      </c>
      <c r="C38" s="410">
        <v>6421002603</v>
      </c>
      <c r="D38" s="411" t="s">
        <v>466</v>
      </c>
      <c r="E38" s="411" t="s">
        <v>574</v>
      </c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417">
        <f t="shared" si="40"/>
        <v>0</v>
      </c>
    </row>
    <row r="39" spans="2:18" s="36" customFormat="1" ht="13" x14ac:dyDescent="0.35">
      <c r="B39" s="409" t="s">
        <v>522</v>
      </c>
      <c r="C39" s="410">
        <v>6421003401</v>
      </c>
      <c r="D39" s="410" t="s">
        <v>463</v>
      </c>
      <c r="E39" s="411" t="s">
        <v>570</v>
      </c>
      <c r="F39" s="412">
        <v>12221227</v>
      </c>
      <c r="G39" s="412">
        <v>12221227</v>
      </c>
      <c r="H39" s="412">
        <v>12221227</v>
      </c>
      <c r="I39" s="412">
        <v>12221227</v>
      </c>
      <c r="J39" s="412">
        <v>12221227</v>
      </c>
      <c r="K39" s="412">
        <v>12221227</v>
      </c>
      <c r="L39" s="412">
        <v>12221227</v>
      </c>
      <c r="M39" s="412">
        <v>12221227</v>
      </c>
      <c r="N39" s="412">
        <v>12221227</v>
      </c>
      <c r="O39" s="412">
        <v>12221227</v>
      </c>
      <c r="P39" s="412">
        <v>12221227</v>
      </c>
      <c r="Q39" s="412">
        <v>12221227</v>
      </c>
      <c r="R39" s="417">
        <f t="shared" si="40"/>
        <v>146654724</v>
      </c>
    </row>
    <row r="40" spans="2:18" s="36" customFormat="1" ht="13" hidden="1" x14ac:dyDescent="0.35">
      <c r="B40" s="413" t="s">
        <v>522</v>
      </c>
      <c r="C40" s="414">
        <v>6421002703</v>
      </c>
      <c r="D40" s="415" t="s">
        <v>464</v>
      </c>
      <c r="E40" s="415" t="s">
        <v>574</v>
      </c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8">
        <f t="shared" si="40"/>
        <v>0</v>
      </c>
    </row>
    <row r="41" spans="2:18" s="1" customFormat="1" ht="13" hidden="1" x14ac:dyDescent="0.3">
      <c r="B41" s="400" t="s">
        <v>524</v>
      </c>
      <c r="C41" s="401"/>
      <c r="D41" s="402" t="s">
        <v>536</v>
      </c>
      <c r="E41" s="401"/>
      <c r="F41" s="403">
        <f>'Dinh bien_HCNS'!H22</f>
        <v>0</v>
      </c>
      <c r="G41" s="403">
        <f>'Dinh bien_HCNS'!I22</f>
        <v>0</v>
      </c>
      <c r="H41" s="403">
        <f>'Dinh bien_HCNS'!J22</f>
        <v>0</v>
      </c>
      <c r="I41" s="403">
        <f>'Dinh bien_HCNS'!K22</f>
        <v>0</v>
      </c>
      <c r="J41" s="403">
        <f>'Dinh bien_HCNS'!L22</f>
        <v>0</v>
      </c>
      <c r="K41" s="403">
        <f>'Dinh bien_HCNS'!M22</f>
        <v>0</v>
      </c>
      <c r="L41" s="403">
        <f>'Dinh bien_HCNS'!N22</f>
        <v>0</v>
      </c>
      <c r="M41" s="403">
        <f>'Dinh bien_HCNS'!O22</f>
        <v>0</v>
      </c>
      <c r="N41" s="403">
        <f>'Dinh bien_HCNS'!P22</f>
        <v>0</v>
      </c>
      <c r="O41" s="403">
        <f>'Dinh bien_HCNS'!Q22</f>
        <v>0</v>
      </c>
      <c r="P41" s="403">
        <f>'Dinh bien_HCNS'!R22</f>
        <v>0</v>
      </c>
      <c r="Q41" s="403">
        <f>'Dinh bien_HCNS'!S22</f>
        <v>0</v>
      </c>
      <c r="R41" s="403">
        <f>'Dinh bien_HCNS'!T22</f>
        <v>0</v>
      </c>
    </row>
    <row r="42" spans="2:18" s="1" customFormat="1" ht="13" hidden="1" x14ac:dyDescent="0.35">
      <c r="B42" s="404" t="s">
        <v>524</v>
      </c>
      <c r="C42" s="405"/>
      <c r="D42" s="406" t="s">
        <v>611</v>
      </c>
      <c r="E42" s="405"/>
      <c r="F42" s="407">
        <f>SUM(F44:F51)</f>
        <v>0</v>
      </c>
      <c r="G42" s="407">
        <f t="shared" ref="G42:Q42" si="41">SUM(G44:G51)</f>
        <v>0</v>
      </c>
      <c r="H42" s="407">
        <f t="shared" si="41"/>
        <v>0</v>
      </c>
      <c r="I42" s="407">
        <f t="shared" si="41"/>
        <v>0</v>
      </c>
      <c r="J42" s="407">
        <f t="shared" si="41"/>
        <v>0</v>
      </c>
      <c r="K42" s="407">
        <f t="shared" si="41"/>
        <v>0</v>
      </c>
      <c r="L42" s="407">
        <f t="shared" si="41"/>
        <v>0</v>
      </c>
      <c r="M42" s="407">
        <f t="shared" si="41"/>
        <v>0</v>
      </c>
      <c r="N42" s="407">
        <f t="shared" si="41"/>
        <v>0</v>
      </c>
      <c r="O42" s="407">
        <f t="shared" si="41"/>
        <v>0</v>
      </c>
      <c r="P42" s="407">
        <f t="shared" si="41"/>
        <v>0</v>
      </c>
      <c r="Q42" s="407">
        <f t="shared" si="41"/>
        <v>0</v>
      </c>
      <c r="R42" s="408">
        <f t="shared" ref="R42:R54" si="42">SUM(F42:Q42)</f>
        <v>0</v>
      </c>
    </row>
    <row r="43" spans="2:18" s="1" customFormat="1" ht="13" hidden="1" x14ac:dyDescent="0.3">
      <c r="B43" s="404" t="s">
        <v>524</v>
      </c>
      <c r="C43" s="405"/>
      <c r="D43" s="402" t="s">
        <v>537</v>
      </c>
      <c r="E43" s="405"/>
      <c r="F43" s="407">
        <f>IFERROR(SUM(F44:F51)/F41,0)</f>
        <v>0</v>
      </c>
      <c r="G43" s="407">
        <f t="shared" ref="G43" si="43">IFERROR(SUM(G44:G51)/G41,0)</f>
        <v>0</v>
      </c>
      <c r="H43" s="407">
        <f t="shared" ref="H43" si="44">IFERROR(SUM(H44:H51)/H41,0)</f>
        <v>0</v>
      </c>
      <c r="I43" s="407">
        <f t="shared" ref="I43" si="45">IFERROR(SUM(I44:I51)/I41,0)</f>
        <v>0</v>
      </c>
      <c r="J43" s="407">
        <f t="shared" ref="J43" si="46">IFERROR(SUM(J44:J51)/J41,0)</f>
        <v>0</v>
      </c>
      <c r="K43" s="407">
        <f t="shared" ref="K43" si="47">IFERROR(SUM(K44:K51)/K41,0)</f>
        <v>0</v>
      </c>
      <c r="L43" s="407">
        <f t="shared" ref="L43" si="48">IFERROR(SUM(L44:L51)/L41,0)</f>
        <v>0</v>
      </c>
      <c r="M43" s="407">
        <f t="shared" ref="M43" si="49">IFERROR(SUM(M44:M51)/M41,0)</f>
        <v>0</v>
      </c>
      <c r="N43" s="407">
        <f t="shared" ref="N43" si="50">IFERROR(SUM(N44:N51)/N41,0)</f>
        <v>0</v>
      </c>
      <c r="O43" s="407">
        <f t="shared" ref="O43" si="51">IFERROR(SUM(O44:O51)/O41,0)</f>
        <v>0</v>
      </c>
      <c r="P43" s="407">
        <f t="shared" ref="P43" si="52">IFERROR(SUM(P44:P51)/P41,0)</f>
        <v>0</v>
      </c>
      <c r="Q43" s="407">
        <f t="shared" ref="Q43" si="53">IFERROR(SUM(Q44:Q51)/Q41,0)</f>
        <v>0</v>
      </c>
      <c r="R43" s="408">
        <f>AVERAGEA(F43:Q43)</f>
        <v>0</v>
      </c>
    </row>
    <row r="44" spans="2:18" s="36" customFormat="1" ht="13" hidden="1" x14ac:dyDescent="0.35">
      <c r="B44" s="409" t="s">
        <v>524</v>
      </c>
      <c r="C44" s="410">
        <v>6421002604</v>
      </c>
      <c r="D44" s="411" t="s">
        <v>461</v>
      </c>
      <c r="E44" s="411" t="s">
        <v>569</v>
      </c>
      <c r="F44" s="1025"/>
      <c r="G44" s="1025"/>
      <c r="H44" s="1025"/>
      <c r="I44" s="1025"/>
      <c r="J44" s="1025"/>
      <c r="K44" s="1025"/>
      <c r="L44" s="1025"/>
      <c r="M44" s="1025"/>
      <c r="N44" s="1025"/>
      <c r="O44" s="1025"/>
      <c r="P44" s="1025"/>
      <c r="Q44" s="1025"/>
      <c r="R44" s="417">
        <f>SUM(F44:Q44)</f>
        <v>0</v>
      </c>
    </row>
    <row r="45" spans="2:18" s="36" customFormat="1" ht="13" hidden="1" x14ac:dyDescent="0.35">
      <c r="B45" s="409" t="s">
        <v>524</v>
      </c>
      <c r="C45" s="410">
        <v>6421002605</v>
      </c>
      <c r="D45" s="410" t="s">
        <v>462</v>
      </c>
      <c r="E45" s="411" t="s">
        <v>574</v>
      </c>
      <c r="F45" s="1025"/>
      <c r="G45" s="1025"/>
      <c r="H45" s="1025"/>
      <c r="I45" s="1025"/>
      <c r="J45" s="1025"/>
      <c r="K45" s="1025"/>
      <c r="L45" s="1025"/>
      <c r="M45" s="1025"/>
      <c r="N45" s="1025"/>
      <c r="O45" s="1025"/>
      <c r="P45" s="1025"/>
      <c r="Q45" s="1025"/>
      <c r="R45" s="417">
        <f t="shared" ref="R45:R52" si="54">SUM(F45:Q45)</f>
        <v>0</v>
      </c>
    </row>
    <row r="46" spans="2:18" s="36" customFormat="1" ht="13" x14ac:dyDescent="0.35">
      <c r="B46" s="409" t="s">
        <v>524</v>
      </c>
      <c r="C46" s="410">
        <v>6421002802</v>
      </c>
      <c r="D46" s="411" t="s">
        <v>465</v>
      </c>
      <c r="E46" s="411" t="s">
        <v>570</v>
      </c>
      <c r="F46" s="1025"/>
      <c r="G46" s="1025"/>
      <c r="H46" s="1025"/>
      <c r="I46" s="1025"/>
      <c r="J46" s="1025"/>
      <c r="K46" s="1025"/>
      <c r="L46" s="1025"/>
      <c r="M46" s="1025"/>
      <c r="N46" s="1025"/>
      <c r="O46" s="1025"/>
      <c r="P46" s="1025"/>
      <c r="Q46" s="1025"/>
      <c r="R46" s="417">
        <f t="shared" si="54"/>
        <v>0</v>
      </c>
    </row>
    <row r="47" spans="2:18" s="36" customFormat="1" ht="13" hidden="1" x14ac:dyDescent="0.35">
      <c r="B47" s="409" t="s">
        <v>524</v>
      </c>
      <c r="C47" s="410">
        <v>6421002806</v>
      </c>
      <c r="D47" s="410" t="s">
        <v>584</v>
      </c>
      <c r="E47" s="411" t="s">
        <v>574</v>
      </c>
      <c r="F47" s="1025"/>
      <c r="G47" s="1025"/>
      <c r="H47" s="1025"/>
      <c r="I47" s="1025"/>
      <c r="J47" s="1025"/>
      <c r="K47" s="1025"/>
      <c r="L47" s="1025"/>
      <c r="M47" s="1025"/>
      <c r="N47" s="1025"/>
      <c r="O47" s="1025"/>
      <c r="P47" s="1025"/>
      <c r="Q47" s="1025"/>
      <c r="R47" s="417">
        <f t="shared" si="54"/>
        <v>0</v>
      </c>
    </row>
    <row r="48" spans="2:18" s="36" customFormat="1" ht="13" x14ac:dyDescent="0.35">
      <c r="B48" s="409" t="s">
        <v>524</v>
      </c>
      <c r="C48" s="410">
        <v>6421007202</v>
      </c>
      <c r="D48" s="411" t="s">
        <v>431</v>
      </c>
      <c r="E48" s="411" t="s">
        <v>570</v>
      </c>
      <c r="F48" s="1025"/>
      <c r="G48" s="1025"/>
      <c r="H48" s="1025"/>
      <c r="I48" s="1025"/>
      <c r="J48" s="1025"/>
      <c r="K48" s="1025"/>
      <c r="L48" s="1025"/>
      <c r="M48" s="1025"/>
      <c r="N48" s="1025"/>
      <c r="O48" s="1025"/>
      <c r="P48" s="1025"/>
      <c r="Q48" s="1025"/>
      <c r="R48" s="417">
        <f t="shared" si="54"/>
        <v>0</v>
      </c>
    </row>
    <row r="49" spans="2:18" s="36" customFormat="1" ht="13" x14ac:dyDescent="0.35">
      <c r="B49" s="409" t="s">
        <v>524</v>
      </c>
      <c r="C49" s="410">
        <v>6421003202</v>
      </c>
      <c r="D49" s="410" t="s">
        <v>467</v>
      </c>
      <c r="E49" s="411" t="s">
        <v>570</v>
      </c>
      <c r="F49" s="1025"/>
      <c r="G49" s="1025"/>
      <c r="H49" s="1025"/>
      <c r="I49" s="1025"/>
      <c r="J49" s="1025"/>
      <c r="K49" s="1025"/>
      <c r="L49" s="1025"/>
      <c r="M49" s="1025"/>
      <c r="N49" s="1025"/>
      <c r="O49" s="1025"/>
      <c r="P49" s="1025"/>
      <c r="Q49" s="1025"/>
      <c r="R49" s="417">
        <f t="shared" si="54"/>
        <v>0</v>
      </c>
    </row>
    <row r="50" spans="2:18" s="36" customFormat="1" ht="13" hidden="1" x14ac:dyDescent="0.35">
      <c r="B50" s="409" t="s">
        <v>524</v>
      </c>
      <c r="C50" s="410">
        <v>6421002603</v>
      </c>
      <c r="D50" s="411" t="s">
        <v>466</v>
      </c>
      <c r="E50" s="411" t="s">
        <v>574</v>
      </c>
      <c r="F50" s="1025"/>
      <c r="G50" s="1025"/>
      <c r="H50" s="1025"/>
      <c r="I50" s="1025"/>
      <c r="J50" s="1025"/>
      <c r="K50" s="1025"/>
      <c r="L50" s="1025"/>
      <c r="M50" s="1025"/>
      <c r="N50" s="1025"/>
      <c r="O50" s="1025"/>
      <c r="P50" s="1025"/>
      <c r="Q50" s="1025"/>
      <c r="R50" s="417">
        <f t="shared" si="54"/>
        <v>0</v>
      </c>
    </row>
    <row r="51" spans="2:18" s="36" customFormat="1" ht="13" x14ac:dyDescent="0.35">
      <c r="B51" s="409" t="s">
        <v>524</v>
      </c>
      <c r="C51" s="410">
        <v>6421003401</v>
      </c>
      <c r="D51" s="410" t="s">
        <v>463</v>
      </c>
      <c r="E51" s="411" t="s">
        <v>570</v>
      </c>
      <c r="F51" s="1025"/>
      <c r="G51" s="1025"/>
      <c r="H51" s="1025"/>
      <c r="I51" s="1025"/>
      <c r="J51" s="1025"/>
      <c r="K51" s="1025"/>
      <c r="L51" s="1025"/>
      <c r="M51" s="1025"/>
      <c r="N51" s="1025"/>
      <c r="O51" s="1025"/>
      <c r="P51" s="1025"/>
      <c r="Q51" s="1025"/>
      <c r="R51" s="417">
        <f t="shared" si="54"/>
        <v>0</v>
      </c>
    </row>
    <row r="52" spans="2:18" s="36" customFormat="1" ht="13" hidden="1" x14ac:dyDescent="0.35">
      <c r="B52" s="413" t="s">
        <v>524</v>
      </c>
      <c r="C52" s="414">
        <v>6421002703</v>
      </c>
      <c r="D52" s="415" t="s">
        <v>464</v>
      </c>
      <c r="E52" s="415" t="s">
        <v>574</v>
      </c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6"/>
      <c r="Q52" s="416"/>
      <c r="R52" s="418">
        <f t="shared" si="54"/>
        <v>0</v>
      </c>
    </row>
    <row r="53" spans="2:18" s="1" customFormat="1" ht="13" hidden="1" x14ac:dyDescent="0.3">
      <c r="B53" s="400" t="s">
        <v>514</v>
      </c>
      <c r="C53" s="401"/>
      <c r="D53" s="402" t="s">
        <v>536</v>
      </c>
      <c r="E53" s="401"/>
      <c r="F53" s="403"/>
      <c r="G53" s="403"/>
      <c r="H53" s="403"/>
      <c r="I53" s="403"/>
      <c r="J53" s="403"/>
      <c r="K53" s="403"/>
      <c r="L53" s="403"/>
      <c r="M53" s="403"/>
      <c r="N53" s="403"/>
      <c r="O53" s="403"/>
      <c r="P53" s="403"/>
      <c r="Q53" s="403"/>
      <c r="R53" s="403"/>
    </row>
    <row r="54" spans="2:18" s="1" customFormat="1" ht="13" hidden="1" x14ac:dyDescent="0.35">
      <c r="B54" s="404" t="s">
        <v>514</v>
      </c>
      <c r="C54" s="405"/>
      <c r="D54" s="406" t="s">
        <v>611</v>
      </c>
      <c r="E54" s="405"/>
      <c r="F54" s="407">
        <f t="shared" ref="F54:Q54" si="55">SUM(F56:F63)</f>
        <v>0</v>
      </c>
      <c r="G54" s="407">
        <f t="shared" si="55"/>
        <v>0</v>
      </c>
      <c r="H54" s="407">
        <f t="shared" si="55"/>
        <v>0</v>
      </c>
      <c r="I54" s="407">
        <f t="shared" si="55"/>
        <v>0</v>
      </c>
      <c r="J54" s="407">
        <f t="shared" si="55"/>
        <v>0</v>
      </c>
      <c r="K54" s="407">
        <f t="shared" si="55"/>
        <v>0</v>
      </c>
      <c r="L54" s="407">
        <f t="shared" si="55"/>
        <v>0</v>
      </c>
      <c r="M54" s="407">
        <f t="shared" si="55"/>
        <v>0</v>
      </c>
      <c r="N54" s="407">
        <f t="shared" si="55"/>
        <v>0</v>
      </c>
      <c r="O54" s="407">
        <f t="shared" si="55"/>
        <v>0</v>
      </c>
      <c r="P54" s="407">
        <f t="shared" si="55"/>
        <v>0</v>
      </c>
      <c r="Q54" s="407">
        <f t="shared" si="55"/>
        <v>0</v>
      </c>
      <c r="R54" s="408">
        <f t="shared" si="42"/>
        <v>0</v>
      </c>
    </row>
    <row r="55" spans="2:18" s="1" customFormat="1" ht="13" hidden="1" x14ac:dyDescent="0.3">
      <c r="B55" s="404" t="s">
        <v>514</v>
      </c>
      <c r="C55" s="405"/>
      <c r="D55" s="402" t="s">
        <v>537</v>
      </c>
      <c r="E55" s="405"/>
      <c r="F55" s="407">
        <f>IFERROR(SUM(F56:F63)/F53,0)</f>
        <v>0</v>
      </c>
      <c r="G55" s="407">
        <f t="shared" ref="G55:Q55" si="56">IFERROR(SUM(G56:G63)/G53,0)</f>
        <v>0</v>
      </c>
      <c r="H55" s="407">
        <f t="shared" si="56"/>
        <v>0</v>
      </c>
      <c r="I55" s="407">
        <f t="shared" si="56"/>
        <v>0</v>
      </c>
      <c r="J55" s="407">
        <f t="shared" si="56"/>
        <v>0</v>
      </c>
      <c r="K55" s="407">
        <f t="shared" si="56"/>
        <v>0</v>
      </c>
      <c r="L55" s="407">
        <f t="shared" si="56"/>
        <v>0</v>
      </c>
      <c r="M55" s="407">
        <f t="shared" si="56"/>
        <v>0</v>
      </c>
      <c r="N55" s="407">
        <f t="shared" si="56"/>
        <v>0</v>
      </c>
      <c r="O55" s="407">
        <f t="shared" si="56"/>
        <v>0</v>
      </c>
      <c r="P55" s="407">
        <f t="shared" si="56"/>
        <v>0</v>
      </c>
      <c r="Q55" s="407">
        <f t="shared" si="56"/>
        <v>0</v>
      </c>
      <c r="R55" s="408">
        <f>AVERAGEA(F55:Q55)</f>
        <v>0</v>
      </c>
    </row>
    <row r="56" spans="2:18" s="36" customFormat="1" ht="13" hidden="1" x14ac:dyDescent="0.35">
      <c r="B56" s="409" t="s">
        <v>514</v>
      </c>
      <c r="C56" s="410">
        <v>6421002604</v>
      </c>
      <c r="D56" s="411" t="s">
        <v>461</v>
      </c>
      <c r="E56" s="411" t="s">
        <v>569</v>
      </c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7">
        <f>SUM(F56:Q56)</f>
        <v>0</v>
      </c>
    </row>
    <row r="57" spans="2:18" s="36" customFormat="1" ht="13" hidden="1" x14ac:dyDescent="0.35">
      <c r="B57" s="409" t="s">
        <v>514</v>
      </c>
      <c r="C57" s="410">
        <v>6421002605</v>
      </c>
      <c r="D57" s="410" t="s">
        <v>462</v>
      </c>
      <c r="E57" s="411" t="s">
        <v>574</v>
      </c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7">
        <f t="shared" ref="R57:R64" si="57">SUM(F57:Q57)</f>
        <v>0</v>
      </c>
    </row>
    <row r="58" spans="2:18" s="36" customFormat="1" ht="13" x14ac:dyDescent="0.35">
      <c r="B58" s="409" t="s">
        <v>514</v>
      </c>
      <c r="C58" s="410">
        <v>6421002802</v>
      </c>
      <c r="D58" s="411" t="s">
        <v>465</v>
      </c>
      <c r="E58" s="411" t="s">
        <v>570</v>
      </c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7">
        <f t="shared" si="57"/>
        <v>0</v>
      </c>
    </row>
    <row r="59" spans="2:18" s="36" customFormat="1" ht="13" hidden="1" x14ac:dyDescent="0.35">
      <c r="B59" s="409" t="s">
        <v>514</v>
      </c>
      <c r="C59" s="410">
        <v>6421002806</v>
      </c>
      <c r="D59" s="410" t="s">
        <v>584</v>
      </c>
      <c r="E59" s="411" t="s">
        <v>574</v>
      </c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7">
        <f t="shared" si="57"/>
        <v>0</v>
      </c>
    </row>
    <row r="60" spans="2:18" s="36" customFormat="1" ht="13" x14ac:dyDescent="0.35">
      <c r="B60" s="409" t="s">
        <v>514</v>
      </c>
      <c r="C60" s="410">
        <v>6421007202</v>
      </c>
      <c r="D60" s="411" t="s">
        <v>431</v>
      </c>
      <c r="E60" s="411" t="s">
        <v>570</v>
      </c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7">
        <f t="shared" si="57"/>
        <v>0</v>
      </c>
    </row>
    <row r="61" spans="2:18" s="36" customFormat="1" ht="13" x14ac:dyDescent="0.35">
      <c r="B61" s="409" t="s">
        <v>514</v>
      </c>
      <c r="C61" s="410">
        <v>6421003202</v>
      </c>
      <c r="D61" s="410" t="s">
        <v>467</v>
      </c>
      <c r="E61" s="411" t="s">
        <v>570</v>
      </c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7">
        <f t="shared" si="57"/>
        <v>0</v>
      </c>
    </row>
    <row r="62" spans="2:18" s="36" customFormat="1" ht="13" hidden="1" x14ac:dyDescent="0.35">
      <c r="B62" s="409" t="s">
        <v>514</v>
      </c>
      <c r="C62" s="410">
        <v>6421002603</v>
      </c>
      <c r="D62" s="411" t="s">
        <v>466</v>
      </c>
      <c r="E62" s="411" t="s">
        <v>574</v>
      </c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7">
        <f t="shared" si="57"/>
        <v>0</v>
      </c>
    </row>
    <row r="63" spans="2:18" s="36" customFormat="1" ht="13" x14ac:dyDescent="0.35">
      <c r="B63" s="409" t="s">
        <v>514</v>
      </c>
      <c r="C63" s="410">
        <v>6421003401</v>
      </c>
      <c r="D63" s="410" t="s">
        <v>463</v>
      </c>
      <c r="E63" s="411" t="s">
        <v>570</v>
      </c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7">
        <f t="shared" si="57"/>
        <v>0</v>
      </c>
    </row>
    <row r="64" spans="2:18" s="36" customFormat="1" ht="13" hidden="1" x14ac:dyDescent="0.35">
      <c r="B64" s="413" t="s">
        <v>514</v>
      </c>
      <c r="C64" s="414">
        <v>6421002703</v>
      </c>
      <c r="D64" s="415" t="s">
        <v>464</v>
      </c>
      <c r="E64" s="415" t="s">
        <v>574</v>
      </c>
      <c r="F64" s="416"/>
      <c r="G64" s="416"/>
      <c r="H64" s="416"/>
      <c r="I64" s="416"/>
      <c r="J64" s="416"/>
      <c r="K64" s="416"/>
      <c r="L64" s="416"/>
      <c r="M64" s="416"/>
      <c r="N64" s="416"/>
      <c r="O64" s="416"/>
      <c r="P64" s="416"/>
      <c r="Q64" s="416"/>
      <c r="R64" s="418">
        <f t="shared" si="57"/>
        <v>0</v>
      </c>
    </row>
    <row r="65" spans="2:18" s="1" customFormat="1" ht="13" hidden="1" x14ac:dyDescent="0.3">
      <c r="B65" s="400" t="s">
        <v>525</v>
      </c>
      <c r="C65" s="401"/>
      <c r="D65" s="402" t="s">
        <v>536</v>
      </c>
      <c r="E65" s="401"/>
      <c r="F65" s="403"/>
      <c r="G65" s="403"/>
      <c r="H65" s="403"/>
      <c r="I65" s="403"/>
      <c r="J65" s="403"/>
      <c r="K65" s="403"/>
      <c r="L65" s="403"/>
      <c r="M65" s="403"/>
      <c r="N65" s="403"/>
      <c r="O65" s="403"/>
      <c r="P65" s="403"/>
      <c r="Q65" s="403"/>
      <c r="R65" s="403"/>
    </row>
    <row r="66" spans="2:18" s="1" customFormat="1" ht="13" hidden="1" x14ac:dyDescent="0.35">
      <c r="B66" s="404" t="s">
        <v>525</v>
      </c>
      <c r="C66" s="405"/>
      <c r="D66" s="406" t="s">
        <v>611</v>
      </c>
      <c r="E66" s="405"/>
      <c r="F66" s="407">
        <f t="shared" ref="F66:Q66" si="58">SUM(F68:F75)</f>
        <v>0</v>
      </c>
      <c r="G66" s="407">
        <f t="shared" si="58"/>
        <v>0</v>
      </c>
      <c r="H66" s="407">
        <f t="shared" si="58"/>
        <v>0</v>
      </c>
      <c r="I66" s="407">
        <f t="shared" si="58"/>
        <v>0</v>
      </c>
      <c r="J66" s="407">
        <f t="shared" si="58"/>
        <v>0</v>
      </c>
      <c r="K66" s="407">
        <f t="shared" si="58"/>
        <v>0</v>
      </c>
      <c r="L66" s="407">
        <f t="shared" si="58"/>
        <v>0</v>
      </c>
      <c r="M66" s="407">
        <f t="shared" si="58"/>
        <v>0</v>
      </c>
      <c r="N66" s="407">
        <f t="shared" si="58"/>
        <v>0</v>
      </c>
      <c r="O66" s="407">
        <f t="shared" si="58"/>
        <v>0</v>
      </c>
      <c r="P66" s="407">
        <f t="shared" si="58"/>
        <v>0</v>
      </c>
      <c r="Q66" s="407">
        <f t="shared" si="58"/>
        <v>0</v>
      </c>
      <c r="R66" s="408">
        <f t="shared" ref="R66" si="59">SUM(F66:Q66)</f>
        <v>0</v>
      </c>
    </row>
    <row r="67" spans="2:18" s="1" customFormat="1" ht="13" hidden="1" x14ac:dyDescent="0.3">
      <c r="B67" s="404" t="s">
        <v>525</v>
      </c>
      <c r="C67" s="405"/>
      <c r="D67" s="402" t="s">
        <v>537</v>
      </c>
      <c r="E67" s="405"/>
      <c r="F67" s="407">
        <f>IFERROR(SUM(F68:F75)/F65,0)</f>
        <v>0</v>
      </c>
      <c r="G67" s="407">
        <f t="shared" ref="G67" si="60">IFERROR(SUM(G68:G75)/G65,0)</f>
        <v>0</v>
      </c>
      <c r="H67" s="407">
        <f t="shared" ref="H67" si="61">IFERROR(SUM(H68:H75)/H65,0)</f>
        <v>0</v>
      </c>
      <c r="I67" s="407">
        <f t="shared" ref="I67" si="62">IFERROR(SUM(I68:I75)/I65,0)</f>
        <v>0</v>
      </c>
      <c r="J67" s="407">
        <f t="shared" ref="J67" si="63">IFERROR(SUM(J68:J75)/J65,0)</f>
        <v>0</v>
      </c>
      <c r="K67" s="407">
        <f t="shared" ref="K67" si="64">IFERROR(SUM(K68:K75)/K65,0)</f>
        <v>0</v>
      </c>
      <c r="L67" s="407">
        <f t="shared" ref="L67" si="65">IFERROR(SUM(L68:L75)/L65,0)</f>
        <v>0</v>
      </c>
      <c r="M67" s="407">
        <f t="shared" ref="M67" si="66">IFERROR(SUM(M68:M75)/M65,0)</f>
        <v>0</v>
      </c>
      <c r="N67" s="407">
        <f t="shared" ref="N67" si="67">IFERROR(SUM(N68:N75)/N65,0)</f>
        <v>0</v>
      </c>
      <c r="O67" s="407">
        <f t="shared" ref="O67" si="68">IFERROR(SUM(O68:O75)/O65,0)</f>
        <v>0</v>
      </c>
      <c r="P67" s="407">
        <f t="shared" ref="P67" si="69">IFERROR(SUM(P68:P75)/P65,0)</f>
        <v>0</v>
      </c>
      <c r="Q67" s="407">
        <f t="shared" ref="Q67" si="70">IFERROR(SUM(Q68:Q75)/Q65,0)</f>
        <v>0</v>
      </c>
      <c r="R67" s="408">
        <f>AVERAGEA(F67:Q67)</f>
        <v>0</v>
      </c>
    </row>
    <row r="68" spans="2:18" s="36" customFormat="1" ht="13" hidden="1" x14ac:dyDescent="0.35">
      <c r="B68" s="409" t="s">
        <v>525</v>
      </c>
      <c r="C68" s="410">
        <v>6421002604</v>
      </c>
      <c r="D68" s="411" t="s">
        <v>461</v>
      </c>
      <c r="E68" s="411" t="s">
        <v>569</v>
      </c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2"/>
      <c r="Q68" s="412"/>
      <c r="R68" s="417">
        <f>SUM(F68:Q68)</f>
        <v>0</v>
      </c>
    </row>
    <row r="69" spans="2:18" s="36" customFormat="1" ht="13" hidden="1" x14ac:dyDescent="0.35">
      <c r="B69" s="409" t="s">
        <v>525</v>
      </c>
      <c r="C69" s="410">
        <v>6421002605</v>
      </c>
      <c r="D69" s="410" t="s">
        <v>462</v>
      </c>
      <c r="E69" s="411" t="s">
        <v>574</v>
      </c>
      <c r="F69" s="412"/>
      <c r="G69" s="412"/>
      <c r="H69" s="412"/>
      <c r="I69" s="412"/>
      <c r="J69" s="412"/>
      <c r="K69" s="412"/>
      <c r="L69" s="412"/>
      <c r="M69" s="412"/>
      <c r="N69" s="412"/>
      <c r="O69" s="412"/>
      <c r="P69" s="412"/>
      <c r="Q69" s="412"/>
      <c r="R69" s="417">
        <f t="shared" ref="R69:R76" si="71">SUM(F69:Q69)</f>
        <v>0</v>
      </c>
    </row>
    <row r="70" spans="2:18" s="36" customFormat="1" ht="13" x14ac:dyDescent="0.35">
      <c r="B70" s="409" t="s">
        <v>525</v>
      </c>
      <c r="C70" s="410">
        <v>6421002802</v>
      </c>
      <c r="D70" s="411" t="s">
        <v>465</v>
      </c>
      <c r="E70" s="411" t="s">
        <v>570</v>
      </c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2"/>
      <c r="Q70" s="412"/>
      <c r="R70" s="417">
        <f t="shared" si="71"/>
        <v>0</v>
      </c>
    </row>
    <row r="71" spans="2:18" s="36" customFormat="1" ht="13" hidden="1" x14ac:dyDescent="0.35">
      <c r="B71" s="409" t="s">
        <v>525</v>
      </c>
      <c r="C71" s="410">
        <v>6421002806</v>
      </c>
      <c r="D71" s="410" t="s">
        <v>584</v>
      </c>
      <c r="E71" s="411" t="s">
        <v>574</v>
      </c>
      <c r="F71" s="412"/>
      <c r="G71" s="412"/>
      <c r="H71" s="412"/>
      <c r="I71" s="412"/>
      <c r="J71" s="412"/>
      <c r="K71" s="412"/>
      <c r="L71" s="412"/>
      <c r="M71" s="412"/>
      <c r="N71" s="412"/>
      <c r="O71" s="412"/>
      <c r="P71" s="412"/>
      <c r="Q71" s="412"/>
      <c r="R71" s="417">
        <f t="shared" si="71"/>
        <v>0</v>
      </c>
    </row>
    <row r="72" spans="2:18" s="36" customFormat="1" ht="13" x14ac:dyDescent="0.35">
      <c r="B72" s="409" t="s">
        <v>525</v>
      </c>
      <c r="C72" s="410">
        <v>6421007202</v>
      </c>
      <c r="D72" s="411" t="s">
        <v>431</v>
      </c>
      <c r="E72" s="411" t="s">
        <v>570</v>
      </c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2"/>
      <c r="Q72" s="412"/>
      <c r="R72" s="417">
        <f t="shared" si="71"/>
        <v>0</v>
      </c>
    </row>
    <row r="73" spans="2:18" s="36" customFormat="1" ht="13" x14ac:dyDescent="0.35">
      <c r="B73" s="409" t="s">
        <v>525</v>
      </c>
      <c r="C73" s="410">
        <v>6421003202</v>
      </c>
      <c r="D73" s="410" t="s">
        <v>467</v>
      </c>
      <c r="E73" s="411" t="s">
        <v>570</v>
      </c>
      <c r="F73" s="412"/>
      <c r="G73" s="412"/>
      <c r="H73" s="412"/>
      <c r="I73" s="412"/>
      <c r="J73" s="412"/>
      <c r="K73" s="412"/>
      <c r="L73" s="412"/>
      <c r="M73" s="412"/>
      <c r="N73" s="412"/>
      <c r="O73" s="412"/>
      <c r="P73" s="412"/>
      <c r="Q73" s="412"/>
      <c r="R73" s="417">
        <f t="shared" si="71"/>
        <v>0</v>
      </c>
    </row>
    <row r="74" spans="2:18" s="36" customFormat="1" ht="13" hidden="1" x14ac:dyDescent="0.35">
      <c r="B74" s="409" t="s">
        <v>525</v>
      </c>
      <c r="C74" s="410">
        <v>6421002603</v>
      </c>
      <c r="D74" s="411" t="s">
        <v>466</v>
      </c>
      <c r="E74" s="411" t="s">
        <v>574</v>
      </c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2"/>
      <c r="Q74" s="412"/>
      <c r="R74" s="417">
        <f t="shared" si="71"/>
        <v>0</v>
      </c>
    </row>
    <row r="75" spans="2:18" s="36" customFormat="1" ht="13" x14ac:dyDescent="0.35">
      <c r="B75" s="409" t="s">
        <v>525</v>
      </c>
      <c r="C75" s="410">
        <v>6421003401</v>
      </c>
      <c r="D75" s="410" t="s">
        <v>463</v>
      </c>
      <c r="E75" s="411" t="s">
        <v>570</v>
      </c>
      <c r="F75" s="412"/>
      <c r="G75" s="412"/>
      <c r="H75" s="412"/>
      <c r="I75" s="412"/>
      <c r="J75" s="412"/>
      <c r="K75" s="412"/>
      <c r="L75" s="412"/>
      <c r="M75" s="412"/>
      <c r="N75" s="412"/>
      <c r="O75" s="412"/>
      <c r="P75" s="412"/>
      <c r="Q75" s="412"/>
      <c r="R75" s="417">
        <f t="shared" si="71"/>
        <v>0</v>
      </c>
    </row>
    <row r="76" spans="2:18" s="36" customFormat="1" ht="13" hidden="1" x14ac:dyDescent="0.35">
      <c r="B76" s="413" t="s">
        <v>525</v>
      </c>
      <c r="C76" s="414">
        <v>6421002703</v>
      </c>
      <c r="D76" s="415" t="s">
        <v>464</v>
      </c>
      <c r="E76" s="415" t="s">
        <v>574</v>
      </c>
      <c r="F76" s="416"/>
      <c r="G76" s="416"/>
      <c r="H76" s="416"/>
      <c r="I76" s="416"/>
      <c r="J76" s="416"/>
      <c r="K76" s="416"/>
      <c r="L76" s="416"/>
      <c r="M76" s="416"/>
      <c r="N76" s="416"/>
      <c r="O76" s="416"/>
      <c r="P76" s="416"/>
      <c r="Q76" s="416"/>
      <c r="R76" s="418">
        <f t="shared" si="71"/>
        <v>0</v>
      </c>
    </row>
    <row r="77" spans="2:18" s="1" customFormat="1" ht="13" hidden="1" x14ac:dyDescent="0.3">
      <c r="B77" s="400" t="s">
        <v>526</v>
      </c>
      <c r="C77" s="401"/>
      <c r="D77" s="402" t="s">
        <v>536</v>
      </c>
      <c r="E77" s="401"/>
      <c r="F77" s="403"/>
      <c r="G77" s="403"/>
      <c r="H77" s="403"/>
      <c r="I77" s="403"/>
      <c r="J77" s="403"/>
      <c r="K77" s="403"/>
      <c r="L77" s="403"/>
      <c r="M77" s="403"/>
      <c r="N77" s="403"/>
      <c r="O77" s="403"/>
      <c r="P77" s="403"/>
      <c r="Q77" s="403"/>
      <c r="R77" s="403"/>
    </row>
    <row r="78" spans="2:18" s="1" customFormat="1" ht="13" hidden="1" x14ac:dyDescent="0.35">
      <c r="B78" s="404" t="s">
        <v>526</v>
      </c>
      <c r="C78" s="405"/>
      <c r="D78" s="406" t="s">
        <v>611</v>
      </c>
      <c r="E78" s="405"/>
      <c r="F78" s="407">
        <f t="shared" ref="F78:Q78" si="72">SUM(F80:F87)</f>
        <v>0</v>
      </c>
      <c r="G78" s="407">
        <f t="shared" si="72"/>
        <v>0</v>
      </c>
      <c r="H78" s="407">
        <f t="shared" si="72"/>
        <v>0</v>
      </c>
      <c r="I78" s="407">
        <f t="shared" si="72"/>
        <v>0</v>
      </c>
      <c r="J78" s="407">
        <f t="shared" si="72"/>
        <v>0</v>
      </c>
      <c r="K78" s="407">
        <f t="shared" si="72"/>
        <v>0</v>
      </c>
      <c r="L78" s="407">
        <f t="shared" si="72"/>
        <v>0</v>
      </c>
      <c r="M78" s="407">
        <f t="shared" si="72"/>
        <v>0</v>
      </c>
      <c r="N78" s="407">
        <f t="shared" si="72"/>
        <v>0</v>
      </c>
      <c r="O78" s="407">
        <f t="shared" si="72"/>
        <v>0</v>
      </c>
      <c r="P78" s="407">
        <f t="shared" si="72"/>
        <v>0</v>
      </c>
      <c r="Q78" s="407">
        <f t="shared" si="72"/>
        <v>0</v>
      </c>
      <c r="R78" s="408">
        <f t="shared" ref="R78" si="73">SUM(F78:Q78)</f>
        <v>0</v>
      </c>
    </row>
    <row r="79" spans="2:18" s="1" customFormat="1" ht="13" hidden="1" x14ac:dyDescent="0.3">
      <c r="B79" s="404" t="s">
        <v>526</v>
      </c>
      <c r="C79" s="405"/>
      <c r="D79" s="402" t="s">
        <v>537</v>
      </c>
      <c r="E79" s="405"/>
      <c r="F79" s="407">
        <f>IFERROR(SUM(F80:F87)/F77,0)</f>
        <v>0</v>
      </c>
      <c r="G79" s="407">
        <f t="shared" ref="G79" si="74">IFERROR(SUM(G80:G87)/G77,0)</f>
        <v>0</v>
      </c>
      <c r="H79" s="407">
        <f t="shared" ref="H79" si="75">IFERROR(SUM(H80:H87)/H77,0)</f>
        <v>0</v>
      </c>
      <c r="I79" s="407">
        <f t="shared" ref="I79" si="76">IFERROR(SUM(I80:I87)/I77,0)</f>
        <v>0</v>
      </c>
      <c r="J79" s="407">
        <f t="shared" ref="J79" si="77">IFERROR(SUM(J80:J87)/J77,0)</f>
        <v>0</v>
      </c>
      <c r="K79" s="407">
        <f t="shared" ref="K79" si="78">IFERROR(SUM(K80:K87)/K77,0)</f>
        <v>0</v>
      </c>
      <c r="L79" s="407">
        <f t="shared" ref="L79" si="79">IFERROR(SUM(L80:L87)/L77,0)</f>
        <v>0</v>
      </c>
      <c r="M79" s="407">
        <f t="shared" ref="M79" si="80">IFERROR(SUM(M80:M87)/M77,0)</f>
        <v>0</v>
      </c>
      <c r="N79" s="407">
        <f t="shared" ref="N79" si="81">IFERROR(SUM(N80:N87)/N77,0)</f>
        <v>0</v>
      </c>
      <c r="O79" s="407">
        <f t="shared" ref="O79" si="82">IFERROR(SUM(O80:O87)/O77,0)</f>
        <v>0</v>
      </c>
      <c r="P79" s="407">
        <f t="shared" ref="P79" si="83">IFERROR(SUM(P80:P87)/P77,0)</f>
        <v>0</v>
      </c>
      <c r="Q79" s="407">
        <f t="shared" ref="Q79" si="84">IFERROR(SUM(Q80:Q87)/Q77,0)</f>
        <v>0</v>
      </c>
      <c r="R79" s="408">
        <f>AVERAGEA(F79:Q79)</f>
        <v>0</v>
      </c>
    </row>
    <row r="80" spans="2:18" s="36" customFormat="1" ht="13" hidden="1" x14ac:dyDescent="0.35">
      <c r="B80" s="409" t="s">
        <v>526</v>
      </c>
      <c r="C80" s="410">
        <v>6421002604</v>
      </c>
      <c r="D80" s="411" t="s">
        <v>461</v>
      </c>
      <c r="E80" s="411" t="s">
        <v>569</v>
      </c>
      <c r="F80" s="412"/>
      <c r="G80" s="412"/>
      <c r="H80" s="412"/>
      <c r="I80" s="412"/>
      <c r="J80" s="412"/>
      <c r="K80" s="412"/>
      <c r="L80" s="412"/>
      <c r="M80" s="412"/>
      <c r="N80" s="412"/>
      <c r="O80" s="412"/>
      <c r="P80" s="412"/>
      <c r="Q80" s="412"/>
      <c r="R80" s="417">
        <f>SUM(F80:Q80)</f>
        <v>0</v>
      </c>
    </row>
    <row r="81" spans="2:18" s="36" customFormat="1" ht="13" hidden="1" x14ac:dyDescent="0.35">
      <c r="B81" s="409" t="s">
        <v>526</v>
      </c>
      <c r="C81" s="410">
        <v>6421002605</v>
      </c>
      <c r="D81" s="410" t="s">
        <v>462</v>
      </c>
      <c r="E81" s="411" t="s">
        <v>574</v>
      </c>
      <c r="F81" s="412"/>
      <c r="G81" s="412"/>
      <c r="H81" s="412"/>
      <c r="I81" s="412"/>
      <c r="J81" s="412"/>
      <c r="K81" s="412"/>
      <c r="L81" s="412"/>
      <c r="M81" s="412"/>
      <c r="N81" s="412"/>
      <c r="O81" s="412"/>
      <c r="P81" s="412"/>
      <c r="Q81" s="412"/>
      <c r="R81" s="417">
        <f t="shared" ref="R81:R88" si="85">SUM(F81:Q81)</f>
        <v>0</v>
      </c>
    </row>
    <row r="82" spans="2:18" s="36" customFormat="1" ht="13" x14ac:dyDescent="0.35">
      <c r="B82" s="409" t="s">
        <v>526</v>
      </c>
      <c r="C82" s="410">
        <v>6421002802</v>
      </c>
      <c r="D82" s="411" t="s">
        <v>465</v>
      </c>
      <c r="E82" s="411" t="s">
        <v>570</v>
      </c>
      <c r="F82" s="412"/>
      <c r="G82" s="412"/>
      <c r="H82" s="412"/>
      <c r="I82" s="412"/>
      <c r="J82" s="412"/>
      <c r="K82" s="412"/>
      <c r="L82" s="412"/>
      <c r="M82" s="412"/>
      <c r="N82" s="412"/>
      <c r="O82" s="412"/>
      <c r="P82" s="412"/>
      <c r="Q82" s="412"/>
      <c r="R82" s="417">
        <f t="shared" si="85"/>
        <v>0</v>
      </c>
    </row>
    <row r="83" spans="2:18" s="36" customFormat="1" ht="13" hidden="1" x14ac:dyDescent="0.35">
      <c r="B83" s="409" t="s">
        <v>526</v>
      </c>
      <c r="C83" s="410">
        <v>6421002806</v>
      </c>
      <c r="D83" s="410" t="s">
        <v>584</v>
      </c>
      <c r="E83" s="411" t="s">
        <v>574</v>
      </c>
      <c r="F83" s="412"/>
      <c r="G83" s="412"/>
      <c r="H83" s="412"/>
      <c r="I83" s="412"/>
      <c r="J83" s="412"/>
      <c r="K83" s="412"/>
      <c r="L83" s="412"/>
      <c r="M83" s="412"/>
      <c r="N83" s="412"/>
      <c r="O83" s="412"/>
      <c r="P83" s="412"/>
      <c r="Q83" s="412"/>
      <c r="R83" s="417">
        <f t="shared" si="85"/>
        <v>0</v>
      </c>
    </row>
    <row r="84" spans="2:18" s="36" customFormat="1" ht="13" x14ac:dyDescent="0.35">
      <c r="B84" s="409" t="s">
        <v>526</v>
      </c>
      <c r="C84" s="410">
        <v>6421007202</v>
      </c>
      <c r="D84" s="411" t="s">
        <v>431</v>
      </c>
      <c r="E84" s="411" t="s">
        <v>570</v>
      </c>
      <c r="F84" s="412"/>
      <c r="G84" s="412"/>
      <c r="H84" s="412"/>
      <c r="I84" s="412"/>
      <c r="J84" s="412"/>
      <c r="K84" s="412"/>
      <c r="L84" s="412"/>
      <c r="M84" s="412"/>
      <c r="N84" s="412"/>
      <c r="O84" s="412"/>
      <c r="P84" s="412"/>
      <c r="Q84" s="412"/>
      <c r="R84" s="417">
        <f t="shared" si="85"/>
        <v>0</v>
      </c>
    </row>
    <row r="85" spans="2:18" s="36" customFormat="1" ht="13" x14ac:dyDescent="0.35">
      <c r="B85" s="409" t="s">
        <v>526</v>
      </c>
      <c r="C85" s="410">
        <v>6421003202</v>
      </c>
      <c r="D85" s="410" t="s">
        <v>467</v>
      </c>
      <c r="E85" s="411" t="s">
        <v>570</v>
      </c>
      <c r="F85" s="412"/>
      <c r="G85" s="412"/>
      <c r="H85" s="412"/>
      <c r="I85" s="412"/>
      <c r="J85" s="412"/>
      <c r="K85" s="412"/>
      <c r="L85" s="412"/>
      <c r="M85" s="412"/>
      <c r="N85" s="412"/>
      <c r="O85" s="412"/>
      <c r="P85" s="412"/>
      <c r="Q85" s="412"/>
      <c r="R85" s="417">
        <f t="shared" si="85"/>
        <v>0</v>
      </c>
    </row>
    <row r="86" spans="2:18" s="36" customFormat="1" ht="13" hidden="1" x14ac:dyDescent="0.35">
      <c r="B86" s="409" t="s">
        <v>526</v>
      </c>
      <c r="C86" s="410">
        <v>6421002603</v>
      </c>
      <c r="D86" s="411" t="s">
        <v>466</v>
      </c>
      <c r="E86" s="411" t="s">
        <v>574</v>
      </c>
      <c r="F86" s="412"/>
      <c r="G86" s="412"/>
      <c r="H86" s="412"/>
      <c r="I86" s="412"/>
      <c r="J86" s="412"/>
      <c r="K86" s="412"/>
      <c r="L86" s="412"/>
      <c r="M86" s="412"/>
      <c r="N86" s="412"/>
      <c r="O86" s="412"/>
      <c r="P86" s="412"/>
      <c r="Q86" s="412"/>
      <c r="R86" s="417">
        <f t="shared" si="85"/>
        <v>0</v>
      </c>
    </row>
    <row r="87" spans="2:18" s="36" customFormat="1" ht="13" x14ac:dyDescent="0.35">
      <c r="B87" s="409" t="s">
        <v>526</v>
      </c>
      <c r="C87" s="410">
        <v>6421003401</v>
      </c>
      <c r="D87" s="410" t="s">
        <v>463</v>
      </c>
      <c r="E87" s="411" t="s">
        <v>570</v>
      </c>
      <c r="F87" s="412"/>
      <c r="G87" s="412"/>
      <c r="H87" s="412"/>
      <c r="I87" s="412"/>
      <c r="J87" s="412"/>
      <c r="K87" s="412"/>
      <c r="L87" s="412"/>
      <c r="M87" s="412"/>
      <c r="N87" s="412"/>
      <c r="O87" s="412"/>
      <c r="P87" s="412"/>
      <c r="Q87" s="412"/>
      <c r="R87" s="417">
        <f t="shared" si="85"/>
        <v>0</v>
      </c>
    </row>
    <row r="88" spans="2:18" s="36" customFormat="1" ht="13" hidden="1" x14ac:dyDescent="0.35">
      <c r="B88" s="413" t="s">
        <v>526</v>
      </c>
      <c r="C88" s="414">
        <v>6421002703</v>
      </c>
      <c r="D88" s="415" t="s">
        <v>464</v>
      </c>
      <c r="E88" s="415" t="s">
        <v>574</v>
      </c>
      <c r="F88" s="416"/>
      <c r="G88" s="416"/>
      <c r="H88" s="416"/>
      <c r="I88" s="416"/>
      <c r="J88" s="416"/>
      <c r="K88" s="416"/>
      <c r="L88" s="416"/>
      <c r="M88" s="416"/>
      <c r="N88" s="416"/>
      <c r="O88" s="416"/>
      <c r="P88" s="416"/>
      <c r="Q88" s="416"/>
      <c r="R88" s="418">
        <f t="shared" si="85"/>
        <v>0</v>
      </c>
    </row>
    <row r="89" spans="2:18" s="1" customFormat="1" ht="13" hidden="1" x14ac:dyDescent="0.3">
      <c r="B89" s="400" t="s">
        <v>523</v>
      </c>
      <c r="C89" s="401"/>
      <c r="D89" s="402" t="s">
        <v>536</v>
      </c>
      <c r="E89" s="401"/>
      <c r="F89" s="403"/>
      <c r="G89" s="403"/>
      <c r="H89" s="403"/>
      <c r="I89" s="403"/>
      <c r="J89" s="403"/>
      <c r="K89" s="403"/>
      <c r="L89" s="403"/>
      <c r="M89" s="403"/>
      <c r="N89" s="403"/>
      <c r="O89" s="403"/>
      <c r="P89" s="403"/>
      <c r="Q89" s="403"/>
      <c r="R89" s="403"/>
    </row>
    <row r="90" spans="2:18" s="1" customFormat="1" ht="13" hidden="1" x14ac:dyDescent="0.35">
      <c r="B90" s="404" t="s">
        <v>523</v>
      </c>
      <c r="C90" s="405"/>
      <c r="D90" s="406" t="s">
        <v>611</v>
      </c>
      <c r="E90" s="405"/>
      <c r="F90" s="407">
        <f t="shared" ref="F90:Q90" si="86">SUM(F92:F99)</f>
        <v>0</v>
      </c>
      <c r="G90" s="407">
        <f t="shared" si="86"/>
        <v>0</v>
      </c>
      <c r="H90" s="407">
        <f t="shared" si="86"/>
        <v>0</v>
      </c>
      <c r="I90" s="407">
        <f t="shared" si="86"/>
        <v>0</v>
      </c>
      <c r="J90" s="407">
        <f t="shared" si="86"/>
        <v>0</v>
      </c>
      <c r="K90" s="407">
        <f t="shared" si="86"/>
        <v>0</v>
      </c>
      <c r="L90" s="407">
        <f t="shared" si="86"/>
        <v>0</v>
      </c>
      <c r="M90" s="407">
        <f t="shared" si="86"/>
        <v>0</v>
      </c>
      <c r="N90" s="407">
        <f t="shared" si="86"/>
        <v>0</v>
      </c>
      <c r="O90" s="407">
        <f t="shared" si="86"/>
        <v>0</v>
      </c>
      <c r="P90" s="407">
        <f t="shared" si="86"/>
        <v>0</v>
      </c>
      <c r="Q90" s="407">
        <f t="shared" si="86"/>
        <v>0</v>
      </c>
      <c r="R90" s="408">
        <f t="shared" ref="R90" si="87">SUM(F90:Q90)</f>
        <v>0</v>
      </c>
    </row>
    <row r="91" spans="2:18" s="1" customFormat="1" ht="13" hidden="1" x14ac:dyDescent="0.3">
      <c r="B91" s="404" t="s">
        <v>523</v>
      </c>
      <c r="C91" s="405"/>
      <c r="D91" s="402" t="s">
        <v>537</v>
      </c>
      <c r="E91" s="405"/>
      <c r="F91" s="407">
        <f>IFERROR(SUM(F92:F99)/F89,0)</f>
        <v>0</v>
      </c>
      <c r="G91" s="407">
        <f t="shared" ref="G91" si="88">IFERROR(SUM(G92:G99)/G89,0)</f>
        <v>0</v>
      </c>
      <c r="H91" s="407">
        <f t="shared" ref="H91" si="89">IFERROR(SUM(H92:H99)/H89,0)</f>
        <v>0</v>
      </c>
      <c r="I91" s="407">
        <f t="shared" ref="I91" si="90">IFERROR(SUM(I92:I99)/I89,0)</f>
        <v>0</v>
      </c>
      <c r="J91" s="407">
        <f t="shared" ref="J91" si="91">IFERROR(SUM(J92:J99)/J89,0)</f>
        <v>0</v>
      </c>
      <c r="K91" s="407">
        <f t="shared" ref="K91" si="92">IFERROR(SUM(K92:K99)/K89,0)</f>
        <v>0</v>
      </c>
      <c r="L91" s="407">
        <f t="shared" ref="L91" si="93">IFERROR(SUM(L92:L99)/L89,0)</f>
        <v>0</v>
      </c>
      <c r="M91" s="407">
        <f t="shared" ref="M91" si="94">IFERROR(SUM(M92:M99)/M89,0)</f>
        <v>0</v>
      </c>
      <c r="N91" s="407">
        <f t="shared" ref="N91" si="95">IFERROR(SUM(N92:N99)/N89,0)</f>
        <v>0</v>
      </c>
      <c r="O91" s="407">
        <f t="shared" ref="O91" si="96">IFERROR(SUM(O92:O99)/O89,0)</f>
        <v>0</v>
      </c>
      <c r="P91" s="407">
        <f t="shared" ref="P91" si="97">IFERROR(SUM(P92:P99)/P89,0)</f>
        <v>0</v>
      </c>
      <c r="Q91" s="407">
        <f t="shared" ref="Q91" si="98">IFERROR(SUM(Q92:Q99)/Q89,0)</f>
        <v>0</v>
      </c>
      <c r="R91" s="408">
        <f>AVERAGEA(F91:Q91)</f>
        <v>0</v>
      </c>
    </row>
    <row r="92" spans="2:18" s="36" customFormat="1" ht="13" hidden="1" x14ac:dyDescent="0.35">
      <c r="B92" s="409" t="s">
        <v>523</v>
      </c>
      <c r="C92" s="410">
        <v>6421002604</v>
      </c>
      <c r="D92" s="411" t="s">
        <v>461</v>
      </c>
      <c r="E92" s="411" t="s">
        <v>569</v>
      </c>
      <c r="F92" s="412"/>
      <c r="G92" s="412"/>
      <c r="H92" s="412"/>
      <c r="I92" s="412"/>
      <c r="J92" s="412"/>
      <c r="K92" s="412"/>
      <c r="L92" s="412"/>
      <c r="M92" s="412"/>
      <c r="N92" s="412"/>
      <c r="O92" s="412"/>
      <c r="P92" s="412"/>
      <c r="Q92" s="412"/>
      <c r="R92" s="417">
        <f>SUM(F92:Q92)</f>
        <v>0</v>
      </c>
    </row>
    <row r="93" spans="2:18" s="36" customFormat="1" ht="13" hidden="1" x14ac:dyDescent="0.35">
      <c r="B93" s="409" t="s">
        <v>523</v>
      </c>
      <c r="C93" s="410">
        <v>6421002605</v>
      </c>
      <c r="D93" s="410" t="s">
        <v>462</v>
      </c>
      <c r="E93" s="411" t="s">
        <v>574</v>
      </c>
      <c r="F93" s="412"/>
      <c r="G93" s="412"/>
      <c r="H93" s="412"/>
      <c r="I93" s="412"/>
      <c r="J93" s="412"/>
      <c r="K93" s="412"/>
      <c r="L93" s="412"/>
      <c r="M93" s="412"/>
      <c r="N93" s="412"/>
      <c r="O93" s="412"/>
      <c r="P93" s="412"/>
      <c r="Q93" s="412"/>
      <c r="R93" s="417">
        <f t="shared" ref="R93:R100" si="99">SUM(F93:Q93)</f>
        <v>0</v>
      </c>
    </row>
    <row r="94" spans="2:18" s="36" customFormat="1" ht="13" x14ac:dyDescent="0.35">
      <c r="B94" s="409" t="s">
        <v>523</v>
      </c>
      <c r="C94" s="410">
        <v>6421002802</v>
      </c>
      <c r="D94" s="411" t="s">
        <v>465</v>
      </c>
      <c r="E94" s="411" t="s">
        <v>570</v>
      </c>
      <c r="F94" s="412"/>
      <c r="G94" s="412"/>
      <c r="H94" s="412"/>
      <c r="I94" s="412"/>
      <c r="J94" s="412"/>
      <c r="K94" s="412"/>
      <c r="L94" s="412"/>
      <c r="M94" s="412"/>
      <c r="N94" s="412"/>
      <c r="O94" s="412"/>
      <c r="P94" s="412"/>
      <c r="Q94" s="412"/>
      <c r="R94" s="417">
        <f t="shared" si="99"/>
        <v>0</v>
      </c>
    </row>
    <row r="95" spans="2:18" s="36" customFormat="1" ht="13" hidden="1" x14ac:dyDescent="0.35">
      <c r="B95" s="409" t="s">
        <v>523</v>
      </c>
      <c r="C95" s="410">
        <v>6421002806</v>
      </c>
      <c r="D95" s="410" t="s">
        <v>584</v>
      </c>
      <c r="E95" s="411" t="s">
        <v>574</v>
      </c>
      <c r="F95" s="412"/>
      <c r="G95" s="412"/>
      <c r="H95" s="412"/>
      <c r="I95" s="412"/>
      <c r="J95" s="412"/>
      <c r="K95" s="412"/>
      <c r="L95" s="412"/>
      <c r="M95" s="412"/>
      <c r="N95" s="412"/>
      <c r="O95" s="412"/>
      <c r="P95" s="412"/>
      <c r="Q95" s="412"/>
      <c r="R95" s="417">
        <f t="shared" si="99"/>
        <v>0</v>
      </c>
    </row>
    <row r="96" spans="2:18" s="36" customFormat="1" ht="13" x14ac:dyDescent="0.35">
      <c r="B96" s="409" t="s">
        <v>523</v>
      </c>
      <c r="C96" s="410">
        <v>6421007202</v>
      </c>
      <c r="D96" s="411" t="s">
        <v>431</v>
      </c>
      <c r="E96" s="411" t="s">
        <v>570</v>
      </c>
      <c r="F96" s="412"/>
      <c r="G96" s="412"/>
      <c r="H96" s="412"/>
      <c r="I96" s="412"/>
      <c r="J96" s="412"/>
      <c r="K96" s="412"/>
      <c r="L96" s="412"/>
      <c r="M96" s="412"/>
      <c r="N96" s="412"/>
      <c r="O96" s="412"/>
      <c r="P96" s="412"/>
      <c r="Q96" s="412"/>
      <c r="R96" s="417">
        <f t="shared" si="99"/>
        <v>0</v>
      </c>
    </row>
    <row r="97" spans="2:18" s="36" customFormat="1" ht="13" x14ac:dyDescent="0.35">
      <c r="B97" s="409" t="s">
        <v>523</v>
      </c>
      <c r="C97" s="410">
        <v>6421003202</v>
      </c>
      <c r="D97" s="410" t="s">
        <v>467</v>
      </c>
      <c r="E97" s="411" t="s">
        <v>570</v>
      </c>
      <c r="F97" s="412"/>
      <c r="G97" s="412"/>
      <c r="H97" s="412"/>
      <c r="I97" s="412"/>
      <c r="J97" s="412"/>
      <c r="K97" s="412"/>
      <c r="L97" s="412"/>
      <c r="M97" s="412"/>
      <c r="N97" s="412"/>
      <c r="O97" s="412"/>
      <c r="P97" s="412"/>
      <c r="Q97" s="412"/>
      <c r="R97" s="417">
        <f t="shared" si="99"/>
        <v>0</v>
      </c>
    </row>
    <row r="98" spans="2:18" s="36" customFormat="1" ht="13" hidden="1" x14ac:dyDescent="0.35">
      <c r="B98" s="409" t="s">
        <v>523</v>
      </c>
      <c r="C98" s="410">
        <v>6421002603</v>
      </c>
      <c r="D98" s="411" t="s">
        <v>466</v>
      </c>
      <c r="E98" s="411" t="s">
        <v>574</v>
      </c>
      <c r="F98" s="412"/>
      <c r="G98" s="412"/>
      <c r="H98" s="412"/>
      <c r="I98" s="412"/>
      <c r="J98" s="412"/>
      <c r="K98" s="412"/>
      <c r="L98" s="412"/>
      <c r="M98" s="412"/>
      <c r="N98" s="412"/>
      <c r="O98" s="412"/>
      <c r="P98" s="412"/>
      <c r="Q98" s="412"/>
      <c r="R98" s="417">
        <f t="shared" si="99"/>
        <v>0</v>
      </c>
    </row>
    <row r="99" spans="2:18" s="36" customFormat="1" ht="13" x14ac:dyDescent="0.35">
      <c r="B99" s="409" t="s">
        <v>523</v>
      </c>
      <c r="C99" s="410">
        <v>6421003401</v>
      </c>
      <c r="D99" s="410" t="s">
        <v>463</v>
      </c>
      <c r="E99" s="411" t="s">
        <v>570</v>
      </c>
      <c r="F99" s="412"/>
      <c r="G99" s="412"/>
      <c r="H99" s="412"/>
      <c r="I99" s="412"/>
      <c r="J99" s="412"/>
      <c r="K99" s="412"/>
      <c r="L99" s="412"/>
      <c r="M99" s="412"/>
      <c r="N99" s="412"/>
      <c r="O99" s="412"/>
      <c r="P99" s="412"/>
      <c r="Q99" s="412"/>
      <c r="R99" s="417">
        <f t="shared" si="99"/>
        <v>0</v>
      </c>
    </row>
    <row r="100" spans="2:18" s="36" customFormat="1" ht="13" hidden="1" x14ac:dyDescent="0.35">
      <c r="B100" s="413" t="s">
        <v>523</v>
      </c>
      <c r="C100" s="414">
        <v>6421002703</v>
      </c>
      <c r="D100" s="415" t="s">
        <v>464</v>
      </c>
      <c r="E100" s="415" t="s">
        <v>574</v>
      </c>
      <c r="F100" s="416"/>
      <c r="G100" s="416"/>
      <c r="H100" s="416"/>
      <c r="I100" s="416"/>
      <c r="J100" s="416"/>
      <c r="K100" s="416"/>
      <c r="L100" s="416"/>
      <c r="M100" s="416"/>
      <c r="N100" s="416"/>
      <c r="O100" s="416"/>
      <c r="P100" s="416"/>
      <c r="Q100" s="416"/>
      <c r="R100" s="418">
        <f t="shared" si="99"/>
        <v>0</v>
      </c>
    </row>
    <row r="101" spans="2:18" s="1" customFormat="1" ht="13" hidden="1" x14ac:dyDescent="0.3">
      <c r="B101" s="400" t="s">
        <v>515</v>
      </c>
      <c r="C101" s="401"/>
      <c r="D101" s="402" t="s">
        <v>536</v>
      </c>
      <c r="E101" s="401"/>
      <c r="F101" s="403"/>
      <c r="G101" s="403"/>
      <c r="H101" s="403"/>
      <c r="I101" s="403"/>
      <c r="J101" s="403"/>
      <c r="K101" s="403"/>
      <c r="L101" s="403"/>
      <c r="M101" s="403"/>
      <c r="N101" s="403"/>
      <c r="O101" s="403"/>
      <c r="P101" s="403"/>
      <c r="Q101" s="403"/>
      <c r="R101" s="403"/>
    </row>
    <row r="102" spans="2:18" s="1" customFormat="1" ht="13" hidden="1" x14ac:dyDescent="0.35">
      <c r="B102" s="404" t="s">
        <v>515</v>
      </c>
      <c r="C102" s="405"/>
      <c r="D102" s="406" t="s">
        <v>611</v>
      </c>
      <c r="E102" s="405"/>
      <c r="F102" s="407">
        <f t="shared" ref="F102:Q102" si="100">SUM(F104:F111)</f>
        <v>0</v>
      </c>
      <c r="G102" s="407">
        <f t="shared" si="100"/>
        <v>0</v>
      </c>
      <c r="H102" s="407">
        <f t="shared" si="100"/>
        <v>0</v>
      </c>
      <c r="I102" s="407">
        <f t="shared" si="100"/>
        <v>0</v>
      </c>
      <c r="J102" s="407">
        <f t="shared" si="100"/>
        <v>0</v>
      </c>
      <c r="K102" s="407">
        <f t="shared" si="100"/>
        <v>0</v>
      </c>
      <c r="L102" s="407">
        <f t="shared" si="100"/>
        <v>0</v>
      </c>
      <c r="M102" s="407">
        <f t="shared" si="100"/>
        <v>0</v>
      </c>
      <c r="N102" s="407">
        <f t="shared" si="100"/>
        <v>0</v>
      </c>
      <c r="O102" s="407">
        <f t="shared" si="100"/>
        <v>0</v>
      </c>
      <c r="P102" s="407">
        <f t="shared" si="100"/>
        <v>0</v>
      </c>
      <c r="Q102" s="407">
        <f t="shared" si="100"/>
        <v>0</v>
      </c>
      <c r="R102" s="408">
        <f t="shared" ref="R102" si="101">SUM(F102:Q102)</f>
        <v>0</v>
      </c>
    </row>
    <row r="103" spans="2:18" s="1" customFormat="1" ht="13" hidden="1" x14ac:dyDescent="0.3">
      <c r="B103" s="404" t="s">
        <v>515</v>
      </c>
      <c r="C103" s="405"/>
      <c r="D103" s="402" t="s">
        <v>537</v>
      </c>
      <c r="E103" s="405"/>
      <c r="F103" s="407">
        <f>IFERROR(SUM(F104:F111)/F101,0)</f>
        <v>0</v>
      </c>
      <c r="G103" s="407">
        <f t="shared" ref="G103" si="102">IFERROR(SUM(G104:G111)/G101,0)</f>
        <v>0</v>
      </c>
      <c r="H103" s="407">
        <f t="shared" ref="H103" si="103">IFERROR(SUM(H104:H111)/H101,0)</f>
        <v>0</v>
      </c>
      <c r="I103" s="407">
        <f t="shared" ref="I103" si="104">IFERROR(SUM(I104:I111)/I101,0)</f>
        <v>0</v>
      </c>
      <c r="J103" s="407">
        <f t="shared" ref="J103" si="105">IFERROR(SUM(J104:J111)/J101,0)</f>
        <v>0</v>
      </c>
      <c r="K103" s="407">
        <f t="shared" ref="K103" si="106">IFERROR(SUM(K104:K111)/K101,0)</f>
        <v>0</v>
      </c>
      <c r="L103" s="407">
        <f t="shared" ref="L103" si="107">IFERROR(SUM(L104:L111)/L101,0)</f>
        <v>0</v>
      </c>
      <c r="M103" s="407">
        <f t="shared" ref="M103" si="108">IFERROR(SUM(M104:M111)/M101,0)</f>
        <v>0</v>
      </c>
      <c r="N103" s="407">
        <f t="shared" ref="N103" si="109">IFERROR(SUM(N104:N111)/N101,0)</f>
        <v>0</v>
      </c>
      <c r="O103" s="407">
        <f t="shared" ref="O103" si="110">IFERROR(SUM(O104:O111)/O101,0)</f>
        <v>0</v>
      </c>
      <c r="P103" s="407">
        <f t="shared" ref="P103" si="111">IFERROR(SUM(P104:P111)/P101,0)</f>
        <v>0</v>
      </c>
      <c r="Q103" s="407">
        <f t="shared" ref="Q103" si="112">IFERROR(SUM(Q104:Q111)/Q101,0)</f>
        <v>0</v>
      </c>
      <c r="R103" s="408">
        <f>AVERAGEA(F103:Q103)</f>
        <v>0</v>
      </c>
    </row>
    <row r="104" spans="2:18" s="36" customFormat="1" ht="13" hidden="1" x14ac:dyDescent="0.35">
      <c r="B104" s="409" t="s">
        <v>515</v>
      </c>
      <c r="C104" s="410">
        <v>6421002604</v>
      </c>
      <c r="D104" s="411" t="s">
        <v>461</v>
      </c>
      <c r="E104" s="411" t="s">
        <v>569</v>
      </c>
      <c r="F104" s="412"/>
      <c r="G104" s="412"/>
      <c r="H104" s="412"/>
      <c r="I104" s="412"/>
      <c r="J104" s="412"/>
      <c r="K104" s="412"/>
      <c r="L104" s="412"/>
      <c r="M104" s="412"/>
      <c r="N104" s="412"/>
      <c r="O104" s="412"/>
      <c r="P104" s="412"/>
      <c r="Q104" s="412"/>
      <c r="R104" s="417">
        <f>SUM(F104:Q104)</f>
        <v>0</v>
      </c>
    </row>
    <row r="105" spans="2:18" s="36" customFormat="1" ht="13" hidden="1" x14ac:dyDescent="0.35">
      <c r="B105" s="409" t="s">
        <v>515</v>
      </c>
      <c r="C105" s="410">
        <v>6421002605</v>
      </c>
      <c r="D105" s="410" t="s">
        <v>462</v>
      </c>
      <c r="E105" s="411" t="s">
        <v>574</v>
      </c>
      <c r="F105" s="412"/>
      <c r="G105" s="412"/>
      <c r="H105" s="412"/>
      <c r="I105" s="412"/>
      <c r="J105" s="412"/>
      <c r="K105" s="412"/>
      <c r="L105" s="412"/>
      <c r="M105" s="412"/>
      <c r="N105" s="412"/>
      <c r="O105" s="412"/>
      <c r="P105" s="412"/>
      <c r="Q105" s="412"/>
      <c r="R105" s="417">
        <f t="shared" ref="R105:R112" si="113">SUM(F105:Q105)</f>
        <v>0</v>
      </c>
    </row>
    <row r="106" spans="2:18" s="36" customFormat="1" ht="13" x14ac:dyDescent="0.35">
      <c r="B106" s="409" t="s">
        <v>515</v>
      </c>
      <c r="C106" s="410">
        <v>6421002802</v>
      </c>
      <c r="D106" s="411" t="s">
        <v>465</v>
      </c>
      <c r="E106" s="411" t="s">
        <v>570</v>
      </c>
      <c r="F106" s="412"/>
      <c r="G106" s="412"/>
      <c r="H106" s="412"/>
      <c r="I106" s="412"/>
      <c r="J106" s="412"/>
      <c r="K106" s="412"/>
      <c r="L106" s="412"/>
      <c r="M106" s="412"/>
      <c r="N106" s="412"/>
      <c r="O106" s="412"/>
      <c r="P106" s="412"/>
      <c r="Q106" s="412"/>
      <c r="R106" s="417">
        <f t="shared" si="113"/>
        <v>0</v>
      </c>
    </row>
    <row r="107" spans="2:18" s="36" customFormat="1" ht="13" hidden="1" x14ac:dyDescent="0.35">
      <c r="B107" s="409" t="s">
        <v>515</v>
      </c>
      <c r="C107" s="410">
        <v>6421002806</v>
      </c>
      <c r="D107" s="410" t="s">
        <v>584</v>
      </c>
      <c r="E107" s="411" t="s">
        <v>574</v>
      </c>
      <c r="F107" s="412"/>
      <c r="G107" s="412"/>
      <c r="H107" s="412"/>
      <c r="I107" s="412"/>
      <c r="J107" s="412"/>
      <c r="K107" s="412"/>
      <c r="L107" s="412"/>
      <c r="M107" s="412"/>
      <c r="N107" s="412"/>
      <c r="O107" s="412"/>
      <c r="P107" s="412"/>
      <c r="Q107" s="412"/>
      <c r="R107" s="417">
        <f t="shared" si="113"/>
        <v>0</v>
      </c>
    </row>
    <row r="108" spans="2:18" s="36" customFormat="1" ht="13" x14ac:dyDescent="0.35">
      <c r="B108" s="409" t="s">
        <v>515</v>
      </c>
      <c r="C108" s="410">
        <v>6421007202</v>
      </c>
      <c r="D108" s="411" t="s">
        <v>431</v>
      </c>
      <c r="E108" s="411" t="s">
        <v>570</v>
      </c>
      <c r="F108" s="412"/>
      <c r="G108" s="412"/>
      <c r="H108" s="412"/>
      <c r="I108" s="412"/>
      <c r="J108" s="412"/>
      <c r="K108" s="412"/>
      <c r="L108" s="412"/>
      <c r="M108" s="412"/>
      <c r="N108" s="412"/>
      <c r="O108" s="412"/>
      <c r="P108" s="412"/>
      <c r="Q108" s="412"/>
      <c r="R108" s="417">
        <f t="shared" si="113"/>
        <v>0</v>
      </c>
    </row>
    <row r="109" spans="2:18" s="36" customFormat="1" ht="13" x14ac:dyDescent="0.35">
      <c r="B109" s="409" t="s">
        <v>515</v>
      </c>
      <c r="C109" s="410">
        <v>6421003202</v>
      </c>
      <c r="D109" s="410" t="s">
        <v>467</v>
      </c>
      <c r="E109" s="411" t="s">
        <v>570</v>
      </c>
      <c r="F109" s="412"/>
      <c r="G109" s="412"/>
      <c r="H109" s="412"/>
      <c r="I109" s="412"/>
      <c r="J109" s="412"/>
      <c r="K109" s="412"/>
      <c r="L109" s="412"/>
      <c r="M109" s="412"/>
      <c r="N109" s="412"/>
      <c r="O109" s="412"/>
      <c r="P109" s="412"/>
      <c r="Q109" s="412"/>
      <c r="R109" s="417">
        <f t="shared" si="113"/>
        <v>0</v>
      </c>
    </row>
    <row r="110" spans="2:18" s="36" customFormat="1" ht="13" hidden="1" x14ac:dyDescent="0.35">
      <c r="B110" s="409" t="s">
        <v>515</v>
      </c>
      <c r="C110" s="410">
        <v>6421002603</v>
      </c>
      <c r="D110" s="411" t="s">
        <v>466</v>
      </c>
      <c r="E110" s="411" t="s">
        <v>574</v>
      </c>
      <c r="F110" s="412"/>
      <c r="G110" s="412"/>
      <c r="H110" s="412"/>
      <c r="I110" s="412"/>
      <c r="J110" s="412"/>
      <c r="K110" s="412"/>
      <c r="L110" s="412"/>
      <c r="M110" s="412"/>
      <c r="N110" s="412"/>
      <c r="O110" s="412"/>
      <c r="P110" s="412"/>
      <c r="Q110" s="412"/>
      <c r="R110" s="417">
        <f t="shared" si="113"/>
        <v>0</v>
      </c>
    </row>
    <row r="111" spans="2:18" s="36" customFormat="1" ht="13" x14ac:dyDescent="0.35">
      <c r="B111" s="409" t="s">
        <v>515</v>
      </c>
      <c r="C111" s="410">
        <v>6421003401</v>
      </c>
      <c r="D111" s="410" t="s">
        <v>463</v>
      </c>
      <c r="E111" s="411" t="s">
        <v>570</v>
      </c>
      <c r="F111" s="412"/>
      <c r="G111" s="412"/>
      <c r="H111" s="412"/>
      <c r="I111" s="412"/>
      <c r="J111" s="412"/>
      <c r="K111" s="412"/>
      <c r="L111" s="412"/>
      <c r="M111" s="412"/>
      <c r="N111" s="412"/>
      <c r="O111" s="412"/>
      <c r="P111" s="412"/>
      <c r="Q111" s="412"/>
      <c r="R111" s="417">
        <f t="shared" si="113"/>
        <v>0</v>
      </c>
    </row>
    <row r="112" spans="2:18" s="36" customFormat="1" ht="13" hidden="1" x14ac:dyDescent="0.35">
      <c r="B112" s="413" t="s">
        <v>515</v>
      </c>
      <c r="C112" s="414">
        <v>6421002703</v>
      </c>
      <c r="D112" s="415" t="s">
        <v>464</v>
      </c>
      <c r="E112" s="415" t="s">
        <v>574</v>
      </c>
      <c r="F112" s="416"/>
      <c r="G112" s="416"/>
      <c r="H112" s="416"/>
      <c r="I112" s="416"/>
      <c r="J112" s="416"/>
      <c r="K112" s="416"/>
      <c r="L112" s="416"/>
      <c r="M112" s="416"/>
      <c r="N112" s="416"/>
      <c r="O112" s="416"/>
      <c r="P112" s="416"/>
      <c r="Q112" s="416"/>
      <c r="R112" s="418">
        <f t="shared" si="113"/>
        <v>0</v>
      </c>
    </row>
    <row r="113" spans="2:18" s="1" customFormat="1" ht="13" hidden="1" x14ac:dyDescent="0.3">
      <c r="B113" s="400" t="s">
        <v>527</v>
      </c>
      <c r="C113" s="401"/>
      <c r="D113" s="402" t="s">
        <v>536</v>
      </c>
      <c r="E113" s="401"/>
      <c r="F113" s="403"/>
      <c r="G113" s="403"/>
      <c r="H113" s="403"/>
      <c r="I113" s="403"/>
      <c r="J113" s="403"/>
      <c r="K113" s="403"/>
      <c r="L113" s="403"/>
      <c r="M113" s="403"/>
      <c r="N113" s="403"/>
      <c r="O113" s="403"/>
      <c r="P113" s="403"/>
      <c r="Q113" s="403"/>
      <c r="R113" s="403"/>
    </row>
    <row r="114" spans="2:18" s="1" customFormat="1" ht="13" hidden="1" x14ac:dyDescent="0.35">
      <c r="B114" s="404" t="s">
        <v>527</v>
      </c>
      <c r="C114" s="405"/>
      <c r="D114" s="406" t="s">
        <v>611</v>
      </c>
      <c r="E114" s="405"/>
      <c r="F114" s="407">
        <f t="shared" ref="F114:Q114" si="114">SUM(F116:F123)</f>
        <v>0</v>
      </c>
      <c r="G114" s="407">
        <f t="shared" si="114"/>
        <v>0</v>
      </c>
      <c r="H114" s="407">
        <f t="shared" si="114"/>
        <v>0</v>
      </c>
      <c r="I114" s="407">
        <f t="shared" si="114"/>
        <v>0</v>
      </c>
      <c r="J114" s="407">
        <f t="shared" si="114"/>
        <v>0</v>
      </c>
      <c r="K114" s="407">
        <f t="shared" si="114"/>
        <v>0</v>
      </c>
      <c r="L114" s="407">
        <f t="shared" si="114"/>
        <v>0</v>
      </c>
      <c r="M114" s="407">
        <f t="shared" si="114"/>
        <v>0</v>
      </c>
      <c r="N114" s="407">
        <f t="shared" si="114"/>
        <v>0</v>
      </c>
      <c r="O114" s="407">
        <f t="shared" si="114"/>
        <v>0</v>
      </c>
      <c r="P114" s="407">
        <f t="shared" si="114"/>
        <v>0</v>
      </c>
      <c r="Q114" s="407">
        <f t="shared" si="114"/>
        <v>0</v>
      </c>
      <c r="R114" s="408">
        <f t="shared" ref="R114" si="115">SUM(F114:Q114)</f>
        <v>0</v>
      </c>
    </row>
    <row r="115" spans="2:18" s="1" customFormat="1" ht="13" hidden="1" x14ac:dyDescent="0.3">
      <c r="B115" s="404" t="s">
        <v>527</v>
      </c>
      <c r="C115" s="405"/>
      <c r="D115" s="402" t="s">
        <v>537</v>
      </c>
      <c r="E115" s="405"/>
      <c r="F115" s="407">
        <f>IFERROR(SUM(F116:F123)/F113,0)</f>
        <v>0</v>
      </c>
      <c r="G115" s="407">
        <f t="shared" ref="G115" si="116">IFERROR(SUM(G116:G123)/G113,0)</f>
        <v>0</v>
      </c>
      <c r="H115" s="407">
        <f t="shared" ref="H115" si="117">IFERROR(SUM(H116:H123)/H113,0)</f>
        <v>0</v>
      </c>
      <c r="I115" s="407">
        <f t="shared" ref="I115" si="118">IFERROR(SUM(I116:I123)/I113,0)</f>
        <v>0</v>
      </c>
      <c r="J115" s="407">
        <f t="shared" ref="J115" si="119">IFERROR(SUM(J116:J123)/J113,0)</f>
        <v>0</v>
      </c>
      <c r="K115" s="407">
        <f t="shared" ref="K115" si="120">IFERROR(SUM(K116:K123)/K113,0)</f>
        <v>0</v>
      </c>
      <c r="L115" s="407">
        <f t="shared" ref="L115" si="121">IFERROR(SUM(L116:L123)/L113,0)</f>
        <v>0</v>
      </c>
      <c r="M115" s="407">
        <f t="shared" ref="M115" si="122">IFERROR(SUM(M116:M123)/M113,0)</f>
        <v>0</v>
      </c>
      <c r="N115" s="407">
        <f t="shared" ref="N115" si="123">IFERROR(SUM(N116:N123)/N113,0)</f>
        <v>0</v>
      </c>
      <c r="O115" s="407">
        <f t="shared" ref="O115" si="124">IFERROR(SUM(O116:O123)/O113,0)</f>
        <v>0</v>
      </c>
      <c r="P115" s="407">
        <f t="shared" ref="P115" si="125">IFERROR(SUM(P116:P123)/P113,0)</f>
        <v>0</v>
      </c>
      <c r="Q115" s="407">
        <f t="shared" ref="Q115" si="126">IFERROR(SUM(Q116:Q123)/Q113,0)</f>
        <v>0</v>
      </c>
      <c r="R115" s="408">
        <f>AVERAGEA(F115:Q115)</f>
        <v>0</v>
      </c>
    </row>
    <row r="116" spans="2:18" s="36" customFormat="1" ht="13" hidden="1" x14ac:dyDescent="0.35">
      <c r="B116" s="409" t="s">
        <v>527</v>
      </c>
      <c r="C116" s="410">
        <v>6421002604</v>
      </c>
      <c r="D116" s="411" t="s">
        <v>461</v>
      </c>
      <c r="E116" s="411" t="s">
        <v>569</v>
      </c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412"/>
      <c r="Q116" s="412"/>
      <c r="R116" s="417">
        <f>SUM(F116:Q116)</f>
        <v>0</v>
      </c>
    </row>
    <row r="117" spans="2:18" s="36" customFormat="1" ht="13" hidden="1" x14ac:dyDescent="0.35">
      <c r="B117" s="409" t="s">
        <v>527</v>
      </c>
      <c r="C117" s="410">
        <v>6421002605</v>
      </c>
      <c r="D117" s="410" t="s">
        <v>462</v>
      </c>
      <c r="E117" s="411" t="s">
        <v>574</v>
      </c>
      <c r="F117" s="412"/>
      <c r="G117" s="412"/>
      <c r="H117" s="412"/>
      <c r="I117" s="412"/>
      <c r="J117" s="412"/>
      <c r="K117" s="412"/>
      <c r="L117" s="412"/>
      <c r="M117" s="412"/>
      <c r="N117" s="412"/>
      <c r="O117" s="412"/>
      <c r="P117" s="412"/>
      <c r="Q117" s="412"/>
      <c r="R117" s="417">
        <f t="shared" ref="R117:R124" si="127">SUM(F117:Q117)</f>
        <v>0</v>
      </c>
    </row>
    <row r="118" spans="2:18" s="36" customFormat="1" ht="13" x14ac:dyDescent="0.35">
      <c r="B118" s="409" t="s">
        <v>527</v>
      </c>
      <c r="C118" s="410">
        <v>6421002802</v>
      </c>
      <c r="D118" s="411" t="s">
        <v>465</v>
      </c>
      <c r="E118" s="411" t="s">
        <v>570</v>
      </c>
      <c r="F118" s="412"/>
      <c r="G118" s="412"/>
      <c r="H118" s="412"/>
      <c r="I118" s="412"/>
      <c r="J118" s="412"/>
      <c r="K118" s="412"/>
      <c r="L118" s="412"/>
      <c r="M118" s="412"/>
      <c r="N118" s="412"/>
      <c r="O118" s="412"/>
      <c r="P118" s="412"/>
      <c r="Q118" s="412"/>
      <c r="R118" s="417">
        <f t="shared" si="127"/>
        <v>0</v>
      </c>
    </row>
    <row r="119" spans="2:18" s="36" customFormat="1" ht="13" hidden="1" x14ac:dyDescent="0.35">
      <c r="B119" s="409" t="s">
        <v>527</v>
      </c>
      <c r="C119" s="410">
        <v>6421002806</v>
      </c>
      <c r="D119" s="410" t="s">
        <v>584</v>
      </c>
      <c r="E119" s="411" t="s">
        <v>574</v>
      </c>
      <c r="F119" s="412"/>
      <c r="G119" s="412"/>
      <c r="H119" s="412"/>
      <c r="I119" s="412"/>
      <c r="J119" s="412"/>
      <c r="K119" s="412"/>
      <c r="L119" s="412"/>
      <c r="M119" s="412"/>
      <c r="N119" s="412"/>
      <c r="O119" s="412"/>
      <c r="P119" s="412"/>
      <c r="Q119" s="412"/>
      <c r="R119" s="417">
        <f t="shared" si="127"/>
        <v>0</v>
      </c>
    </row>
    <row r="120" spans="2:18" s="36" customFormat="1" ht="13" x14ac:dyDescent="0.35">
      <c r="B120" s="409" t="s">
        <v>527</v>
      </c>
      <c r="C120" s="410">
        <v>6421007202</v>
      </c>
      <c r="D120" s="411" t="s">
        <v>431</v>
      </c>
      <c r="E120" s="411" t="s">
        <v>570</v>
      </c>
      <c r="F120" s="412"/>
      <c r="G120" s="412"/>
      <c r="H120" s="412"/>
      <c r="I120" s="412"/>
      <c r="J120" s="412"/>
      <c r="K120" s="412"/>
      <c r="L120" s="412"/>
      <c r="M120" s="412"/>
      <c r="N120" s="412"/>
      <c r="O120" s="412"/>
      <c r="P120" s="412"/>
      <c r="Q120" s="412"/>
      <c r="R120" s="417">
        <f t="shared" si="127"/>
        <v>0</v>
      </c>
    </row>
    <row r="121" spans="2:18" s="36" customFormat="1" ht="13" x14ac:dyDescent="0.35">
      <c r="B121" s="409" t="s">
        <v>527</v>
      </c>
      <c r="C121" s="410">
        <v>6421003202</v>
      </c>
      <c r="D121" s="410" t="s">
        <v>467</v>
      </c>
      <c r="E121" s="411" t="s">
        <v>570</v>
      </c>
      <c r="F121" s="412"/>
      <c r="G121" s="412"/>
      <c r="H121" s="412"/>
      <c r="I121" s="412"/>
      <c r="J121" s="412"/>
      <c r="K121" s="412"/>
      <c r="L121" s="412"/>
      <c r="M121" s="412"/>
      <c r="N121" s="412"/>
      <c r="O121" s="412"/>
      <c r="P121" s="412"/>
      <c r="Q121" s="412"/>
      <c r="R121" s="417">
        <f t="shared" si="127"/>
        <v>0</v>
      </c>
    </row>
    <row r="122" spans="2:18" s="36" customFormat="1" ht="13" hidden="1" x14ac:dyDescent="0.35">
      <c r="B122" s="409" t="s">
        <v>527</v>
      </c>
      <c r="C122" s="410">
        <v>6421002603</v>
      </c>
      <c r="D122" s="411" t="s">
        <v>466</v>
      </c>
      <c r="E122" s="411" t="s">
        <v>574</v>
      </c>
      <c r="F122" s="412"/>
      <c r="G122" s="412"/>
      <c r="H122" s="412"/>
      <c r="I122" s="412"/>
      <c r="J122" s="412"/>
      <c r="K122" s="412"/>
      <c r="L122" s="412"/>
      <c r="M122" s="412"/>
      <c r="N122" s="412"/>
      <c r="O122" s="412"/>
      <c r="P122" s="412"/>
      <c r="Q122" s="412"/>
      <c r="R122" s="417">
        <f t="shared" si="127"/>
        <v>0</v>
      </c>
    </row>
    <row r="123" spans="2:18" s="36" customFormat="1" ht="13" x14ac:dyDescent="0.35">
      <c r="B123" s="409" t="s">
        <v>527</v>
      </c>
      <c r="C123" s="410">
        <v>6421003401</v>
      </c>
      <c r="D123" s="410" t="s">
        <v>463</v>
      </c>
      <c r="E123" s="411" t="s">
        <v>570</v>
      </c>
      <c r="F123" s="412"/>
      <c r="G123" s="412"/>
      <c r="H123" s="412"/>
      <c r="I123" s="412"/>
      <c r="J123" s="412"/>
      <c r="K123" s="412"/>
      <c r="L123" s="412"/>
      <c r="M123" s="412"/>
      <c r="N123" s="412"/>
      <c r="O123" s="412"/>
      <c r="P123" s="412"/>
      <c r="Q123" s="412"/>
      <c r="R123" s="417">
        <f t="shared" si="127"/>
        <v>0</v>
      </c>
    </row>
    <row r="124" spans="2:18" s="36" customFormat="1" ht="13" hidden="1" x14ac:dyDescent="0.35">
      <c r="B124" s="413" t="s">
        <v>527</v>
      </c>
      <c r="C124" s="414">
        <v>6421002703</v>
      </c>
      <c r="D124" s="415" t="s">
        <v>464</v>
      </c>
      <c r="E124" s="415" t="s">
        <v>574</v>
      </c>
      <c r="F124" s="416"/>
      <c r="G124" s="416"/>
      <c r="H124" s="416"/>
      <c r="I124" s="416"/>
      <c r="J124" s="416"/>
      <c r="K124" s="416"/>
      <c r="L124" s="416"/>
      <c r="M124" s="416"/>
      <c r="N124" s="416"/>
      <c r="O124" s="416"/>
      <c r="P124" s="416"/>
      <c r="Q124" s="416"/>
      <c r="R124" s="418">
        <f t="shared" si="127"/>
        <v>0</v>
      </c>
    </row>
    <row r="125" spans="2:18" s="1" customFormat="1" ht="13" hidden="1" x14ac:dyDescent="0.3">
      <c r="B125" s="400" t="s">
        <v>520</v>
      </c>
      <c r="C125" s="401"/>
      <c r="D125" s="402" t="s">
        <v>536</v>
      </c>
      <c r="E125" s="401"/>
      <c r="F125" s="403"/>
      <c r="G125" s="403"/>
      <c r="H125" s="403"/>
      <c r="I125" s="403"/>
      <c r="J125" s="403"/>
      <c r="K125" s="403"/>
      <c r="L125" s="403"/>
      <c r="M125" s="403"/>
      <c r="N125" s="403"/>
      <c r="O125" s="403"/>
      <c r="P125" s="403"/>
      <c r="Q125" s="403"/>
      <c r="R125" s="403"/>
    </row>
    <row r="126" spans="2:18" s="1" customFormat="1" ht="13" hidden="1" x14ac:dyDescent="0.35">
      <c r="B126" s="404" t="s">
        <v>520</v>
      </c>
      <c r="C126" s="405"/>
      <c r="D126" s="406" t="s">
        <v>610</v>
      </c>
      <c r="E126" s="405"/>
      <c r="F126" s="407">
        <f t="shared" ref="F126:Q126" si="128">SUM(F128:F135)</f>
        <v>0</v>
      </c>
      <c r="G126" s="407">
        <f t="shared" si="128"/>
        <v>0</v>
      </c>
      <c r="H126" s="407">
        <f t="shared" si="128"/>
        <v>0</v>
      </c>
      <c r="I126" s="407">
        <f t="shared" si="128"/>
        <v>0</v>
      </c>
      <c r="J126" s="407">
        <f t="shared" si="128"/>
        <v>0</v>
      </c>
      <c r="K126" s="407">
        <f t="shared" si="128"/>
        <v>0</v>
      </c>
      <c r="L126" s="407">
        <f t="shared" si="128"/>
        <v>0</v>
      </c>
      <c r="M126" s="407">
        <f t="shared" si="128"/>
        <v>0</v>
      </c>
      <c r="N126" s="407">
        <f t="shared" si="128"/>
        <v>0</v>
      </c>
      <c r="O126" s="407">
        <f t="shared" si="128"/>
        <v>0</v>
      </c>
      <c r="P126" s="407">
        <f t="shared" si="128"/>
        <v>0</v>
      </c>
      <c r="Q126" s="407">
        <f t="shared" si="128"/>
        <v>0</v>
      </c>
      <c r="R126" s="408">
        <f t="shared" ref="R126" si="129">SUM(F126:Q126)</f>
        <v>0</v>
      </c>
    </row>
    <row r="127" spans="2:18" s="1" customFormat="1" ht="13" hidden="1" x14ac:dyDescent="0.3">
      <c r="B127" s="404" t="s">
        <v>520</v>
      </c>
      <c r="C127" s="405"/>
      <c r="D127" s="402" t="s">
        <v>537</v>
      </c>
      <c r="E127" s="405"/>
      <c r="F127" s="407">
        <f>IFERROR(SUM(F128:F135)/F125,0)</f>
        <v>0</v>
      </c>
      <c r="G127" s="407">
        <f t="shared" ref="G127" si="130">IFERROR(SUM(G128:G135)/G125,0)</f>
        <v>0</v>
      </c>
      <c r="H127" s="407">
        <f t="shared" ref="H127" si="131">IFERROR(SUM(H128:H135)/H125,0)</f>
        <v>0</v>
      </c>
      <c r="I127" s="407">
        <f t="shared" ref="I127" si="132">IFERROR(SUM(I128:I135)/I125,0)</f>
        <v>0</v>
      </c>
      <c r="J127" s="407">
        <f t="shared" ref="J127" si="133">IFERROR(SUM(J128:J135)/J125,0)</f>
        <v>0</v>
      </c>
      <c r="K127" s="407">
        <f t="shared" ref="K127" si="134">IFERROR(SUM(K128:K135)/K125,0)</f>
        <v>0</v>
      </c>
      <c r="L127" s="407">
        <f t="shared" ref="L127" si="135">IFERROR(SUM(L128:L135)/L125,0)</f>
        <v>0</v>
      </c>
      <c r="M127" s="407">
        <f t="shared" ref="M127" si="136">IFERROR(SUM(M128:M135)/M125,0)</f>
        <v>0</v>
      </c>
      <c r="N127" s="407">
        <f t="shared" ref="N127" si="137">IFERROR(SUM(N128:N135)/N125,0)</f>
        <v>0</v>
      </c>
      <c r="O127" s="407">
        <f t="shared" ref="O127" si="138">IFERROR(SUM(O128:O135)/O125,0)</f>
        <v>0</v>
      </c>
      <c r="P127" s="407">
        <f t="shared" ref="P127" si="139">IFERROR(SUM(P128:P135)/P125,0)</f>
        <v>0</v>
      </c>
      <c r="Q127" s="407">
        <f t="shared" ref="Q127" si="140">IFERROR(SUM(Q128:Q135)/Q125,0)</f>
        <v>0</v>
      </c>
      <c r="R127" s="408">
        <f>AVERAGEA(F127:Q127)</f>
        <v>0</v>
      </c>
    </row>
    <row r="128" spans="2:18" s="36" customFormat="1" ht="13" hidden="1" x14ac:dyDescent="0.35">
      <c r="B128" s="409" t="s">
        <v>520</v>
      </c>
      <c r="C128" s="410">
        <v>6271002604</v>
      </c>
      <c r="D128" s="411" t="s">
        <v>461</v>
      </c>
      <c r="E128" s="411" t="s">
        <v>574</v>
      </c>
      <c r="F128" s="412"/>
      <c r="G128" s="412"/>
      <c r="H128" s="412"/>
      <c r="I128" s="412"/>
      <c r="J128" s="412"/>
      <c r="K128" s="412"/>
      <c r="L128" s="412"/>
      <c r="M128" s="412"/>
      <c r="N128" s="412"/>
      <c r="O128" s="412"/>
      <c r="P128" s="412"/>
      <c r="Q128" s="412"/>
      <c r="R128" s="417">
        <f>SUM(F128:Q128)</f>
        <v>0</v>
      </c>
    </row>
    <row r="129" spans="2:18" s="36" customFormat="1" ht="13" hidden="1" x14ac:dyDescent="0.35">
      <c r="B129" s="409" t="s">
        <v>520</v>
      </c>
      <c r="C129" s="410">
        <v>6271002605</v>
      </c>
      <c r="D129" s="410" t="s">
        <v>462</v>
      </c>
      <c r="E129" s="411" t="s">
        <v>574</v>
      </c>
      <c r="F129" s="412"/>
      <c r="G129" s="412"/>
      <c r="H129" s="412"/>
      <c r="I129" s="412"/>
      <c r="J129" s="412"/>
      <c r="K129" s="412"/>
      <c r="L129" s="412"/>
      <c r="M129" s="412"/>
      <c r="N129" s="412"/>
      <c r="O129" s="412"/>
      <c r="P129" s="412"/>
      <c r="Q129" s="412"/>
      <c r="R129" s="417">
        <f t="shared" ref="R129:R136" si="141">SUM(F129:Q129)</f>
        <v>0</v>
      </c>
    </row>
    <row r="130" spans="2:18" s="36" customFormat="1" ht="13" hidden="1" x14ac:dyDescent="0.35">
      <c r="B130" s="409" t="s">
        <v>520</v>
      </c>
      <c r="C130" s="410">
        <v>6271002802</v>
      </c>
      <c r="D130" s="411" t="s">
        <v>465</v>
      </c>
      <c r="E130" s="411" t="s">
        <v>570</v>
      </c>
      <c r="F130" s="412"/>
      <c r="G130" s="412"/>
      <c r="H130" s="412"/>
      <c r="I130" s="412"/>
      <c r="J130" s="412"/>
      <c r="K130" s="412"/>
      <c r="L130" s="412"/>
      <c r="M130" s="412"/>
      <c r="N130" s="412"/>
      <c r="O130" s="412"/>
      <c r="P130" s="412"/>
      <c r="Q130" s="412"/>
      <c r="R130" s="417">
        <f t="shared" si="141"/>
        <v>0</v>
      </c>
    </row>
    <row r="131" spans="2:18" s="36" customFormat="1" ht="13" hidden="1" x14ac:dyDescent="0.35">
      <c r="B131" s="409" t="s">
        <v>520</v>
      </c>
      <c r="C131" s="410">
        <v>6271002806</v>
      </c>
      <c r="D131" s="410" t="s">
        <v>472</v>
      </c>
      <c r="E131" s="411" t="s">
        <v>574</v>
      </c>
      <c r="F131" s="412"/>
      <c r="G131" s="412"/>
      <c r="H131" s="412"/>
      <c r="I131" s="412"/>
      <c r="J131" s="412"/>
      <c r="K131" s="412"/>
      <c r="L131" s="412"/>
      <c r="M131" s="412"/>
      <c r="N131" s="412"/>
      <c r="O131" s="412"/>
      <c r="P131" s="412"/>
      <c r="Q131" s="412"/>
      <c r="R131" s="417">
        <f t="shared" si="141"/>
        <v>0</v>
      </c>
    </row>
    <row r="132" spans="2:18" s="36" customFormat="1" ht="13" hidden="1" x14ac:dyDescent="0.35">
      <c r="B132" s="409" t="s">
        <v>520</v>
      </c>
      <c r="C132" s="410">
        <v>6271007202</v>
      </c>
      <c r="D132" s="411" t="s">
        <v>431</v>
      </c>
      <c r="E132" s="411" t="s">
        <v>570</v>
      </c>
      <c r="F132" s="412"/>
      <c r="G132" s="412"/>
      <c r="H132" s="412"/>
      <c r="I132" s="412"/>
      <c r="J132" s="412"/>
      <c r="K132" s="412"/>
      <c r="L132" s="412"/>
      <c r="M132" s="412"/>
      <c r="N132" s="412"/>
      <c r="O132" s="412"/>
      <c r="P132" s="412"/>
      <c r="Q132" s="412"/>
      <c r="R132" s="417">
        <f t="shared" si="141"/>
        <v>0</v>
      </c>
    </row>
    <row r="133" spans="2:18" s="36" customFormat="1" ht="13" hidden="1" x14ac:dyDescent="0.35">
      <c r="B133" s="409" t="s">
        <v>520</v>
      </c>
      <c r="C133" s="410">
        <v>6271003202</v>
      </c>
      <c r="D133" s="410" t="s">
        <v>467</v>
      </c>
      <c r="E133" s="411" t="s">
        <v>570</v>
      </c>
      <c r="F133" s="412"/>
      <c r="G133" s="412"/>
      <c r="H133" s="412"/>
      <c r="I133" s="412"/>
      <c r="J133" s="412"/>
      <c r="K133" s="412"/>
      <c r="L133" s="412"/>
      <c r="M133" s="412"/>
      <c r="N133" s="412"/>
      <c r="O133" s="412"/>
      <c r="P133" s="412"/>
      <c r="Q133" s="412"/>
      <c r="R133" s="417">
        <f t="shared" si="141"/>
        <v>0</v>
      </c>
    </row>
    <row r="134" spans="2:18" s="36" customFormat="1" ht="13" hidden="1" x14ac:dyDescent="0.35">
      <c r="B134" s="409" t="s">
        <v>520</v>
      </c>
      <c r="C134" s="410">
        <v>6271002603</v>
      </c>
      <c r="D134" s="411" t="s">
        <v>466</v>
      </c>
      <c r="E134" s="411" t="s">
        <v>574</v>
      </c>
      <c r="F134" s="412"/>
      <c r="G134" s="412"/>
      <c r="H134" s="412"/>
      <c r="I134" s="412"/>
      <c r="J134" s="412"/>
      <c r="K134" s="412"/>
      <c r="L134" s="412"/>
      <c r="M134" s="412"/>
      <c r="N134" s="412"/>
      <c r="O134" s="412"/>
      <c r="P134" s="412"/>
      <c r="Q134" s="412"/>
      <c r="R134" s="417">
        <f t="shared" si="141"/>
        <v>0</v>
      </c>
    </row>
    <row r="135" spans="2:18" s="36" customFormat="1" ht="13" hidden="1" x14ac:dyDescent="0.35">
      <c r="B135" s="409" t="s">
        <v>520</v>
      </c>
      <c r="C135" s="410">
        <v>6271003401</v>
      </c>
      <c r="D135" s="410" t="s">
        <v>463</v>
      </c>
      <c r="E135" s="411" t="s">
        <v>570</v>
      </c>
      <c r="F135" s="412"/>
      <c r="G135" s="412"/>
      <c r="H135" s="412"/>
      <c r="I135" s="412"/>
      <c r="J135" s="412"/>
      <c r="K135" s="412"/>
      <c r="L135" s="412"/>
      <c r="M135" s="412"/>
      <c r="N135" s="412"/>
      <c r="O135" s="412"/>
      <c r="P135" s="412"/>
      <c r="Q135" s="412"/>
      <c r="R135" s="417">
        <f t="shared" si="141"/>
        <v>0</v>
      </c>
    </row>
    <row r="136" spans="2:18" s="36" customFormat="1" ht="13" hidden="1" x14ac:dyDescent="0.35">
      <c r="B136" s="413" t="s">
        <v>520</v>
      </c>
      <c r="C136" s="414">
        <v>6271002703</v>
      </c>
      <c r="D136" s="415" t="s">
        <v>464</v>
      </c>
      <c r="E136" s="415" t="s">
        <v>574</v>
      </c>
      <c r="F136" s="416"/>
      <c r="G136" s="416"/>
      <c r="H136" s="416"/>
      <c r="I136" s="416"/>
      <c r="J136" s="416"/>
      <c r="K136" s="416"/>
      <c r="L136" s="416"/>
      <c r="M136" s="416"/>
      <c r="N136" s="416"/>
      <c r="O136" s="416"/>
      <c r="P136" s="416"/>
      <c r="Q136" s="416"/>
      <c r="R136" s="418">
        <f t="shared" si="141"/>
        <v>0</v>
      </c>
    </row>
    <row r="137" spans="2:18" s="1" customFormat="1" ht="13" hidden="1" x14ac:dyDescent="0.3">
      <c r="B137" s="400" t="s">
        <v>519</v>
      </c>
      <c r="C137" s="401"/>
      <c r="D137" s="402" t="s">
        <v>536</v>
      </c>
      <c r="E137" s="401"/>
      <c r="F137" s="403">
        <f>'Dinh bien_HCNS'!H39</f>
        <v>3</v>
      </c>
      <c r="G137" s="403">
        <f>'Dinh bien_HCNS'!I39</f>
        <v>3</v>
      </c>
      <c r="H137" s="403">
        <f>'Dinh bien_HCNS'!J39</f>
        <v>3</v>
      </c>
      <c r="I137" s="403">
        <f>'Dinh bien_HCNS'!K39</f>
        <v>3</v>
      </c>
      <c r="J137" s="403">
        <f>'Dinh bien_HCNS'!L39</f>
        <v>3</v>
      </c>
      <c r="K137" s="403">
        <f>'Dinh bien_HCNS'!M39</f>
        <v>3</v>
      </c>
      <c r="L137" s="403">
        <f>'Dinh bien_HCNS'!N39</f>
        <v>3</v>
      </c>
      <c r="M137" s="403">
        <f>'Dinh bien_HCNS'!O39</f>
        <v>3</v>
      </c>
      <c r="N137" s="403">
        <f>'Dinh bien_HCNS'!P39</f>
        <v>3</v>
      </c>
      <c r="O137" s="403">
        <f>'Dinh bien_HCNS'!Q39</f>
        <v>3</v>
      </c>
      <c r="P137" s="403">
        <f>'Dinh bien_HCNS'!R39</f>
        <v>3</v>
      </c>
      <c r="Q137" s="403">
        <f>'Dinh bien_HCNS'!S39</f>
        <v>3</v>
      </c>
      <c r="R137" s="403">
        <f>'Dinh bien_HCNS'!T39</f>
        <v>3</v>
      </c>
    </row>
    <row r="138" spans="2:18" s="1" customFormat="1" ht="13" hidden="1" x14ac:dyDescent="0.35">
      <c r="B138" s="404" t="s">
        <v>519</v>
      </c>
      <c r="C138" s="405"/>
      <c r="D138" s="406" t="s">
        <v>610</v>
      </c>
      <c r="E138" s="405"/>
      <c r="F138" s="407">
        <f>SUM(F140:F148)</f>
        <v>45781369</v>
      </c>
      <c r="G138" s="407">
        <f t="shared" ref="G138:Q138" si="142">SUM(G140:G148)</f>
        <v>45132228</v>
      </c>
      <c r="H138" s="407">
        <f t="shared" si="142"/>
        <v>43745916</v>
      </c>
      <c r="I138" s="407">
        <f t="shared" si="142"/>
        <v>47271664</v>
      </c>
      <c r="J138" s="407">
        <f t="shared" si="142"/>
        <v>44361079</v>
      </c>
      <c r="K138" s="407">
        <f t="shared" si="142"/>
        <v>47016285</v>
      </c>
      <c r="L138" s="407">
        <f t="shared" si="142"/>
        <v>47496267</v>
      </c>
      <c r="M138" s="407">
        <f t="shared" si="142"/>
        <v>47988107</v>
      </c>
      <c r="N138" s="407">
        <f t="shared" si="142"/>
        <v>48284599</v>
      </c>
      <c r="O138" s="407">
        <f t="shared" si="142"/>
        <v>44769830</v>
      </c>
      <c r="P138" s="407">
        <f t="shared" si="142"/>
        <v>47016285</v>
      </c>
      <c r="Q138" s="407">
        <f t="shared" si="142"/>
        <v>45774827</v>
      </c>
      <c r="R138" s="408">
        <f>SUM(R140:R148)</f>
        <v>554638456</v>
      </c>
    </row>
    <row r="139" spans="2:18" s="1" customFormat="1" ht="13" hidden="1" x14ac:dyDescent="0.3">
      <c r="B139" s="404" t="s">
        <v>519</v>
      </c>
      <c r="C139" s="405"/>
      <c r="D139" s="402" t="s">
        <v>537</v>
      </c>
      <c r="E139" s="405"/>
      <c r="F139" s="407">
        <f>IFERROR(SUM(F140:F147)/F137,0)</f>
        <v>15181635.666666666</v>
      </c>
      <c r="G139" s="407">
        <f t="shared" ref="G139" si="143">IFERROR(SUM(G140:G147)/G137,0)</f>
        <v>14946969</v>
      </c>
      <c r="H139" s="407">
        <f t="shared" ref="H139" si="144">IFERROR(SUM(H140:H147)/H137,0)</f>
        <v>14354969</v>
      </c>
      <c r="I139" s="407">
        <f t="shared" ref="I139" si="145">IFERROR(SUM(I140:I147)/I137,0)</f>
        <v>15586969</v>
      </c>
      <c r="J139" s="407">
        <f t="shared" ref="J139" si="146">IFERROR(SUM(J140:J147)/J137,0)</f>
        <v>14648302.333333334</v>
      </c>
      <c r="K139" s="407">
        <f t="shared" ref="K139" si="147">IFERROR(SUM(K140:K147)/K137,0)</f>
        <v>15586969</v>
      </c>
      <c r="L139" s="407">
        <f t="shared" ref="L139" si="148">IFERROR(SUM(L140:L147)/L137,0)</f>
        <v>15176302.333333334</v>
      </c>
      <c r="M139" s="407">
        <f t="shared" ref="M139" si="149">IFERROR(SUM(M140:M147)/M137,0)</f>
        <v>15176302.333333334</v>
      </c>
      <c r="N139" s="407">
        <f t="shared" ref="N139" si="150">IFERROR(SUM(N140:N147)/N137,0)</f>
        <v>15464302.333333334</v>
      </c>
      <c r="O139" s="407">
        <f t="shared" ref="O139" si="151">IFERROR(SUM(O140:O147)/O137,0)</f>
        <v>14765635.666666666</v>
      </c>
      <c r="P139" s="407">
        <f t="shared" ref="P139" si="152">IFERROR(SUM(P140:P147)/P137,0)</f>
        <v>15586969</v>
      </c>
      <c r="Q139" s="407">
        <f t="shared" ref="Q139" si="153">IFERROR(SUM(Q140:Q147)/Q137,0)</f>
        <v>15176302.333333334</v>
      </c>
      <c r="R139" s="408">
        <f>AVERAGEA(F139:Q139)</f>
        <v>15137635.666666666</v>
      </c>
    </row>
    <row r="140" spans="2:18" s="36" customFormat="1" ht="13" hidden="1" x14ac:dyDescent="0.35">
      <c r="B140" s="409" t="s">
        <v>519</v>
      </c>
      <c r="C140" s="410">
        <v>6271002604</v>
      </c>
      <c r="D140" s="411" t="s">
        <v>461</v>
      </c>
      <c r="E140" s="411" t="s">
        <v>574</v>
      </c>
      <c r="F140" s="412">
        <f>26248000+7500000</f>
        <v>33748000</v>
      </c>
      <c r="G140" s="412">
        <f>27096000+6600000</f>
        <v>33696000</v>
      </c>
      <c r="H140" s="412">
        <f>24552000+7200000</f>
        <v>31752000</v>
      </c>
      <c r="I140" s="412">
        <f>27096000+8100000</f>
        <v>35196000</v>
      </c>
      <c r="J140" s="412">
        <f>25400000+6600000</f>
        <v>32000000</v>
      </c>
      <c r="K140" s="412">
        <f>27096000+8100000</f>
        <v>35196000</v>
      </c>
      <c r="L140" s="412">
        <f>26248000+7800000</f>
        <v>34048000</v>
      </c>
      <c r="M140" s="412">
        <f>26248000+7800000</f>
        <v>34048000</v>
      </c>
      <c r="N140" s="412">
        <f>27096000+7500000</f>
        <v>34596000</v>
      </c>
      <c r="O140" s="412">
        <f>25400000+7500000</f>
        <v>32900000</v>
      </c>
      <c r="P140" s="412">
        <f>27096000+8100000</f>
        <v>35196000</v>
      </c>
      <c r="Q140" s="412">
        <f>26248000+7800000</f>
        <v>34048000</v>
      </c>
      <c r="R140" s="417">
        <f>SUM(F140:Q140)</f>
        <v>406424000</v>
      </c>
    </row>
    <row r="141" spans="2:18" s="36" customFormat="1" ht="13" hidden="1" x14ac:dyDescent="0.35">
      <c r="B141" s="409" t="s">
        <v>519</v>
      </c>
      <c r="C141" s="410">
        <v>6271002605</v>
      </c>
      <c r="D141" s="410" t="s">
        <v>462</v>
      </c>
      <c r="E141" s="411" t="s">
        <v>574</v>
      </c>
      <c r="F141" s="412">
        <v>1745467</v>
      </c>
      <c r="G141" s="412">
        <v>1745467</v>
      </c>
      <c r="H141" s="412">
        <v>1745467</v>
      </c>
      <c r="I141" s="412">
        <v>1745467</v>
      </c>
      <c r="J141" s="412">
        <v>1745467</v>
      </c>
      <c r="K141" s="412">
        <v>1745467</v>
      </c>
      <c r="L141" s="412">
        <v>1745467</v>
      </c>
      <c r="M141" s="412">
        <v>1745467</v>
      </c>
      <c r="N141" s="412">
        <v>1745467</v>
      </c>
      <c r="O141" s="412">
        <v>1745467</v>
      </c>
      <c r="P141" s="412">
        <v>1745467</v>
      </c>
      <c r="Q141" s="412">
        <v>1745467</v>
      </c>
      <c r="R141" s="417">
        <f t="shared" ref="R141:R148" si="154">SUM(F141:Q141)</f>
        <v>20945604</v>
      </c>
    </row>
    <row r="142" spans="2:18" s="36" customFormat="1" ht="13" hidden="1" x14ac:dyDescent="0.35">
      <c r="B142" s="409" t="s">
        <v>519</v>
      </c>
      <c r="C142" s="410">
        <v>6271002802</v>
      </c>
      <c r="D142" s="411" t="s">
        <v>465</v>
      </c>
      <c r="E142" s="411" t="s">
        <v>570</v>
      </c>
      <c r="F142" s="412">
        <v>400000</v>
      </c>
      <c r="G142" s="412">
        <v>0</v>
      </c>
      <c r="H142" s="412">
        <v>0</v>
      </c>
      <c r="I142" s="412">
        <v>0</v>
      </c>
      <c r="J142" s="412">
        <v>800000</v>
      </c>
      <c r="K142" s="412">
        <v>0</v>
      </c>
      <c r="L142" s="412">
        <v>0</v>
      </c>
      <c r="M142" s="412">
        <v>0</v>
      </c>
      <c r="N142" s="412">
        <v>400000</v>
      </c>
      <c r="O142" s="412">
        <v>0</v>
      </c>
      <c r="P142" s="412">
        <v>0</v>
      </c>
      <c r="Q142" s="412">
        <v>0</v>
      </c>
      <c r="R142" s="417">
        <f t="shared" si="154"/>
        <v>1600000</v>
      </c>
    </row>
    <row r="143" spans="2:18" s="36" customFormat="1" ht="13" hidden="1" x14ac:dyDescent="0.35">
      <c r="B143" s="409" t="s">
        <v>519</v>
      </c>
      <c r="C143" s="410">
        <v>6271002806</v>
      </c>
      <c r="D143" s="410" t="s">
        <v>472</v>
      </c>
      <c r="E143" s="411" t="s">
        <v>574</v>
      </c>
      <c r="F143" s="412">
        <v>2370160</v>
      </c>
      <c r="G143" s="412">
        <v>2370160</v>
      </c>
      <c r="H143" s="412">
        <v>2370160</v>
      </c>
      <c r="I143" s="412">
        <v>2370160</v>
      </c>
      <c r="J143" s="412">
        <v>2370160</v>
      </c>
      <c r="K143" s="412">
        <v>2370160</v>
      </c>
      <c r="L143" s="412">
        <v>2370160</v>
      </c>
      <c r="M143" s="412">
        <v>2370160</v>
      </c>
      <c r="N143" s="412">
        <v>2370160</v>
      </c>
      <c r="O143" s="412">
        <v>2370160</v>
      </c>
      <c r="P143" s="412">
        <v>2370160</v>
      </c>
      <c r="Q143" s="412">
        <v>2370160</v>
      </c>
      <c r="R143" s="417">
        <f t="shared" si="154"/>
        <v>28441920</v>
      </c>
    </row>
    <row r="144" spans="2:18" s="36" customFormat="1" ht="13" hidden="1" x14ac:dyDescent="0.35">
      <c r="B144" s="409" t="s">
        <v>519</v>
      </c>
      <c r="C144" s="410">
        <v>6271007202</v>
      </c>
      <c r="D144" s="411" t="s">
        <v>431</v>
      </c>
      <c r="E144" s="411" t="s">
        <v>570</v>
      </c>
      <c r="F144" s="412"/>
      <c r="G144" s="412"/>
      <c r="H144" s="412"/>
      <c r="I144" s="412"/>
      <c r="J144" s="412"/>
      <c r="K144" s="412"/>
      <c r="L144" s="412"/>
      <c r="M144" s="412"/>
      <c r="N144" s="412"/>
      <c r="O144" s="412"/>
      <c r="P144" s="412"/>
      <c r="Q144" s="412"/>
      <c r="R144" s="417">
        <f t="shared" si="154"/>
        <v>0</v>
      </c>
    </row>
    <row r="145" spans="2:18" s="36" customFormat="1" ht="13" hidden="1" x14ac:dyDescent="0.35">
      <c r="B145" s="409" t="s">
        <v>519</v>
      </c>
      <c r="C145" s="410">
        <v>6271003202</v>
      </c>
      <c r="D145" s="410" t="s">
        <v>467</v>
      </c>
      <c r="E145" s="411" t="s">
        <v>570</v>
      </c>
      <c r="F145" s="412">
        <f>1400000+700000</f>
        <v>2100000</v>
      </c>
      <c r="G145" s="412">
        <f>1232000+616000</f>
        <v>1848000</v>
      </c>
      <c r="H145" s="412">
        <f>1344000+672000</f>
        <v>2016000</v>
      </c>
      <c r="I145" s="412">
        <f>1512000+756000</f>
        <v>2268000</v>
      </c>
      <c r="J145" s="412">
        <f>1232000+616000</f>
        <v>1848000</v>
      </c>
      <c r="K145" s="412">
        <f>1512000+756000</f>
        <v>2268000</v>
      </c>
      <c r="L145" s="412">
        <f>1456000+728000</f>
        <v>2184000</v>
      </c>
      <c r="M145" s="412">
        <f>1456000+728000</f>
        <v>2184000</v>
      </c>
      <c r="N145" s="412">
        <f>1400000+700000</f>
        <v>2100000</v>
      </c>
      <c r="O145" s="412">
        <f>1400000+700000</f>
        <v>2100000</v>
      </c>
      <c r="P145" s="412">
        <f>1512000+756000</f>
        <v>2268000</v>
      </c>
      <c r="Q145" s="412">
        <f>1456000+728000</f>
        <v>2184000</v>
      </c>
      <c r="R145" s="417">
        <f t="shared" si="154"/>
        <v>25368000</v>
      </c>
    </row>
    <row r="146" spans="2:18" s="36" customFormat="1" ht="13" hidden="1" x14ac:dyDescent="0.35">
      <c r="B146" s="409" t="s">
        <v>519</v>
      </c>
      <c r="C146" s="410">
        <v>6271002603</v>
      </c>
      <c r="D146" s="411" t="s">
        <v>466</v>
      </c>
      <c r="E146" s="411" t="s">
        <v>574</v>
      </c>
      <c r="F146" s="412"/>
      <c r="G146" s="412"/>
      <c r="H146" s="412"/>
      <c r="I146" s="412"/>
      <c r="J146" s="412"/>
      <c r="K146" s="412"/>
      <c r="L146" s="412"/>
      <c r="M146" s="412"/>
      <c r="N146" s="412"/>
      <c r="O146" s="412"/>
      <c r="P146" s="412"/>
      <c r="Q146" s="412"/>
      <c r="R146" s="417">
        <f t="shared" si="154"/>
        <v>0</v>
      </c>
    </row>
    <row r="147" spans="2:18" s="36" customFormat="1" ht="13" hidden="1" x14ac:dyDescent="0.35">
      <c r="B147" s="409" t="s">
        <v>519</v>
      </c>
      <c r="C147" s="410">
        <v>6271003401</v>
      </c>
      <c r="D147" s="410" t="s">
        <v>463</v>
      </c>
      <c r="E147" s="411" t="s">
        <v>570</v>
      </c>
      <c r="F147" s="412">
        <v>5181280</v>
      </c>
      <c r="G147" s="412">
        <v>5181280</v>
      </c>
      <c r="H147" s="412">
        <v>5181280</v>
      </c>
      <c r="I147" s="412">
        <v>5181280</v>
      </c>
      <c r="J147" s="412">
        <v>5181280</v>
      </c>
      <c r="K147" s="412">
        <v>5181280</v>
      </c>
      <c r="L147" s="412">
        <v>5181280</v>
      </c>
      <c r="M147" s="412">
        <v>5181280</v>
      </c>
      <c r="N147" s="412">
        <v>5181280</v>
      </c>
      <c r="O147" s="412">
        <v>5181280</v>
      </c>
      <c r="P147" s="412">
        <v>5181280</v>
      </c>
      <c r="Q147" s="412">
        <v>5181280</v>
      </c>
      <c r="R147" s="417">
        <f t="shared" si="154"/>
        <v>62175360</v>
      </c>
    </row>
    <row r="148" spans="2:18" s="36" customFormat="1" ht="13" hidden="1" x14ac:dyDescent="0.35">
      <c r="B148" s="413" t="s">
        <v>519</v>
      </c>
      <c r="C148" s="414">
        <v>6271002703</v>
      </c>
      <c r="D148" s="415" t="s">
        <v>464</v>
      </c>
      <c r="E148" s="415" t="s">
        <v>574</v>
      </c>
      <c r="F148" s="416">
        <v>236462</v>
      </c>
      <c r="G148" s="416">
        <v>291321</v>
      </c>
      <c r="H148" s="416">
        <v>681009</v>
      </c>
      <c r="I148" s="416">
        <v>510757</v>
      </c>
      <c r="J148" s="416">
        <v>416172</v>
      </c>
      <c r="K148" s="416">
        <v>255378</v>
      </c>
      <c r="L148" s="416">
        <v>1967360</v>
      </c>
      <c r="M148" s="416">
        <v>2459200</v>
      </c>
      <c r="N148" s="416">
        <v>1891692</v>
      </c>
      <c r="O148" s="416">
        <v>472923</v>
      </c>
      <c r="P148" s="416">
        <v>255378</v>
      </c>
      <c r="Q148" s="416">
        <v>245920</v>
      </c>
      <c r="R148" s="418">
        <f t="shared" si="154"/>
        <v>9683572</v>
      </c>
    </row>
    <row r="149" spans="2:18" s="1" customFormat="1" ht="13" hidden="1" x14ac:dyDescent="0.3">
      <c r="B149" s="400" t="s">
        <v>518</v>
      </c>
      <c r="C149" s="401"/>
      <c r="D149" s="402" t="s">
        <v>536</v>
      </c>
      <c r="E149" s="401"/>
      <c r="F149" s="403">
        <f>'Dinh bien_HCNS'!H43</f>
        <v>3</v>
      </c>
      <c r="G149" s="403">
        <f>'Dinh bien_HCNS'!I43</f>
        <v>3</v>
      </c>
      <c r="H149" s="403">
        <f>'Dinh bien_HCNS'!J43</f>
        <v>3</v>
      </c>
      <c r="I149" s="403">
        <f>'Dinh bien_HCNS'!K43</f>
        <v>3</v>
      </c>
      <c r="J149" s="403">
        <f>'Dinh bien_HCNS'!L43</f>
        <v>3</v>
      </c>
      <c r="K149" s="403">
        <f>'Dinh bien_HCNS'!M43</f>
        <v>3</v>
      </c>
      <c r="L149" s="403">
        <f>'Dinh bien_HCNS'!N43</f>
        <v>3</v>
      </c>
      <c r="M149" s="403">
        <f>'Dinh bien_HCNS'!O43</f>
        <v>3</v>
      </c>
      <c r="N149" s="403">
        <f>'Dinh bien_HCNS'!P43</f>
        <v>3</v>
      </c>
      <c r="O149" s="403">
        <f>'Dinh bien_HCNS'!Q43</f>
        <v>3</v>
      </c>
      <c r="P149" s="403">
        <f>'Dinh bien_HCNS'!R43</f>
        <v>3</v>
      </c>
      <c r="Q149" s="403">
        <f>'Dinh bien_HCNS'!S43</f>
        <v>3</v>
      </c>
      <c r="R149" s="403">
        <f>'Dinh bien_HCNS'!T43</f>
        <v>3</v>
      </c>
    </row>
    <row r="150" spans="2:18" s="1" customFormat="1" ht="13" hidden="1" x14ac:dyDescent="0.35">
      <c r="B150" s="404" t="s">
        <v>518</v>
      </c>
      <c r="C150" s="405"/>
      <c r="D150" s="406" t="s">
        <v>610</v>
      </c>
      <c r="E150" s="405"/>
      <c r="F150" s="407">
        <f>SUM(F152:F160)</f>
        <v>47512554</v>
      </c>
      <c r="G150" s="407">
        <f t="shared" ref="G150:Q150" si="155">SUM(G152:G160)</f>
        <v>48686343</v>
      </c>
      <c r="H150" s="407">
        <f t="shared" si="155"/>
        <v>45333327</v>
      </c>
      <c r="I150" s="407">
        <f t="shared" si="155"/>
        <v>49347507</v>
      </c>
      <c r="J150" s="407">
        <f t="shared" si="155"/>
        <v>47474691</v>
      </c>
      <c r="K150" s="407">
        <f t="shared" si="155"/>
        <v>48305673</v>
      </c>
      <c r="L150" s="407">
        <f t="shared" si="155"/>
        <v>48009447</v>
      </c>
      <c r="M150" s="407">
        <f t="shared" si="155"/>
        <v>48009447</v>
      </c>
      <c r="N150" s="407">
        <f t="shared" si="155"/>
        <v>49683039</v>
      </c>
      <c r="O150" s="407">
        <f t="shared" si="155"/>
        <v>46671387</v>
      </c>
      <c r="P150" s="407">
        <f t="shared" si="155"/>
        <v>49347507</v>
      </c>
      <c r="Q150" s="407">
        <f t="shared" si="155"/>
        <v>48009447</v>
      </c>
      <c r="R150" s="408">
        <f>SUM(R152:R160)</f>
        <v>576390369</v>
      </c>
    </row>
    <row r="151" spans="2:18" s="1" customFormat="1" ht="13" hidden="1" x14ac:dyDescent="0.3">
      <c r="B151" s="404" t="s">
        <v>518</v>
      </c>
      <c r="C151" s="405"/>
      <c r="D151" s="402" t="s">
        <v>537</v>
      </c>
      <c r="E151" s="405"/>
      <c r="F151" s="407">
        <f>IFERROR(SUM(F152:F159)/F149,0)</f>
        <v>15757129</v>
      </c>
      <c r="G151" s="407">
        <f t="shared" ref="G151" si="156">IFERROR(SUM(G152:G159)/G149,0)</f>
        <v>15875071</v>
      </c>
      <c r="H151" s="407">
        <f t="shared" ref="H151" si="157">IFERROR(SUM(H152:H159)/H149,0)</f>
        <v>14725244</v>
      </c>
      <c r="I151" s="407">
        <f t="shared" ref="I151" si="158">IFERROR(SUM(I152:I159)/I149,0)</f>
        <v>16015071</v>
      </c>
      <c r="J151" s="407">
        <f t="shared" ref="J151" si="159">IFERROR(SUM(J152:J159)/J149,0)</f>
        <v>15471187</v>
      </c>
      <c r="K151" s="407">
        <f t="shared" ref="K151" si="160">IFERROR(SUM(K152:K159)/K149,0)</f>
        <v>16015071</v>
      </c>
      <c r="L151" s="407">
        <f t="shared" ref="L151" si="161">IFERROR(SUM(L152:L159)/L149,0)</f>
        <v>15585129</v>
      </c>
      <c r="M151" s="407">
        <f t="shared" ref="M151" si="162">IFERROR(SUM(M152:M159)/M149,0)</f>
        <v>15585129</v>
      </c>
      <c r="N151" s="407">
        <f t="shared" ref="N151" si="163">IFERROR(SUM(N152:N159)/N149,0)</f>
        <v>16159071</v>
      </c>
      <c r="O151" s="407">
        <f t="shared" ref="O151" si="164">IFERROR(SUM(O152:O159)/O149,0)</f>
        <v>15155187</v>
      </c>
      <c r="P151" s="407">
        <f t="shared" ref="P151" si="165">IFERROR(SUM(P152:P159)/P149,0)</f>
        <v>16015071</v>
      </c>
      <c r="Q151" s="407">
        <f t="shared" ref="Q151" si="166">IFERROR(SUM(Q152:Q159)/Q149,0)</f>
        <v>15585129</v>
      </c>
      <c r="R151" s="408">
        <f>AVERAGEA(F151:Q151)</f>
        <v>15661957.416666666</v>
      </c>
    </row>
    <row r="152" spans="2:18" s="36" customFormat="1" ht="13" hidden="1" x14ac:dyDescent="0.35">
      <c r="B152" s="409" t="s">
        <v>518</v>
      </c>
      <c r="C152" s="410">
        <v>6271002604</v>
      </c>
      <c r="D152" s="411" t="s">
        <v>461</v>
      </c>
      <c r="E152" s="411" t="s">
        <v>574</v>
      </c>
      <c r="F152" s="412">
        <v>31351500</v>
      </c>
      <c r="G152" s="412">
        <v>32557326</v>
      </c>
      <c r="H152" s="412">
        <v>28939845</v>
      </c>
      <c r="I152" s="412">
        <v>32557326</v>
      </c>
      <c r="J152" s="412">
        <v>30145674</v>
      </c>
      <c r="K152" s="412">
        <v>32557326</v>
      </c>
      <c r="L152" s="412">
        <v>31351500</v>
      </c>
      <c r="M152" s="412">
        <v>31351500</v>
      </c>
      <c r="N152" s="412">
        <v>32557326</v>
      </c>
      <c r="O152" s="412">
        <v>30145674</v>
      </c>
      <c r="P152" s="412">
        <v>32557326</v>
      </c>
      <c r="Q152" s="412">
        <v>31351500</v>
      </c>
      <c r="R152" s="417">
        <f>SUM(F152:Q152)</f>
        <v>377423823</v>
      </c>
    </row>
    <row r="153" spans="2:18" s="36" customFormat="1" ht="13" hidden="1" x14ac:dyDescent="0.35">
      <c r="B153" s="409" t="s">
        <v>518</v>
      </c>
      <c r="C153" s="410">
        <v>6271002605</v>
      </c>
      <c r="D153" s="410" t="s">
        <v>462</v>
      </c>
      <c r="E153" s="411" t="s">
        <v>574</v>
      </c>
      <c r="F153" s="412">
        <v>2481996</v>
      </c>
      <c r="G153" s="412">
        <v>2481996</v>
      </c>
      <c r="H153" s="412">
        <v>2481996</v>
      </c>
      <c r="I153" s="412">
        <v>2481996</v>
      </c>
      <c r="J153" s="412">
        <v>2481996</v>
      </c>
      <c r="K153" s="412">
        <v>2481996</v>
      </c>
      <c r="L153" s="412">
        <v>2481996</v>
      </c>
      <c r="M153" s="412">
        <v>2481996</v>
      </c>
      <c r="N153" s="412">
        <v>2481996</v>
      </c>
      <c r="O153" s="412">
        <v>2481996</v>
      </c>
      <c r="P153" s="412">
        <v>2481996</v>
      </c>
      <c r="Q153" s="412">
        <v>2481996</v>
      </c>
      <c r="R153" s="417">
        <f t="shared" ref="R153:R160" si="167">SUM(F153:Q153)</f>
        <v>29783952</v>
      </c>
    </row>
    <row r="154" spans="2:18" s="36" customFormat="1" ht="13" hidden="1" x14ac:dyDescent="0.35">
      <c r="B154" s="409" t="s">
        <v>518</v>
      </c>
      <c r="C154" s="410">
        <v>6271002802</v>
      </c>
      <c r="D154" s="411" t="s">
        <v>465</v>
      </c>
      <c r="E154" s="411" t="s">
        <v>570</v>
      </c>
      <c r="F154" s="412">
        <v>600000</v>
      </c>
      <c r="G154" s="412">
        <v>0</v>
      </c>
      <c r="H154" s="412">
        <v>0</v>
      </c>
      <c r="I154" s="412">
        <v>0</v>
      </c>
      <c r="J154" s="412">
        <v>1200000</v>
      </c>
      <c r="K154" s="412">
        <v>0</v>
      </c>
      <c r="L154" s="412">
        <v>0</v>
      </c>
      <c r="M154" s="412">
        <v>0</v>
      </c>
      <c r="N154" s="412">
        <v>600000</v>
      </c>
      <c r="O154" s="412">
        <v>0</v>
      </c>
      <c r="P154" s="412">
        <v>0</v>
      </c>
      <c r="Q154" s="412">
        <v>0</v>
      </c>
      <c r="R154" s="417">
        <f t="shared" si="167"/>
        <v>2400000</v>
      </c>
    </row>
    <row r="155" spans="2:18" s="36" customFormat="1" ht="13" hidden="1" x14ac:dyDescent="0.35">
      <c r="B155" s="409" t="s">
        <v>518</v>
      </c>
      <c r="C155" s="410">
        <v>6271002806</v>
      </c>
      <c r="D155" s="410" t="s">
        <v>472</v>
      </c>
      <c r="E155" s="411" t="s">
        <v>574</v>
      </c>
      <c r="F155" s="412">
        <v>3370287</v>
      </c>
      <c r="G155" s="412">
        <v>3370287</v>
      </c>
      <c r="H155" s="412">
        <v>3370287</v>
      </c>
      <c r="I155" s="412">
        <v>3370287</v>
      </c>
      <c r="J155" s="412">
        <v>3370287</v>
      </c>
      <c r="K155" s="412">
        <v>3370287</v>
      </c>
      <c r="L155" s="412">
        <v>3370287</v>
      </c>
      <c r="M155" s="412">
        <v>3370287</v>
      </c>
      <c r="N155" s="412">
        <v>3370287</v>
      </c>
      <c r="O155" s="412">
        <v>3370287</v>
      </c>
      <c r="P155" s="412">
        <v>3370287</v>
      </c>
      <c r="Q155" s="412">
        <v>3370287</v>
      </c>
      <c r="R155" s="417">
        <f t="shared" si="167"/>
        <v>40443444</v>
      </c>
    </row>
    <row r="156" spans="2:18" s="36" customFormat="1" ht="13" hidden="1" x14ac:dyDescent="0.35">
      <c r="B156" s="409" t="s">
        <v>518</v>
      </c>
      <c r="C156" s="410">
        <v>6271007202</v>
      </c>
      <c r="D156" s="411" t="s">
        <v>431</v>
      </c>
      <c r="E156" s="411" t="s">
        <v>570</v>
      </c>
      <c r="F156" s="412"/>
      <c r="G156" s="412"/>
      <c r="H156" s="412"/>
      <c r="I156" s="412"/>
      <c r="J156" s="412"/>
      <c r="K156" s="412"/>
      <c r="L156" s="412"/>
      <c r="M156" s="412"/>
      <c r="N156" s="412"/>
      <c r="O156" s="412"/>
      <c r="P156" s="412"/>
      <c r="Q156" s="412"/>
      <c r="R156" s="417">
        <f t="shared" si="167"/>
        <v>0</v>
      </c>
    </row>
    <row r="157" spans="2:18" s="36" customFormat="1" ht="13" hidden="1" x14ac:dyDescent="0.35">
      <c r="B157" s="409" t="s">
        <v>518</v>
      </c>
      <c r="C157" s="410">
        <v>6271003202</v>
      </c>
      <c r="D157" s="410" t="s">
        <v>467</v>
      </c>
      <c r="E157" s="411" t="s">
        <v>570</v>
      </c>
      <c r="F157" s="412">
        <v>2100000</v>
      </c>
      <c r="G157" s="412">
        <v>1848000</v>
      </c>
      <c r="H157" s="412">
        <v>2016000</v>
      </c>
      <c r="I157" s="412">
        <v>2268000</v>
      </c>
      <c r="J157" s="412">
        <v>1848000</v>
      </c>
      <c r="K157" s="412">
        <v>2268000</v>
      </c>
      <c r="L157" s="412">
        <v>2184000</v>
      </c>
      <c r="M157" s="412">
        <v>2184000</v>
      </c>
      <c r="N157" s="412">
        <v>2100000</v>
      </c>
      <c r="O157" s="412">
        <v>2100000</v>
      </c>
      <c r="P157" s="412">
        <v>2268000</v>
      </c>
      <c r="Q157" s="412">
        <v>2184000</v>
      </c>
      <c r="R157" s="417">
        <f t="shared" si="167"/>
        <v>25368000</v>
      </c>
    </row>
    <row r="158" spans="2:18" s="36" customFormat="1" ht="13" hidden="1" x14ac:dyDescent="0.35">
      <c r="B158" s="409" t="s">
        <v>518</v>
      </c>
      <c r="C158" s="410">
        <v>6271002603</v>
      </c>
      <c r="D158" s="411" t="s">
        <v>466</v>
      </c>
      <c r="E158" s="411" t="s">
        <v>574</v>
      </c>
      <c r="F158" s="412"/>
      <c r="G158" s="412"/>
      <c r="H158" s="412"/>
      <c r="I158" s="412"/>
      <c r="J158" s="412"/>
      <c r="K158" s="412"/>
      <c r="L158" s="412"/>
      <c r="M158" s="412"/>
      <c r="N158" s="412"/>
      <c r="O158" s="412"/>
      <c r="P158" s="412"/>
      <c r="Q158" s="412"/>
      <c r="R158" s="417">
        <f t="shared" si="167"/>
        <v>0</v>
      </c>
    </row>
    <row r="159" spans="2:18" s="36" customFormat="1" ht="13" hidden="1" x14ac:dyDescent="0.35">
      <c r="B159" s="409" t="s">
        <v>518</v>
      </c>
      <c r="C159" s="410">
        <v>6271003401</v>
      </c>
      <c r="D159" s="410" t="s">
        <v>463</v>
      </c>
      <c r="E159" s="411" t="s">
        <v>570</v>
      </c>
      <c r="F159" s="412">
        <v>7367604</v>
      </c>
      <c r="G159" s="412">
        <v>7367604</v>
      </c>
      <c r="H159" s="412">
        <v>7367604</v>
      </c>
      <c r="I159" s="412">
        <v>7367604</v>
      </c>
      <c r="J159" s="412">
        <v>7367604</v>
      </c>
      <c r="K159" s="412">
        <v>7367604</v>
      </c>
      <c r="L159" s="412">
        <v>7367604</v>
      </c>
      <c r="M159" s="412">
        <v>7367604</v>
      </c>
      <c r="N159" s="412">
        <v>7367604</v>
      </c>
      <c r="O159" s="412">
        <v>7367604</v>
      </c>
      <c r="P159" s="412">
        <v>7367604</v>
      </c>
      <c r="Q159" s="412">
        <v>7367604</v>
      </c>
      <c r="R159" s="417">
        <f t="shared" si="167"/>
        <v>88411248</v>
      </c>
    </row>
    <row r="160" spans="2:18" s="36" customFormat="1" ht="13" hidden="1" x14ac:dyDescent="0.35">
      <c r="B160" s="413" t="s">
        <v>518</v>
      </c>
      <c r="C160" s="414">
        <v>6271002703</v>
      </c>
      <c r="D160" s="415" t="s">
        <v>464</v>
      </c>
      <c r="E160" s="415" t="s">
        <v>574</v>
      </c>
      <c r="F160" s="416">
        <v>241167</v>
      </c>
      <c r="G160" s="416">
        <v>1061130</v>
      </c>
      <c r="H160" s="416">
        <v>1157595</v>
      </c>
      <c r="I160" s="416">
        <v>1302294</v>
      </c>
      <c r="J160" s="416">
        <v>1061130</v>
      </c>
      <c r="K160" s="416">
        <v>260460</v>
      </c>
      <c r="L160" s="416">
        <v>1254060</v>
      </c>
      <c r="M160" s="416">
        <v>1254060</v>
      </c>
      <c r="N160" s="416">
        <v>1205826</v>
      </c>
      <c r="O160" s="416">
        <v>1205826</v>
      </c>
      <c r="P160" s="416">
        <v>1302294</v>
      </c>
      <c r="Q160" s="416">
        <v>1254060</v>
      </c>
      <c r="R160" s="417">
        <f t="shared" si="167"/>
        <v>12559902</v>
      </c>
    </row>
    <row r="161" spans="2:18" s="1" customFormat="1" ht="13" hidden="1" x14ac:dyDescent="0.3">
      <c r="B161" s="400" t="s">
        <v>113</v>
      </c>
      <c r="C161" s="401"/>
      <c r="D161" s="402" t="s">
        <v>536</v>
      </c>
      <c r="E161" s="401"/>
      <c r="F161" s="403">
        <f>'Dinh bien_HCNS'!H52</f>
        <v>2</v>
      </c>
      <c r="G161" s="403">
        <f>'Dinh bien_HCNS'!I52</f>
        <v>2</v>
      </c>
      <c r="H161" s="403">
        <f>'Dinh bien_HCNS'!J52</f>
        <v>2</v>
      </c>
      <c r="I161" s="403">
        <f>'Dinh bien_HCNS'!K52</f>
        <v>2</v>
      </c>
      <c r="J161" s="403">
        <f>'Dinh bien_HCNS'!L52</f>
        <v>2</v>
      </c>
      <c r="K161" s="403">
        <f>'Dinh bien_HCNS'!M52</f>
        <v>2</v>
      </c>
      <c r="L161" s="403">
        <f>'Dinh bien_HCNS'!N52</f>
        <v>2</v>
      </c>
      <c r="M161" s="403">
        <f>'Dinh bien_HCNS'!O52</f>
        <v>2</v>
      </c>
      <c r="N161" s="403">
        <f>'Dinh bien_HCNS'!P52</f>
        <v>2</v>
      </c>
      <c r="O161" s="403">
        <f>'Dinh bien_HCNS'!Q52</f>
        <v>2</v>
      </c>
      <c r="P161" s="403">
        <f>'Dinh bien_HCNS'!R52</f>
        <v>2</v>
      </c>
      <c r="Q161" s="403">
        <f>'Dinh bien_HCNS'!S52</f>
        <v>2</v>
      </c>
      <c r="R161" s="403">
        <f>'Dinh bien_HCNS'!T52</f>
        <v>2</v>
      </c>
    </row>
    <row r="162" spans="2:18" s="1" customFormat="1" ht="13" hidden="1" x14ac:dyDescent="0.35">
      <c r="B162" s="404" t="s">
        <v>113</v>
      </c>
      <c r="C162" s="405"/>
      <c r="D162" s="406" t="s">
        <v>610</v>
      </c>
      <c r="E162" s="405"/>
      <c r="F162" s="407">
        <f>SUM(F164:F172)</f>
        <v>92669140</v>
      </c>
      <c r="G162" s="407">
        <f t="shared" ref="G162:Q162" si="168">SUM(G164:G172)</f>
        <v>113403915</v>
      </c>
      <c r="H162" s="407">
        <f t="shared" si="168"/>
        <v>87997943</v>
      </c>
      <c r="I162" s="407">
        <f t="shared" si="168"/>
        <v>94865349</v>
      </c>
      <c r="J162" s="407">
        <f t="shared" si="168"/>
        <v>90963132</v>
      </c>
      <c r="K162" s="407">
        <f t="shared" si="168"/>
        <v>94540933</v>
      </c>
      <c r="L162" s="407">
        <f t="shared" si="168"/>
        <v>94354490</v>
      </c>
      <c r="M162" s="407">
        <f t="shared" si="168"/>
        <v>94979290</v>
      </c>
      <c r="N162" s="407">
        <f t="shared" si="168"/>
        <v>97046525</v>
      </c>
      <c r="O162" s="407">
        <f t="shared" si="168"/>
        <v>90094831</v>
      </c>
      <c r="P162" s="407">
        <f t="shared" si="168"/>
        <v>94540933</v>
      </c>
      <c r="Q162" s="407">
        <f t="shared" si="168"/>
        <v>92167690</v>
      </c>
      <c r="R162" s="408">
        <f>SUM(R164:R172)</f>
        <v>1137624171</v>
      </c>
    </row>
    <row r="163" spans="2:18" s="1" customFormat="1" ht="13" hidden="1" x14ac:dyDescent="0.3">
      <c r="B163" s="404" t="s">
        <v>113</v>
      </c>
      <c r="C163" s="405"/>
      <c r="D163" s="402" t="s">
        <v>537</v>
      </c>
      <c r="E163" s="405"/>
      <c r="F163" s="407">
        <f>IFERROR(SUM(F164:F171)/F161,0)</f>
        <v>46152685</v>
      </c>
      <c r="G163" s="407">
        <f t="shared" ref="G163" si="169">IFERROR(SUM(G164:G171)/G161,0)</f>
        <v>56489031.5</v>
      </c>
      <c r="H163" s="407">
        <f t="shared" ref="H163" si="170">IFERROR(SUM(H164:H171)/H161,0)</f>
        <v>43535993</v>
      </c>
      <c r="I163" s="407">
        <f t="shared" ref="I163" si="171">IFERROR(SUM(I164:I171)/I161,0)</f>
        <v>47074031.5</v>
      </c>
      <c r="J163" s="407">
        <f t="shared" ref="J163" si="172">IFERROR(SUM(J164:J171)/J161,0)</f>
        <v>45189338.5</v>
      </c>
      <c r="K163" s="407">
        <f t="shared" ref="K163" si="173">IFERROR(SUM(K164:K171)/K161,0)</f>
        <v>47074031.5</v>
      </c>
      <c r="L163" s="407">
        <f t="shared" ref="L163" si="174">IFERROR(SUM(L164:L171)/L161,0)</f>
        <v>45894685</v>
      </c>
      <c r="M163" s="407">
        <f t="shared" ref="M163" si="175">IFERROR(SUM(M164:M171)/M161,0)</f>
        <v>45894685</v>
      </c>
      <c r="N163" s="407">
        <f t="shared" ref="N163" si="176">IFERROR(SUM(N164:N171)/N161,0)</f>
        <v>47290031.5</v>
      </c>
      <c r="O163" s="407">
        <f t="shared" ref="O163" si="177">IFERROR(SUM(O164:O171)/O161,0)</f>
        <v>44715338.5</v>
      </c>
      <c r="P163" s="407">
        <f t="shared" ref="P163" si="178">IFERROR(SUM(P164:P171)/P161,0)</f>
        <v>47074031.5</v>
      </c>
      <c r="Q163" s="407">
        <f t="shared" ref="Q163" si="179">IFERROR(SUM(Q164:Q171)/Q161,0)</f>
        <v>45894685</v>
      </c>
      <c r="R163" s="408">
        <f>AVERAGEA(F163:Q163)</f>
        <v>46856547.291666664</v>
      </c>
    </row>
    <row r="164" spans="2:18" s="36" customFormat="1" ht="13" hidden="1" x14ac:dyDescent="0.35">
      <c r="B164" s="409" t="s">
        <v>113</v>
      </c>
      <c r="C164" s="1023">
        <v>6271002604</v>
      </c>
      <c r="D164" s="1024" t="s">
        <v>461</v>
      </c>
      <c r="E164" s="1024" t="s">
        <v>574</v>
      </c>
      <c r="F164" s="1025">
        <v>64542000</v>
      </c>
      <c r="G164" s="1025">
        <v>66816693</v>
      </c>
      <c r="H164" s="1025">
        <v>59992616</v>
      </c>
      <c r="I164" s="1025">
        <v>66816693</v>
      </c>
      <c r="J164" s="1025">
        <v>62267307</v>
      </c>
      <c r="K164" s="1025">
        <v>66816693</v>
      </c>
      <c r="L164" s="1025">
        <v>64542000</v>
      </c>
      <c r="M164" s="1025">
        <v>64542000</v>
      </c>
      <c r="N164" s="1025">
        <v>66816693</v>
      </c>
      <c r="O164" s="1025">
        <v>62267307</v>
      </c>
      <c r="P164" s="1025">
        <v>66816693</v>
      </c>
      <c r="Q164" s="1025">
        <v>64542000</v>
      </c>
      <c r="R164" s="1269">
        <f>SUM(F164:Q164)</f>
        <v>776778695</v>
      </c>
    </row>
    <row r="165" spans="2:18" s="36" customFormat="1" ht="13" hidden="1" x14ac:dyDescent="0.35">
      <c r="B165" s="409" t="s">
        <v>113</v>
      </c>
      <c r="C165" s="1023">
        <v>6271002605</v>
      </c>
      <c r="D165" s="1023" t="s">
        <v>462</v>
      </c>
      <c r="E165" s="1024" t="s">
        <v>574</v>
      </c>
      <c r="F165" s="1025">
        <v>4807235</v>
      </c>
      <c r="G165" s="1025">
        <v>4807235</v>
      </c>
      <c r="H165" s="1025">
        <v>4807235</v>
      </c>
      <c r="I165" s="1025">
        <v>4807235</v>
      </c>
      <c r="J165" s="1025">
        <v>4807235</v>
      </c>
      <c r="K165" s="1025">
        <v>4807235</v>
      </c>
      <c r="L165" s="1025">
        <v>4807235</v>
      </c>
      <c r="M165" s="1025">
        <v>4807235</v>
      </c>
      <c r="N165" s="1025">
        <v>4807235</v>
      </c>
      <c r="O165" s="1025">
        <v>4807235</v>
      </c>
      <c r="P165" s="1025">
        <v>4807235</v>
      </c>
      <c r="Q165" s="1025">
        <v>4807235</v>
      </c>
      <c r="R165" s="1269">
        <f t="shared" ref="R165:R172" si="180">SUM(F165:Q165)</f>
        <v>57686820</v>
      </c>
    </row>
    <row r="166" spans="2:18" s="36" customFormat="1" ht="13" hidden="1" x14ac:dyDescent="0.35">
      <c r="B166" s="409" t="s">
        <v>113</v>
      </c>
      <c r="C166" s="1023">
        <v>6271002802</v>
      </c>
      <c r="D166" s="1024" t="s">
        <v>465</v>
      </c>
      <c r="E166" s="1024" t="s">
        <v>570</v>
      </c>
      <c r="F166" s="1025">
        <v>600000</v>
      </c>
      <c r="G166" s="1025">
        <v>0</v>
      </c>
      <c r="H166" s="1025">
        <v>0</v>
      </c>
      <c r="I166" s="1025">
        <v>0</v>
      </c>
      <c r="J166" s="1025">
        <v>1200000</v>
      </c>
      <c r="K166" s="1025">
        <v>0</v>
      </c>
      <c r="L166" s="1025">
        <v>0</v>
      </c>
      <c r="M166" s="1025">
        <v>0</v>
      </c>
      <c r="N166" s="1025">
        <v>600000</v>
      </c>
      <c r="O166" s="1025">
        <v>0</v>
      </c>
      <c r="P166" s="1025">
        <v>0</v>
      </c>
      <c r="Q166" s="1025">
        <v>0</v>
      </c>
      <c r="R166" s="1269">
        <f t="shared" si="180"/>
        <v>2400000</v>
      </c>
    </row>
    <row r="167" spans="2:18" s="36" customFormat="1" ht="13" hidden="1" x14ac:dyDescent="0.35">
      <c r="B167" s="409" t="s">
        <v>113</v>
      </c>
      <c r="C167" s="1023">
        <v>6271002806</v>
      </c>
      <c r="D167" s="1023" t="s">
        <v>472</v>
      </c>
      <c r="E167" s="1024" t="s">
        <v>574</v>
      </c>
      <c r="F167" s="1025">
        <v>6357765</v>
      </c>
      <c r="G167" s="1025">
        <v>6357765</v>
      </c>
      <c r="H167" s="1025">
        <v>6357765</v>
      </c>
      <c r="I167" s="1025">
        <v>6357765</v>
      </c>
      <c r="J167" s="1025">
        <v>6357765</v>
      </c>
      <c r="K167" s="1025">
        <v>6357765</v>
      </c>
      <c r="L167" s="1025">
        <v>6357765</v>
      </c>
      <c r="M167" s="1025">
        <v>6357765</v>
      </c>
      <c r="N167" s="1025">
        <v>6357765</v>
      </c>
      <c r="O167" s="1025">
        <v>6357765</v>
      </c>
      <c r="P167" s="1025">
        <v>6357765</v>
      </c>
      <c r="Q167" s="1025">
        <v>6357765</v>
      </c>
      <c r="R167" s="1269">
        <f t="shared" si="180"/>
        <v>76293180</v>
      </c>
    </row>
    <row r="168" spans="2:18" s="36" customFormat="1" ht="13" hidden="1" x14ac:dyDescent="0.35">
      <c r="B168" s="409" t="s">
        <v>113</v>
      </c>
      <c r="C168" s="1023">
        <v>6271007202</v>
      </c>
      <c r="D168" s="1024" t="s">
        <v>431</v>
      </c>
      <c r="E168" s="1024" t="s">
        <v>570</v>
      </c>
      <c r="F168" s="1025"/>
      <c r="G168" s="1025">
        <v>19250000</v>
      </c>
      <c r="H168" s="1025"/>
      <c r="I168" s="1025"/>
      <c r="J168" s="1025"/>
      <c r="K168" s="1025"/>
      <c r="L168" s="1025"/>
      <c r="M168" s="1025"/>
      <c r="N168" s="1025"/>
      <c r="O168" s="1025"/>
      <c r="P168" s="1025"/>
      <c r="Q168" s="1025"/>
      <c r="R168" s="1269">
        <f t="shared" si="180"/>
        <v>19250000</v>
      </c>
    </row>
    <row r="169" spans="2:18" s="36" customFormat="1" ht="13" hidden="1" x14ac:dyDescent="0.35">
      <c r="B169" s="409" t="s">
        <v>113</v>
      </c>
      <c r="C169" s="1023">
        <v>6271003202</v>
      </c>
      <c r="D169" s="1023" t="s">
        <v>467</v>
      </c>
      <c r="E169" s="1024" t="s">
        <v>570</v>
      </c>
      <c r="F169" s="1025">
        <v>2100000</v>
      </c>
      <c r="G169" s="1025">
        <v>1848000</v>
      </c>
      <c r="H169" s="1025">
        <v>2016000</v>
      </c>
      <c r="I169" s="1025">
        <v>2268000</v>
      </c>
      <c r="J169" s="1025">
        <v>1848000</v>
      </c>
      <c r="K169" s="1025">
        <v>2268000</v>
      </c>
      <c r="L169" s="1025">
        <v>2184000</v>
      </c>
      <c r="M169" s="1025">
        <v>2184000</v>
      </c>
      <c r="N169" s="1025">
        <v>2100000</v>
      </c>
      <c r="O169" s="1025">
        <v>2100000</v>
      </c>
      <c r="P169" s="1025">
        <v>2268000</v>
      </c>
      <c r="Q169" s="1025">
        <v>2184000</v>
      </c>
      <c r="R169" s="1269">
        <f t="shared" si="180"/>
        <v>25368000</v>
      </c>
    </row>
    <row r="170" spans="2:18" s="36" customFormat="1" ht="13" hidden="1" x14ac:dyDescent="0.35">
      <c r="B170" s="409" t="s">
        <v>113</v>
      </c>
      <c r="C170" s="1023">
        <v>6271002603</v>
      </c>
      <c r="D170" s="1024" t="s">
        <v>466</v>
      </c>
      <c r="E170" s="1024" t="s">
        <v>574</v>
      </c>
      <c r="F170" s="1025"/>
      <c r="G170" s="1025"/>
      <c r="H170" s="1025"/>
      <c r="I170" s="1025"/>
      <c r="J170" s="1025"/>
      <c r="K170" s="1025"/>
      <c r="L170" s="1025"/>
      <c r="M170" s="1025"/>
      <c r="N170" s="1025"/>
      <c r="O170" s="1025"/>
      <c r="P170" s="1025"/>
      <c r="Q170" s="1025"/>
      <c r="R170" s="1269">
        <f t="shared" si="180"/>
        <v>0</v>
      </c>
    </row>
    <row r="171" spans="2:18" s="36" customFormat="1" ht="13" hidden="1" x14ac:dyDescent="0.35">
      <c r="B171" s="409" t="s">
        <v>113</v>
      </c>
      <c r="C171" s="1023">
        <v>6271003401</v>
      </c>
      <c r="D171" s="1023" t="s">
        <v>463</v>
      </c>
      <c r="E171" s="1024" t="s">
        <v>570</v>
      </c>
      <c r="F171" s="1025">
        <v>13898370</v>
      </c>
      <c r="G171" s="1025">
        <v>13898370</v>
      </c>
      <c r="H171" s="1025">
        <v>13898370</v>
      </c>
      <c r="I171" s="1025">
        <v>13898370</v>
      </c>
      <c r="J171" s="1025">
        <v>13898370</v>
      </c>
      <c r="K171" s="1025">
        <v>13898370</v>
      </c>
      <c r="L171" s="1025">
        <v>13898370</v>
      </c>
      <c r="M171" s="1025">
        <v>13898370</v>
      </c>
      <c r="N171" s="1025">
        <v>13898370</v>
      </c>
      <c r="O171" s="1025">
        <v>13898370</v>
      </c>
      <c r="P171" s="1025">
        <v>13898370</v>
      </c>
      <c r="Q171" s="1025">
        <v>13898370</v>
      </c>
      <c r="R171" s="1269">
        <f t="shared" si="180"/>
        <v>166780440</v>
      </c>
    </row>
    <row r="172" spans="2:18" s="36" customFormat="1" ht="13" hidden="1" x14ac:dyDescent="0.35">
      <c r="B172" s="413" t="s">
        <v>113</v>
      </c>
      <c r="C172" s="1270">
        <v>6271002703</v>
      </c>
      <c r="D172" s="1271" t="s">
        <v>464</v>
      </c>
      <c r="E172" s="1271" t="s">
        <v>574</v>
      </c>
      <c r="F172" s="1272">
        <v>363770</v>
      </c>
      <c r="G172" s="1272">
        <v>425852</v>
      </c>
      <c r="H172" s="1272">
        <v>925957</v>
      </c>
      <c r="I172" s="1272">
        <v>717286</v>
      </c>
      <c r="J172" s="1272">
        <v>584455</v>
      </c>
      <c r="K172" s="1272">
        <v>392870</v>
      </c>
      <c r="L172" s="1272">
        <v>2565120</v>
      </c>
      <c r="M172" s="1272">
        <v>3189920</v>
      </c>
      <c r="N172" s="1272">
        <v>2466462</v>
      </c>
      <c r="O172" s="1272">
        <v>664154</v>
      </c>
      <c r="P172" s="1272">
        <v>392870</v>
      </c>
      <c r="Q172" s="1272">
        <v>378320</v>
      </c>
      <c r="R172" s="1269">
        <f t="shared" si="180"/>
        <v>13067036</v>
      </c>
    </row>
    <row r="173" spans="2:18" s="1" customFormat="1" ht="13" hidden="1" x14ac:dyDescent="0.3">
      <c r="B173" s="400" t="s">
        <v>620</v>
      </c>
      <c r="C173" s="401"/>
      <c r="D173" s="402" t="s">
        <v>536</v>
      </c>
      <c r="E173" s="401"/>
      <c r="F173" s="403">
        <f>'Dinh bien_HCNS'!H57</f>
        <v>39</v>
      </c>
      <c r="G173" s="403">
        <f>'Dinh bien_HCNS'!I57</f>
        <v>39</v>
      </c>
      <c r="H173" s="403">
        <f>'Dinh bien_HCNS'!J57</f>
        <v>39</v>
      </c>
      <c r="I173" s="403">
        <f>'Dinh bien_HCNS'!K57</f>
        <v>39</v>
      </c>
      <c r="J173" s="403">
        <f>'Dinh bien_HCNS'!L57</f>
        <v>39</v>
      </c>
      <c r="K173" s="403">
        <f>'Dinh bien_HCNS'!M57</f>
        <v>39</v>
      </c>
      <c r="L173" s="403">
        <f>'Dinh bien_HCNS'!N57</f>
        <v>39</v>
      </c>
      <c r="M173" s="403">
        <f>'Dinh bien_HCNS'!O57</f>
        <v>39</v>
      </c>
      <c r="N173" s="403">
        <f>'Dinh bien_HCNS'!P57</f>
        <v>39</v>
      </c>
      <c r="O173" s="403">
        <f>'Dinh bien_HCNS'!Q57</f>
        <v>39</v>
      </c>
      <c r="P173" s="403">
        <f>'Dinh bien_HCNS'!R57</f>
        <v>39</v>
      </c>
      <c r="Q173" s="403">
        <f>'Dinh bien_HCNS'!S57</f>
        <v>39</v>
      </c>
      <c r="R173" s="403">
        <f>'Dinh bien_HCNS'!T57</f>
        <v>37</v>
      </c>
    </row>
    <row r="174" spans="2:18" s="1" customFormat="1" ht="13" hidden="1" x14ac:dyDescent="0.35">
      <c r="B174" s="404" t="s">
        <v>620</v>
      </c>
      <c r="C174" s="405"/>
      <c r="D174" s="406" t="s">
        <v>609</v>
      </c>
      <c r="E174" s="405"/>
      <c r="F174" s="407">
        <f>SUM(F176:F184)</f>
        <v>407970790</v>
      </c>
      <c r="G174" s="407">
        <f t="shared" ref="G174:Q174" si="181">SUM(G176:G184)</f>
        <v>415795614</v>
      </c>
      <c r="H174" s="407">
        <f t="shared" si="181"/>
        <v>397509397</v>
      </c>
      <c r="I174" s="407">
        <f t="shared" si="181"/>
        <v>423739516</v>
      </c>
      <c r="J174" s="407">
        <f t="shared" si="181"/>
        <v>398877040</v>
      </c>
      <c r="K174" s="407">
        <f t="shared" si="181"/>
        <v>417526134</v>
      </c>
      <c r="L174" s="407">
        <f t="shared" si="181"/>
        <v>449054585</v>
      </c>
      <c r="M174" s="407">
        <f t="shared" si="181"/>
        <v>461021058</v>
      </c>
      <c r="N174" s="407">
        <f t="shared" si="181"/>
        <v>453995717</v>
      </c>
      <c r="O174" s="407">
        <f t="shared" si="181"/>
        <v>402570767</v>
      </c>
      <c r="P174" s="407">
        <f t="shared" si="181"/>
        <v>417526134</v>
      </c>
      <c r="Q174" s="407">
        <f t="shared" si="181"/>
        <v>407171901</v>
      </c>
      <c r="R174" s="408">
        <f>SUM(R176:R184)</f>
        <v>5052758653</v>
      </c>
    </row>
    <row r="175" spans="2:18" s="1" customFormat="1" ht="13" hidden="1" x14ac:dyDescent="0.3">
      <c r="B175" s="404" t="s">
        <v>620</v>
      </c>
      <c r="C175" s="405"/>
      <c r="D175" s="402" t="s">
        <v>537</v>
      </c>
      <c r="E175" s="405"/>
      <c r="F175" s="407">
        <f>IFERROR(SUM(F176:F183)/F173,0)</f>
        <v>10313273.358974358</v>
      </c>
      <c r="G175" s="407">
        <f t="shared" ref="G175" si="182">IFERROR(SUM(G176:G183)/G173,0)</f>
        <v>10479686.58974359</v>
      </c>
      <c r="H175" s="407">
        <f t="shared" ref="H175" si="183">IFERROR(SUM(H176:H183)/H173,0)</f>
        <v>9767703.2307692301</v>
      </c>
      <c r="I175" s="407">
        <f t="shared" ref="I175" si="184">IFERROR(SUM(I176:I183)/I173,0)</f>
        <v>10546481.461538462</v>
      </c>
      <c r="J175" s="407">
        <f t="shared" ref="J175" si="185">IFERROR(SUM(J176:J183)/J173,0)</f>
        <v>9967988.333333334</v>
      </c>
      <c r="K175" s="407">
        <f t="shared" ref="K175" si="186">IFERROR(SUM(K176:K183)/K173,0)</f>
        <v>10546481.461538462</v>
      </c>
      <c r="L175" s="407">
        <f t="shared" ref="L175" si="187">IFERROR(SUM(L176:L183)/L173,0)</f>
        <v>10286888.743589744</v>
      </c>
      <c r="M175" s="407">
        <f t="shared" ref="M175" si="188">IFERROR(SUM(M176:M183)/M173,0)</f>
        <v>10286888.743589744</v>
      </c>
      <c r="N175" s="407">
        <f t="shared" ref="N175" si="189">IFERROR(SUM(N176:N183)/N173,0)</f>
        <v>10460789.153846154</v>
      </c>
      <c r="O175" s="407">
        <f t="shared" ref="O175" si="190">IFERROR(SUM(O176:O183)/O173,0)</f>
        <v>10027296.025641026</v>
      </c>
      <c r="P175" s="407">
        <f t="shared" ref="P175" si="191">IFERROR(SUM(P176:P183)/P173,0)</f>
        <v>10546481.461538462</v>
      </c>
      <c r="Q175" s="407">
        <f t="shared" ref="Q175" si="192">IFERROR(SUM(Q176:Q183)/Q173,0)</f>
        <v>10286888.743589744</v>
      </c>
      <c r="R175" s="408">
        <f>AVERAGEA(F175:Q175)</f>
        <v>10293070.60897436</v>
      </c>
    </row>
    <row r="176" spans="2:18" s="36" customFormat="1" ht="13" hidden="1" x14ac:dyDescent="0.35">
      <c r="B176" s="409" t="s">
        <v>620</v>
      </c>
      <c r="C176" s="1023">
        <v>6220002601</v>
      </c>
      <c r="D176" s="1024" t="s">
        <v>454</v>
      </c>
      <c r="E176" s="1024" t="s">
        <v>569</v>
      </c>
      <c r="F176" s="1025">
        <f>236781001+82500000</f>
        <v>319281001</v>
      </c>
      <c r="G176" s="1025">
        <f>242534117+72600000</f>
        <v>315134117</v>
      </c>
      <c r="H176" s="1025">
        <f>225274766+79200000</f>
        <v>304474766</v>
      </c>
      <c r="I176" s="1025">
        <f>242534117+89100000</f>
        <v>331634117</v>
      </c>
      <c r="J176" s="1025">
        <f>231027885+72600000</f>
        <v>303627885</v>
      </c>
      <c r="K176" s="1025">
        <f>242534117+89100000</f>
        <v>331634117</v>
      </c>
      <c r="L176" s="1025">
        <f>236781001+85800000</f>
        <v>322581001</v>
      </c>
      <c r="M176" s="1025">
        <f>236781001+85800000</f>
        <v>322581001</v>
      </c>
      <c r="N176" s="1025">
        <f>242534117+82500000</f>
        <v>325034117</v>
      </c>
      <c r="O176" s="1025">
        <f>231027885+82500000</f>
        <v>313527885</v>
      </c>
      <c r="P176" s="1025">
        <f>242534117+89100000</f>
        <v>331634117</v>
      </c>
      <c r="Q176" s="1025">
        <f>236781001+85800000</f>
        <v>322581001</v>
      </c>
      <c r="R176" s="417">
        <f t="shared" ref="R176:R184" si="193">SUM(F176:Q176)</f>
        <v>3843725125</v>
      </c>
    </row>
    <row r="177" spans="2:18" s="36" customFormat="1" ht="13" hidden="1" x14ac:dyDescent="0.35">
      <c r="B177" s="409" t="s">
        <v>620</v>
      </c>
      <c r="C177" s="1023">
        <v>6220002602</v>
      </c>
      <c r="D177" s="1023" t="s">
        <v>455</v>
      </c>
      <c r="E177" s="1024" t="s">
        <v>569</v>
      </c>
      <c r="F177" s="1025">
        <v>14238964</v>
      </c>
      <c r="G177" s="1025">
        <v>14238964</v>
      </c>
      <c r="H177" s="1025">
        <v>14238964</v>
      </c>
      <c r="I177" s="1025">
        <v>14238964</v>
      </c>
      <c r="J177" s="1025">
        <v>14238964</v>
      </c>
      <c r="K177" s="1025">
        <v>14238964</v>
      </c>
      <c r="L177" s="1025">
        <v>14238964</v>
      </c>
      <c r="M177" s="1025">
        <v>14238964</v>
      </c>
      <c r="N177" s="1025">
        <v>14238964</v>
      </c>
      <c r="O177" s="1025">
        <v>14238964</v>
      </c>
      <c r="P177" s="1025">
        <v>14238964</v>
      </c>
      <c r="Q177" s="1025">
        <v>14238964</v>
      </c>
      <c r="R177" s="417">
        <f t="shared" si="193"/>
        <v>170867568</v>
      </c>
    </row>
    <row r="178" spans="2:18" s="36" customFormat="1" ht="13" hidden="1" x14ac:dyDescent="0.35">
      <c r="B178" s="409" t="s">
        <v>620</v>
      </c>
      <c r="C178" s="1023">
        <v>6220002802</v>
      </c>
      <c r="D178" s="1024" t="s">
        <v>458</v>
      </c>
      <c r="E178" s="1024" t="s">
        <v>570</v>
      </c>
      <c r="F178" s="1025">
        <v>5400000</v>
      </c>
      <c r="G178" s="1025">
        <v>0</v>
      </c>
      <c r="H178" s="1025">
        <v>0</v>
      </c>
      <c r="I178" s="1025">
        <v>0</v>
      </c>
      <c r="J178" s="1025">
        <v>10800000</v>
      </c>
      <c r="K178" s="1025">
        <v>0</v>
      </c>
      <c r="L178" s="1025">
        <v>0</v>
      </c>
      <c r="M178" s="1025">
        <v>0</v>
      </c>
      <c r="N178" s="1025">
        <v>5400000</v>
      </c>
      <c r="O178" s="1025">
        <v>0</v>
      </c>
      <c r="P178" s="1025">
        <v>0</v>
      </c>
      <c r="Q178" s="1025">
        <v>0</v>
      </c>
      <c r="R178" s="417">
        <f t="shared" si="193"/>
        <v>21600000</v>
      </c>
    </row>
    <row r="179" spans="2:18" s="36" customFormat="1" ht="13" hidden="1" x14ac:dyDescent="0.35">
      <c r="B179" s="409" t="s">
        <v>620</v>
      </c>
      <c r="C179" s="1023">
        <v>6220002806</v>
      </c>
      <c r="D179" s="1023" t="s">
        <v>471</v>
      </c>
      <c r="E179" s="1024" t="s">
        <v>569</v>
      </c>
      <c r="F179" s="1025">
        <v>1371159</v>
      </c>
      <c r="G179" s="1025">
        <v>1371159</v>
      </c>
      <c r="H179" s="1025">
        <v>1371159</v>
      </c>
      <c r="I179" s="1025">
        <v>1371159</v>
      </c>
      <c r="J179" s="1025">
        <v>1371159</v>
      </c>
      <c r="K179" s="1025">
        <v>1371159</v>
      </c>
      <c r="L179" s="1025">
        <v>1371159</v>
      </c>
      <c r="M179" s="1025">
        <v>1371159</v>
      </c>
      <c r="N179" s="1025">
        <v>1371159</v>
      </c>
      <c r="O179" s="1025">
        <v>1371159</v>
      </c>
      <c r="P179" s="1025">
        <v>1371159</v>
      </c>
      <c r="Q179" s="1025">
        <v>1371159</v>
      </c>
      <c r="R179" s="417">
        <f t="shared" si="193"/>
        <v>16453908</v>
      </c>
    </row>
    <row r="180" spans="2:18" s="36" customFormat="1" ht="13" hidden="1" x14ac:dyDescent="0.35">
      <c r="B180" s="409" t="s">
        <v>620</v>
      </c>
      <c r="C180" s="410">
        <v>6220007202</v>
      </c>
      <c r="D180" s="411" t="s">
        <v>431</v>
      </c>
      <c r="E180" s="411" t="s">
        <v>570</v>
      </c>
      <c r="F180" s="412"/>
      <c r="G180" s="412">
        <v>19250000</v>
      </c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7">
        <f t="shared" si="193"/>
        <v>19250000</v>
      </c>
    </row>
    <row r="181" spans="2:18" s="36" customFormat="1" ht="13" hidden="1" x14ac:dyDescent="0.35">
      <c r="B181" s="409" t="s">
        <v>620</v>
      </c>
      <c r="C181" s="410">
        <v>6220003201</v>
      </c>
      <c r="D181" s="410" t="s">
        <v>460</v>
      </c>
      <c r="E181" s="411" t="s">
        <v>570</v>
      </c>
      <c r="F181" s="412">
        <f>18900000+7875000</f>
        <v>26775000</v>
      </c>
      <c r="G181" s="412">
        <f>16632000+6930000</f>
        <v>23562000</v>
      </c>
      <c r="H181" s="412">
        <f>18144000+7560000</f>
        <v>25704000</v>
      </c>
      <c r="I181" s="412">
        <f>20412000+8505000</f>
        <v>28917000</v>
      </c>
      <c r="J181" s="412">
        <f>16632000+6930000</f>
        <v>23562000</v>
      </c>
      <c r="K181" s="412">
        <f>20412000+8505000</f>
        <v>28917000</v>
      </c>
      <c r="L181" s="412">
        <f>19656000+8190000</f>
        <v>27846000</v>
      </c>
      <c r="M181" s="412">
        <f>19656000+8190000</f>
        <v>27846000</v>
      </c>
      <c r="N181" s="412">
        <f>18900000+7875000</f>
        <v>26775000</v>
      </c>
      <c r="O181" s="412">
        <f>18900000+7875000</f>
        <v>26775000</v>
      </c>
      <c r="P181" s="412">
        <f>20412000+8505000</f>
        <v>28917000</v>
      </c>
      <c r="Q181" s="412">
        <f>19656000+8190000</f>
        <v>27846000</v>
      </c>
      <c r="R181" s="417">
        <f t="shared" si="193"/>
        <v>323442000</v>
      </c>
    </row>
    <row r="182" spans="2:18" s="36" customFormat="1" ht="13" hidden="1" x14ac:dyDescent="0.35">
      <c r="B182" s="409" t="s">
        <v>620</v>
      </c>
      <c r="C182" s="410">
        <v>6220002603</v>
      </c>
      <c r="D182" s="411" t="s">
        <v>459</v>
      </c>
      <c r="E182" s="411" t="s">
        <v>569</v>
      </c>
      <c r="F182" s="412"/>
      <c r="G182" s="412"/>
      <c r="H182" s="412"/>
      <c r="I182" s="412"/>
      <c r="J182" s="412"/>
      <c r="K182" s="412"/>
      <c r="L182" s="412"/>
      <c r="M182" s="412"/>
      <c r="N182" s="412"/>
      <c r="O182" s="412"/>
      <c r="P182" s="412"/>
      <c r="Q182" s="412"/>
      <c r="R182" s="417">
        <f t="shared" si="193"/>
        <v>0</v>
      </c>
    </row>
    <row r="183" spans="2:18" s="36" customFormat="1" ht="13" hidden="1" x14ac:dyDescent="0.35">
      <c r="B183" s="409" t="s">
        <v>620</v>
      </c>
      <c r="C183" s="1023">
        <v>6220003401</v>
      </c>
      <c r="D183" s="1023" t="s">
        <v>456</v>
      </c>
      <c r="E183" s="1024" t="s">
        <v>570</v>
      </c>
      <c r="F183" s="1025">
        <v>35151537</v>
      </c>
      <c r="G183" s="1025">
        <v>35151537</v>
      </c>
      <c r="H183" s="1025">
        <v>35151537</v>
      </c>
      <c r="I183" s="1025">
        <v>35151537</v>
      </c>
      <c r="J183" s="1025">
        <v>35151537</v>
      </c>
      <c r="K183" s="1025">
        <v>35151537</v>
      </c>
      <c r="L183" s="1025">
        <v>35151537</v>
      </c>
      <c r="M183" s="1025">
        <v>35151537</v>
      </c>
      <c r="N183" s="1025">
        <v>35151537</v>
      </c>
      <c r="O183" s="1025">
        <v>35151537</v>
      </c>
      <c r="P183" s="1025">
        <v>35151537</v>
      </c>
      <c r="Q183" s="1025">
        <v>35151537</v>
      </c>
      <c r="R183" s="417">
        <f t="shared" si="193"/>
        <v>421818444</v>
      </c>
    </row>
    <row r="184" spans="2:18" s="36" customFormat="1" ht="13" hidden="1" x14ac:dyDescent="0.35">
      <c r="B184" s="413" t="s">
        <v>620</v>
      </c>
      <c r="C184" s="414">
        <v>6220002701</v>
      </c>
      <c r="D184" s="415" t="s">
        <v>457</v>
      </c>
      <c r="E184" s="415" t="s">
        <v>569</v>
      </c>
      <c r="F184" s="416">
        <v>5753129</v>
      </c>
      <c r="G184" s="416">
        <v>7087837</v>
      </c>
      <c r="H184" s="416">
        <v>16568971</v>
      </c>
      <c r="I184" s="416">
        <v>12426739</v>
      </c>
      <c r="J184" s="416">
        <v>10125495</v>
      </c>
      <c r="K184" s="416">
        <v>6213357</v>
      </c>
      <c r="L184" s="416">
        <v>47865924</v>
      </c>
      <c r="M184" s="416">
        <v>59832397</v>
      </c>
      <c r="N184" s="416">
        <v>46024940</v>
      </c>
      <c r="O184" s="416">
        <v>11506222</v>
      </c>
      <c r="P184" s="416">
        <v>6213357</v>
      </c>
      <c r="Q184" s="416">
        <v>5983240</v>
      </c>
      <c r="R184" s="417">
        <f t="shared" si="193"/>
        <v>235601608</v>
      </c>
    </row>
    <row r="185" spans="2:18" s="1" customFormat="1" ht="13" hidden="1" x14ac:dyDescent="0.3">
      <c r="B185" s="400" t="s">
        <v>330</v>
      </c>
      <c r="C185" s="401"/>
      <c r="D185" s="402" t="s">
        <v>536</v>
      </c>
      <c r="E185" s="401"/>
      <c r="F185" s="403">
        <f>'Dinh bien_HCNS'!H64</f>
        <v>0</v>
      </c>
      <c r="G185" s="403">
        <f>'Dinh bien_HCNS'!I64</f>
        <v>0</v>
      </c>
      <c r="H185" s="403">
        <f>'Dinh bien_HCNS'!J64</f>
        <v>0</v>
      </c>
      <c r="I185" s="403">
        <f>'Dinh bien_HCNS'!K64</f>
        <v>0</v>
      </c>
      <c r="J185" s="403">
        <f>'Dinh bien_HCNS'!L64</f>
        <v>0</v>
      </c>
      <c r="K185" s="403">
        <f>'Dinh bien_HCNS'!M64</f>
        <v>0</v>
      </c>
      <c r="L185" s="403">
        <f>'Dinh bien_HCNS'!N64</f>
        <v>0</v>
      </c>
      <c r="M185" s="403">
        <f>'Dinh bien_HCNS'!O64</f>
        <v>0</v>
      </c>
      <c r="N185" s="403">
        <f>'Dinh bien_HCNS'!P64</f>
        <v>0</v>
      </c>
      <c r="O185" s="403">
        <f>'Dinh bien_HCNS'!Q64</f>
        <v>0</v>
      </c>
      <c r="P185" s="403">
        <f>'Dinh bien_HCNS'!R64</f>
        <v>0</v>
      </c>
      <c r="Q185" s="403">
        <f>'Dinh bien_HCNS'!S64</f>
        <v>0</v>
      </c>
      <c r="R185" s="403">
        <f>'Dinh bien_HCNS'!T64</f>
        <v>0</v>
      </c>
    </row>
    <row r="186" spans="2:18" s="1" customFormat="1" ht="13" hidden="1" x14ac:dyDescent="0.35">
      <c r="B186" s="404" t="s">
        <v>330</v>
      </c>
      <c r="C186" s="405"/>
      <c r="D186" s="406" t="s">
        <v>609</v>
      </c>
      <c r="E186" s="405"/>
      <c r="F186" s="407">
        <f t="shared" ref="F186:Q186" si="194">SUM(F188:F195)</f>
        <v>0</v>
      </c>
      <c r="G186" s="407">
        <f t="shared" si="194"/>
        <v>0</v>
      </c>
      <c r="H186" s="407">
        <f t="shared" si="194"/>
        <v>0</v>
      </c>
      <c r="I186" s="407">
        <f t="shared" si="194"/>
        <v>0</v>
      </c>
      <c r="J186" s="407">
        <f t="shared" si="194"/>
        <v>0</v>
      </c>
      <c r="K186" s="407">
        <f t="shared" si="194"/>
        <v>0</v>
      </c>
      <c r="L186" s="407">
        <f t="shared" si="194"/>
        <v>0</v>
      </c>
      <c r="M186" s="407">
        <f t="shared" si="194"/>
        <v>0</v>
      </c>
      <c r="N186" s="407">
        <f t="shared" si="194"/>
        <v>0</v>
      </c>
      <c r="O186" s="407">
        <f t="shared" si="194"/>
        <v>0</v>
      </c>
      <c r="P186" s="407">
        <f t="shared" si="194"/>
        <v>0</v>
      </c>
      <c r="Q186" s="407">
        <f t="shared" si="194"/>
        <v>0</v>
      </c>
      <c r="R186" s="408">
        <f t="shared" ref="R186:R196" si="195">SUM(F186:Q186)</f>
        <v>0</v>
      </c>
    </row>
    <row r="187" spans="2:18" s="1" customFormat="1" ht="13" hidden="1" x14ac:dyDescent="0.3">
      <c r="B187" s="404" t="s">
        <v>330</v>
      </c>
      <c r="C187" s="405"/>
      <c r="D187" s="402" t="s">
        <v>537</v>
      </c>
      <c r="E187" s="405"/>
      <c r="F187" s="407">
        <f>IFERROR(SUM(F188:F195)/F185,0)</f>
        <v>0</v>
      </c>
      <c r="G187" s="407">
        <f t="shared" ref="G187" si="196">IFERROR(SUM(G188:G195)/G185,0)</f>
        <v>0</v>
      </c>
      <c r="H187" s="407">
        <f t="shared" ref="H187" si="197">IFERROR(SUM(H188:H195)/H185,0)</f>
        <v>0</v>
      </c>
      <c r="I187" s="407">
        <f t="shared" ref="I187" si="198">IFERROR(SUM(I188:I195)/I185,0)</f>
        <v>0</v>
      </c>
      <c r="J187" s="407">
        <f t="shared" ref="J187" si="199">IFERROR(SUM(J188:J195)/J185,0)</f>
        <v>0</v>
      </c>
      <c r="K187" s="407">
        <f t="shared" ref="K187" si="200">IFERROR(SUM(K188:K195)/K185,0)</f>
        <v>0</v>
      </c>
      <c r="L187" s="407">
        <f t="shared" ref="L187" si="201">IFERROR(SUM(L188:L195)/L185,0)</f>
        <v>0</v>
      </c>
      <c r="M187" s="407">
        <f t="shared" ref="M187" si="202">IFERROR(SUM(M188:M195)/M185,0)</f>
        <v>0</v>
      </c>
      <c r="N187" s="407">
        <f t="shared" ref="N187" si="203">IFERROR(SUM(N188:N195)/N185,0)</f>
        <v>0</v>
      </c>
      <c r="O187" s="407">
        <f t="shared" ref="O187" si="204">IFERROR(SUM(O188:O195)/O185,0)</f>
        <v>0</v>
      </c>
      <c r="P187" s="407">
        <f t="shared" ref="P187" si="205">IFERROR(SUM(P188:P195)/P185,0)</f>
        <v>0</v>
      </c>
      <c r="Q187" s="407">
        <f t="shared" ref="Q187" si="206">IFERROR(SUM(Q188:Q195)/Q185,0)</f>
        <v>0</v>
      </c>
      <c r="R187" s="408">
        <f>AVERAGEA(F187:Q187)</f>
        <v>0</v>
      </c>
    </row>
    <row r="188" spans="2:18" s="36" customFormat="1" ht="13" hidden="1" x14ac:dyDescent="0.35">
      <c r="B188" s="409" t="s">
        <v>330</v>
      </c>
      <c r="C188" s="410">
        <v>6220002601</v>
      </c>
      <c r="D188" s="411" t="s">
        <v>454</v>
      </c>
      <c r="E188" s="411" t="s">
        <v>569</v>
      </c>
      <c r="F188" s="412"/>
      <c r="G188" s="412"/>
      <c r="H188" s="412"/>
      <c r="I188" s="412"/>
      <c r="J188" s="412"/>
      <c r="K188" s="412"/>
      <c r="L188" s="412"/>
      <c r="M188" s="412"/>
      <c r="N188" s="412"/>
      <c r="O188" s="412"/>
      <c r="P188" s="412"/>
      <c r="Q188" s="412"/>
      <c r="R188" s="417">
        <f t="shared" si="195"/>
        <v>0</v>
      </c>
    </row>
    <row r="189" spans="2:18" s="36" customFormat="1" ht="13" hidden="1" x14ac:dyDescent="0.35">
      <c r="B189" s="409" t="s">
        <v>330</v>
      </c>
      <c r="C189" s="410">
        <v>6220002602</v>
      </c>
      <c r="D189" s="410" t="s">
        <v>455</v>
      </c>
      <c r="E189" s="411" t="s">
        <v>569</v>
      </c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7">
        <f t="shared" si="195"/>
        <v>0</v>
      </c>
    </row>
    <row r="190" spans="2:18" s="36" customFormat="1" ht="13" hidden="1" x14ac:dyDescent="0.35">
      <c r="B190" s="409" t="s">
        <v>330</v>
      </c>
      <c r="C190" s="410">
        <v>6220002802</v>
      </c>
      <c r="D190" s="411" t="s">
        <v>458</v>
      </c>
      <c r="E190" s="411" t="s">
        <v>570</v>
      </c>
      <c r="F190" s="412"/>
      <c r="G190" s="412"/>
      <c r="H190" s="412"/>
      <c r="I190" s="412"/>
      <c r="J190" s="412"/>
      <c r="K190" s="412"/>
      <c r="L190" s="412"/>
      <c r="M190" s="412"/>
      <c r="N190" s="412"/>
      <c r="O190" s="412"/>
      <c r="P190" s="412"/>
      <c r="Q190" s="412"/>
      <c r="R190" s="417">
        <f t="shared" si="195"/>
        <v>0</v>
      </c>
    </row>
    <row r="191" spans="2:18" s="36" customFormat="1" ht="13" hidden="1" x14ac:dyDescent="0.35">
      <c r="B191" s="409" t="s">
        <v>330</v>
      </c>
      <c r="C191" s="410">
        <v>6220002806</v>
      </c>
      <c r="D191" s="410" t="s">
        <v>471</v>
      </c>
      <c r="E191" s="411" t="s">
        <v>569</v>
      </c>
      <c r="F191" s="412"/>
      <c r="G191" s="412"/>
      <c r="H191" s="412"/>
      <c r="I191" s="412"/>
      <c r="J191" s="412"/>
      <c r="K191" s="412"/>
      <c r="L191" s="412"/>
      <c r="M191" s="412"/>
      <c r="N191" s="412"/>
      <c r="O191" s="412"/>
      <c r="P191" s="412"/>
      <c r="Q191" s="412"/>
      <c r="R191" s="417">
        <f t="shared" si="195"/>
        <v>0</v>
      </c>
    </row>
    <row r="192" spans="2:18" s="36" customFormat="1" ht="13" hidden="1" x14ac:dyDescent="0.35">
      <c r="B192" s="409" t="s">
        <v>330</v>
      </c>
      <c r="C192" s="410">
        <v>6220007202</v>
      </c>
      <c r="D192" s="411" t="s">
        <v>431</v>
      </c>
      <c r="E192" s="411" t="s">
        <v>570</v>
      </c>
      <c r="F192" s="412"/>
      <c r="G192" s="412"/>
      <c r="H192" s="412"/>
      <c r="I192" s="412"/>
      <c r="J192" s="412"/>
      <c r="K192" s="412"/>
      <c r="L192" s="412"/>
      <c r="M192" s="412"/>
      <c r="N192" s="412"/>
      <c r="O192" s="412"/>
      <c r="P192" s="412"/>
      <c r="Q192" s="412"/>
      <c r="R192" s="417">
        <f t="shared" si="195"/>
        <v>0</v>
      </c>
    </row>
    <row r="193" spans="2:18" s="36" customFormat="1" ht="13" hidden="1" x14ac:dyDescent="0.35">
      <c r="B193" s="409" t="s">
        <v>330</v>
      </c>
      <c r="C193" s="410">
        <v>6220003201</v>
      </c>
      <c r="D193" s="410" t="s">
        <v>460</v>
      </c>
      <c r="E193" s="411" t="s">
        <v>570</v>
      </c>
      <c r="F193" s="412"/>
      <c r="G193" s="412"/>
      <c r="H193" s="412"/>
      <c r="I193" s="412"/>
      <c r="J193" s="412"/>
      <c r="K193" s="412"/>
      <c r="L193" s="412"/>
      <c r="M193" s="412"/>
      <c r="N193" s="412"/>
      <c r="O193" s="412"/>
      <c r="P193" s="412"/>
      <c r="Q193" s="412"/>
      <c r="R193" s="417">
        <f t="shared" si="195"/>
        <v>0</v>
      </c>
    </row>
    <row r="194" spans="2:18" s="36" customFormat="1" ht="13" hidden="1" x14ac:dyDescent="0.35">
      <c r="B194" s="409" t="s">
        <v>330</v>
      </c>
      <c r="C194" s="410">
        <v>6220002603</v>
      </c>
      <c r="D194" s="411" t="s">
        <v>459</v>
      </c>
      <c r="E194" s="411" t="s">
        <v>569</v>
      </c>
      <c r="F194" s="412"/>
      <c r="G194" s="412"/>
      <c r="H194" s="412"/>
      <c r="I194" s="412"/>
      <c r="J194" s="412"/>
      <c r="K194" s="412"/>
      <c r="L194" s="412"/>
      <c r="M194" s="412"/>
      <c r="N194" s="412"/>
      <c r="O194" s="412"/>
      <c r="P194" s="412"/>
      <c r="Q194" s="412"/>
      <c r="R194" s="417">
        <f t="shared" si="195"/>
        <v>0</v>
      </c>
    </row>
    <row r="195" spans="2:18" s="36" customFormat="1" ht="13" hidden="1" x14ac:dyDescent="0.35">
      <c r="B195" s="409" t="s">
        <v>330</v>
      </c>
      <c r="C195" s="410">
        <v>6220003401</v>
      </c>
      <c r="D195" s="410" t="s">
        <v>456</v>
      </c>
      <c r="E195" s="411" t="s">
        <v>570</v>
      </c>
      <c r="F195" s="412"/>
      <c r="G195" s="412"/>
      <c r="H195" s="412"/>
      <c r="I195" s="412"/>
      <c r="J195" s="412"/>
      <c r="K195" s="412"/>
      <c r="L195" s="412"/>
      <c r="M195" s="412"/>
      <c r="N195" s="412"/>
      <c r="O195" s="412"/>
      <c r="P195" s="412"/>
      <c r="Q195" s="412"/>
      <c r="R195" s="417">
        <f t="shared" si="195"/>
        <v>0</v>
      </c>
    </row>
    <row r="196" spans="2:18" s="36" customFormat="1" ht="13" hidden="1" x14ac:dyDescent="0.35">
      <c r="B196" s="413" t="s">
        <v>330</v>
      </c>
      <c r="C196" s="414">
        <v>6220002701</v>
      </c>
      <c r="D196" s="415" t="s">
        <v>457</v>
      </c>
      <c r="E196" s="415" t="s">
        <v>569</v>
      </c>
      <c r="F196" s="416"/>
      <c r="G196" s="416"/>
      <c r="H196" s="416"/>
      <c r="I196" s="416"/>
      <c r="J196" s="416"/>
      <c r="K196" s="416"/>
      <c r="L196" s="416"/>
      <c r="M196" s="416"/>
      <c r="N196" s="416"/>
      <c r="O196" s="416"/>
      <c r="P196" s="416"/>
      <c r="Q196" s="416"/>
      <c r="R196" s="418">
        <f t="shared" si="195"/>
        <v>0</v>
      </c>
    </row>
    <row r="197" spans="2:18" s="1" customFormat="1" ht="13" hidden="1" x14ac:dyDescent="0.3">
      <c r="B197" s="400" t="s">
        <v>517</v>
      </c>
      <c r="C197" s="401"/>
      <c r="D197" s="402" t="s">
        <v>536</v>
      </c>
      <c r="E197" s="401"/>
      <c r="F197" s="403">
        <f>'Dinh bien_HCNS'!H67</f>
        <v>1</v>
      </c>
      <c r="G197" s="403">
        <f>'Dinh bien_HCNS'!I67</f>
        <v>1</v>
      </c>
      <c r="H197" s="403">
        <f>'Dinh bien_HCNS'!J67</f>
        <v>1</v>
      </c>
      <c r="I197" s="403">
        <f>'Dinh bien_HCNS'!K67</f>
        <v>1</v>
      </c>
      <c r="J197" s="403">
        <f>'Dinh bien_HCNS'!L67</f>
        <v>1</v>
      </c>
      <c r="K197" s="403">
        <f>'Dinh bien_HCNS'!M67</f>
        <v>1</v>
      </c>
      <c r="L197" s="403">
        <f>'Dinh bien_HCNS'!N67</f>
        <v>1</v>
      </c>
      <c r="M197" s="403">
        <f>'Dinh bien_HCNS'!O67</f>
        <v>1</v>
      </c>
      <c r="N197" s="403">
        <f>'Dinh bien_HCNS'!P67</f>
        <v>1</v>
      </c>
      <c r="O197" s="403">
        <f>'Dinh bien_HCNS'!Q67</f>
        <v>1</v>
      </c>
      <c r="P197" s="403">
        <f>'Dinh bien_HCNS'!R67</f>
        <v>1</v>
      </c>
      <c r="Q197" s="403">
        <f>'Dinh bien_HCNS'!S67</f>
        <v>1</v>
      </c>
      <c r="R197" s="403">
        <f>'Dinh bien_HCNS'!T67</f>
        <v>1</v>
      </c>
    </row>
    <row r="198" spans="2:18" s="1" customFormat="1" ht="13" hidden="1" x14ac:dyDescent="0.35">
      <c r="B198" s="404" t="s">
        <v>517</v>
      </c>
      <c r="C198" s="405"/>
      <c r="D198" s="406" t="s">
        <v>610</v>
      </c>
      <c r="E198" s="405"/>
      <c r="F198" s="407">
        <f>SUM(F200:F208)</f>
        <v>15444856.666666668</v>
      </c>
      <c r="G198" s="407">
        <f t="shared" ref="G198:Q198" si="207">SUM(G200:G208)</f>
        <v>15692319.166666668</v>
      </c>
      <c r="H198" s="407">
        <f t="shared" si="207"/>
        <v>14666323.833333334</v>
      </c>
      <c r="I198" s="407">
        <f t="shared" si="207"/>
        <v>15810891.5</v>
      </c>
      <c r="J198" s="407">
        <f t="shared" si="207"/>
        <v>15160522</v>
      </c>
      <c r="K198" s="407">
        <f t="shared" si="207"/>
        <v>15756822.166666668</v>
      </c>
      <c r="L198" s="407">
        <f t="shared" si="207"/>
        <v>15725748.333333334</v>
      </c>
      <c r="M198" s="407">
        <f t="shared" si="207"/>
        <v>15829881.666666668</v>
      </c>
      <c r="N198" s="407">
        <f t="shared" si="207"/>
        <v>16174420.833333334</v>
      </c>
      <c r="O198" s="407">
        <f t="shared" si="207"/>
        <v>15015805.166666668</v>
      </c>
      <c r="P198" s="407">
        <f t="shared" si="207"/>
        <v>15756822.166666668</v>
      </c>
      <c r="Q198" s="407">
        <f t="shared" si="207"/>
        <v>15361281.666666668</v>
      </c>
      <c r="R198" s="408">
        <f>SUM(R200:R208)</f>
        <v>186395695.16666669</v>
      </c>
    </row>
    <row r="199" spans="2:18" s="1" customFormat="1" ht="13" hidden="1" x14ac:dyDescent="0.3">
      <c r="B199" s="404" t="s">
        <v>517</v>
      </c>
      <c r="C199" s="405"/>
      <c r="D199" s="402" t="s">
        <v>537</v>
      </c>
      <c r="E199" s="405"/>
      <c r="F199" s="407">
        <f>IFERROR(SUM(F200:F207)/F197,0)</f>
        <v>15384228.333333334</v>
      </c>
      <c r="G199" s="407">
        <f t="shared" ref="G199" si="208">IFERROR(SUM(G200:G207)/G197,0)</f>
        <v>15621343.833333334</v>
      </c>
      <c r="H199" s="407">
        <f t="shared" ref="H199" si="209">IFERROR(SUM(H200:H207)/H197,0)</f>
        <v>14511997.666666668</v>
      </c>
      <c r="I199" s="407">
        <f t="shared" ref="I199" si="210">IFERROR(SUM(I200:I207)/I197,0)</f>
        <v>15691343.833333334</v>
      </c>
      <c r="J199" s="407">
        <f t="shared" ref="J199" si="211">IFERROR(SUM(J200:J207)/J197,0)</f>
        <v>15063112.833333334</v>
      </c>
      <c r="K199" s="407">
        <f t="shared" ref="K199" si="212">IFERROR(SUM(K200:K207)/K197,0)</f>
        <v>15691343.833333334</v>
      </c>
      <c r="L199" s="407">
        <f t="shared" ref="L199" si="213">IFERROR(SUM(L200:L207)/L197,0)</f>
        <v>15298228.333333334</v>
      </c>
      <c r="M199" s="407">
        <f t="shared" ref="M199" si="214">IFERROR(SUM(M200:M207)/M197,0)</f>
        <v>15298228.333333334</v>
      </c>
      <c r="N199" s="407">
        <f t="shared" ref="N199" si="215">IFERROR(SUM(N200:N207)/N197,0)</f>
        <v>15763343.833333334</v>
      </c>
      <c r="O199" s="407">
        <f t="shared" ref="O199" si="216">IFERROR(SUM(O200:O207)/O197,0)</f>
        <v>14905112.833333334</v>
      </c>
      <c r="P199" s="407">
        <f t="shared" ref="P199" si="217">IFERROR(SUM(P200:P207)/P197,0)</f>
        <v>15691343.833333334</v>
      </c>
      <c r="Q199" s="407">
        <f t="shared" ref="Q199" si="218">IFERROR(SUM(Q200:Q207)/Q197,0)</f>
        <v>15298228.333333334</v>
      </c>
      <c r="R199" s="408">
        <f>AVERAGEA(F199:Q199)</f>
        <v>15351487.986111112</v>
      </c>
    </row>
    <row r="200" spans="2:18" s="36" customFormat="1" ht="13" hidden="1" x14ac:dyDescent="0.35">
      <c r="B200" s="409" t="s">
        <v>517</v>
      </c>
      <c r="C200" s="1023">
        <v>6271002604</v>
      </c>
      <c r="D200" s="1024" t="s">
        <v>461</v>
      </c>
      <c r="E200" s="1024" t="s">
        <v>574</v>
      </c>
      <c r="F200" s="1025">
        <v>10757000</v>
      </c>
      <c r="G200" s="1025">
        <v>11136115.5</v>
      </c>
      <c r="H200" s="1025">
        <v>9998769.333333334</v>
      </c>
      <c r="I200" s="1025">
        <v>11136115.5</v>
      </c>
      <c r="J200" s="1025">
        <v>10377884.5</v>
      </c>
      <c r="K200" s="1025">
        <v>11136115.5</v>
      </c>
      <c r="L200" s="1025">
        <v>10757000</v>
      </c>
      <c r="M200" s="1025">
        <v>10757000</v>
      </c>
      <c r="N200" s="1025">
        <v>11136115.5</v>
      </c>
      <c r="O200" s="1025">
        <v>10377884.5</v>
      </c>
      <c r="P200" s="1025">
        <v>11136115.5</v>
      </c>
      <c r="Q200" s="1025">
        <v>10757000</v>
      </c>
      <c r="R200" s="417">
        <f t="shared" ref="R200:R208" si="219">SUM(F200:Q200)</f>
        <v>129463115.83333334</v>
      </c>
    </row>
    <row r="201" spans="2:18" s="36" customFormat="1" ht="13" hidden="1" x14ac:dyDescent="0.35">
      <c r="B201" s="409" t="s">
        <v>517</v>
      </c>
      <c r="C201" s="1023">
        <v>6271002605</v>
      </c>
      <c r="D201" s="1023" t="s">
        <v>462</v>
      </c>
      <c r="E201" s="1024" t="s">
        <v>574</v>
      </c>
      <c r="F201" s="1025">
        <v>801205.83333333337</v>
      </c>
      <c r="G201" s="1025">
        <v>801205.83333333337</v>
      </c>
      <c r="H201" s="1025">
        <v>801205.83333333337</v>
      </c>
      <c r="I201" s="1025">
        <v>801205.83333333337</v>
      </c>
      <c r="J201" s="1025">
        <v>801205.83333333337</v>
      </c>
      <c r="K201" s="1025">
        <v>801205.83333333337</v>
      </c>
      <c r="L201" s="1025">
        <v>801205.83333333337</v>
      </c>
      <c r="M201" s="1025">
        <v>801205.83333333337</v>
      </c>
      <c r="N201" s="1025">
        <v>801205.83333333337</v>
      </c>
      <c r="O201" s="1025">
        <v>801205.83333333337</v>
      </c>
      <c r="P201" s="1025">
        <v>801205.83333333337</v>
      </c>
      <c r="Q201" s="1025">
        <v>801205.83333333337</v>
      </c>
      <c r="R201" s="417">
        <f t="shared" si="219"/>
        <v>9614470</v>
      </c>
    </row>
    <row r="202" spans="2:18" s="36" customFormat="1" ht="13" hidden="1" x14ac:dyDescent="0.35">
      <c r="B202" s="409" t="s">
        <v>517</v>
      </c>
      <c r="C202" s="1023">
        <v>6271002802</v>
      </c>
      <c r="D202" s="1024" t="s">
        <v>465</v>
      </c>
      <c r="E202" s="1024" t="s">
        <v>570</v>
      </c>
      <c r="F202" s="1025">
        <v>100000</v>
      </c>
      <c r="G202" s="1025">
        <v>0</v>
      </c>
      <c r="H202" s="1025">
        <v>0</v>
      </c>
      <c r="I202" s="1025">
        <v>0</v>
      </c>
      <c r="J202" s="1025">
        <v>200000</v>
      </c>
      <c r="K202" s="1025">
        <v>0</v>
      </c>
      <c r="L202" s="1025">
        <v>0</v>
      </c>
      <c r="M202" s="1025">
        <v>0</v>
      </c>
      <c r="N202" s="1025">
        <v>100000</v>
      </c>
      <c r="O202" s="1025">
        <v>0</v>
      </c>
      <c r="P202" s="1025">
        <v>0</v>
      </c>
      <c r="Q202" s="1025">
        <v>0</v>
      </c>
      <c r="R202" s="417">
        <f t="shared" si="219"/>
        <v>400000</v>
      </c>
    </row>
    <row r="203" spans="2:18" s="36" customFormat="1" ht="13" hidden="1" x14ac:dyDescent="0.35">
      <c r="B203" s="409" t="s">
        <v>517</v>
      </c>
      <c r="C203" s="1023">
        <v>6271002806</v>
      </c>
      <c r="D203" s="1023" t="s">
        <v>472</v>
      </c>
      <c r="E203" s="1024" t="s">
        <v>574</v>
      </c>
      <c r="F203" s="1025">
        <v>1059627.5</v>
      </c>
      <c r="G203" s="1025">
        <v>1059627.5</v>
      </c>
      <c r="H203" s="1025">
        <v>1059627.5</v>
      </c>
      <c r="I203" s="1025">
        <v>1059627.5</v>
      </c>
      <c r="J203" s="1025">
        <v>1059627.5</v>
      </c>
      <c r="K203" s="1025">
        <v>1059627.5</v>
      </c>
      <c r="L203" s="1025">
        <v>1059627.5</v>
      </c>
      <c r="M203" s="1025">
        <v>1059627.5</v>
      </c>
      <c r="N203" s="1025">
        <v>1059627.5</v>
      </c>
      <c r="O203" s="1025">
        <v>1059627.5</v>
      </c>
      <c r="P203" s="1025">
        <v>1059627.5</v>
      </c>
      <c r="Q203" s="1025">
        <v>1059627.5</v>
      </c>
      <c r="R203" s="417">
        <f t="shared" si="219"/>
        <v>12715530</v>
      </c>
    </row>
    <row r="204" spans="2:18" s="36" customFormat="1" ht="13" hidden="1" x14ac:dyDescent="0.35">
      <c r="B204" s="409" t="s">
        <v>517</v>
      </c>
      <c r="C204" s="410">
        <v>6271007202</v>
      </c>
      <c r="D204" s="411" t="s">
        <v>431</v>
      </c>
      <c r="E204" s="411" t="s">
        <v>570</v>
      </c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7">
        <f t="shared" si="219"/>
        <v>0</v>
      </c>
    </row>
    <row r="205" spans="2:18" s="36" customFormat="1" ht="13" hidden="1" x14ac:dyDescent="0.35">
      <c r="B205" s="409" t="s">
        <v>517</v>
      </c>
      <c r="C205" s="410">
        <v>6271003202</v>
      </c>
      <c r="D205" s="410" t="s">
        <v>467</v>
      </c>
      <c r="E205" s="411" t="s">
        <v>570</v>
      </c>
      <c r="F205" s="412">
        <v>350000</v>
      </c>
      <c r="G205" s="412">
        <v>308000</v>
      </c>
      <c r="H205" s="412">
        <v>336000</v>
      </c>
      <c r="I205" s="412">
        <v>378000</v>
      </c>
      <c r="J205" s="412">
        <v>308000</v>
      </c>
      <c r="K205" s="412">
        <v>378000</v>
      </c>
      <c r="L205" s="412">
        <v>364000</v>
      </c>
      <c r="M205" s="412">
        <v>364000</v>
      </c>
      <c r="N205" s="412">
        <v>350000</v>
      </c>
      <c r="O205" s="412">
        <v>350000</v>
      </c>
      <c r="P205" s="412">
        <v>378000</v>
      </c>
      <c r="Q205" s="412">
        <v>364000</v>
      </c>
      <c r="R205" s="417">
        <f t="shared" si="219"/>
        <v>4228000</v>
      </c>
    </row>
    <row r="206" spans="2:18" s="36" customFormat="1" ht="13" hidden="1" x14ac:dyDescent="0.35">
      <c r="B206" s="409" t="s">
        <v>517</v>
      </c>
      <c r="C206" s="410">
        <v>6271002603</v>
      </c>
      <c r="D206" s="411" t="s">
        <v>466</v>
      </c>
      <c r="E206" s="411" t="s">
        <v>574</v>
      </c>
      <c r="F206" s="412"/>
      <c r="G206" s="412"/>
      <c r="H206" s="412"/>
      <c r="I206" s="412"/>
      <c r="J206" s="412"/>
      <c r="K206" s="412"/>
      <c r="L206" s="412"/>
      <c r="M206" s="412"/>
      <c r="N206" s="412"/>
      <c r="O206" s="412"/>
      <c r="P206" s="412"/>
      <c r="Q206" s="412"/>
      <c r="R206" s="417">
        <f t="shared" si="219"/>
        <v>0</v>
      </c>
    </row>
    <row r="207" spans="2:18" s="36" customFormat="1" ht="13" hidden="1" x14ac:dyDescent="0.35">
      <c r="B207" s="409" t="s">
        <v>517</v>
      </c>
      <c r="C207" s="1023">
        <v>6271003401</v>
      </c>
      <c r="D207" s="1023" t="s">
        <v>463</v>
      </c>
      <c r="E207" s="1024" t="s">
        <v>570</v>
      </c>
      <c r="F207" s="1025">
        <v>2316395</v>
      </c>
      <c r="G207" s="1025">
        <v>2316395</v>
      </c>
      <c r="H207" s="1025">
        <v>2316395</v>
      </c>
      <c r="I207" s="1025">
        <v>2316395</v>
      </c>
      <c r="J207" s="1025">
        <v>2316395</v>
      </c>
      <c r="K207" s="1025">
        <v>2316395</v>
      </c>
      <c r="L207" s="1025">
        <v>2316395</v>
      </c>
      <c r="M207" s="1025">
        <v>2316395</v>
      </c>
      <c r="N207" s="1025">
        <v>2316395</v>
      </c>
      <c r="O207" s="1025">
        <v>2316395</v>
      </c>
      <c r="P207" s="1025">
        <v>2316395</v>
      </c>
      <c r="Q207" s="1025">
        <v>2316395</v>
      </c>
      <c r="R207" s="417">
        <f t="shared" si="219"/>
        <v>27796740</v>
      </c>
    </row>
    <row r="208" spans="2:18" s="36" customFormat="1" hidden="1" x14ac:dyDescent="0.35">
      <c r="B208" s="413" t="s">
        <v>517</v>
      </c>
      <c r="C208" s="414">
        <v>6271002703</v>
      </c>
      <c r="D208" s="415" t="s">
        <v>464</v>
      </c>
      <c r="E208" s="415" t="s">
        <v>574</v>
      </c>
      <c r="F208" s="416">
        <v>60628.333333333336</v>
      </c>
      <c r="G208" s="416">
        <v>70975.333333333328</v>
      </c>
      <c r="H208" s="416">
        <v>154326.16666666666</v>
      </c>
      <c r="I208" s="416">
        <v>119547.66666666667</v>
      </c>
      <c r="J208" s="416">
        <v>97409.166666666672</v>
      </c>
      <c r="K208" s="416">
        <v>65478.333333333336</v>
      </c>
      <c r="L208" s="416">
        <v>427520</v>
      </c>
      <c r="M208" s="416">
        <v>531653.33333333337</v>
      </c>
      <c r="N208" s="416">
        <v>411077</v>
      </c>
      <c r="O208" s="416">
        <v>110692.33333333333</v>
      </c>
      <c r="P208" s="416">
        <v>65478.333333333336</v>
      </c>
      <c r="Q208" s="416">
        <v>63053.333333333336</v>
      </c>
      <c r="R208" s="416">
        <f t="shared" si="219"/>
        <v>2177839.3333333335</v>
      </c>
    </row>
    <row r="209" spans="2:21" s="1" customFormat="1" ht="13" hidden="1" x14ac:dyDescent="0.3">
      <c r="B209" s="400" t="s">
        <v>608</v>
      </c>
      <c r="C209" s="401"/>
      <c r="D209" s="402" t="s">
        <v>536</v>
      </c>
      <c r="E209" s="401"/>
      <c r="F209" s="403"/>
      <c r="G209" s="403"/>
      <c r="H209" s="403"/>
      <c r="I209" s="403"/>
      <c r="J209" s="403"/>
      <c r="K209" s="403"/>
      <c r="L209" s="403"/>
      <c r="M209" s="403"/>
      <c r="N209" s="403"/>
      <c r="O209" s="403"/>
      <c r="P209" s="403"/>
      <c r="Q209" s="403"/>
      <c r="R209" s="403"/>
    </row>
    <row r="210" spans="2:21" s="1" customFormat="1" ht="13" hidden="1" x14ac:dyDescent="0.35">
      <c r="B210" s="404" t="s">
        <v>608</v>
      </c>
      <c r="C210" s="405"/>
      <c r="D210" s="406" t="s">
        <v>611</v>
      </c>
      <c r="E210" s="405"/>
      <c r="F210" s="407">
        <f t="shared" ref="F210:Q210" si="220">SUM(F212:F219)</f>
        <v>0</v>
      </c>
      <c r="G210" s="407">
        <f t="shared" si="220"/>
        <v>0</v>
      </c>
      <c r="H210" s="407">
        <f t="shared" si="220"/>
        <v>0</v>
      </c>
      <c r="I210" s="407">
        <f t="shared" si="220"/>
        <v>0</v>
      </c>
      <c r="J210" s="407">
        <f t="shared" si="220"/>
        <v>0</v>
      </c>
      <c r="K210" s="407">
        <f t="shared" si="220"/>
        <v>0</v>
      </c>
      <c r="L210" s="407">
        <f t="shared" si="220"/>
        <v>0</v>
      </c>
      <c r="M210" s="407">
        <f t="shared" si="220"/>
        <v>0</v>
      </c>
      <c r="N210" s="407">
        <f t="shared" si="220"/>
        <v>0</v>
      </c>
      <c r="O210" s="407">
        <f t="shared" si="220"/>
        <v>0</v>
      </c>
      <c r="P210" s="407">
        <f t="shared" si="220"/>
        <v>0</v>
      </c>
      <c r="Q210" s="407">
        <f t="shared" si="220"/>
        <v>0</v>
      </c>
      <c r="R210" s="408">
        <f t="shared" ref="R210" si="221">SUM(F210:Q210)</f>
        <v>0</v>
      </c>
    </row>
    <row r="211" spans="2:21" s="1" customFormat="1" ht="13" hidden="1" x14ac:dyDescent="0.3">
      <c r="B211" s="404" t="s">
        <v>608</v>
      </c>
      <c r="C211" s="405"/>
      <c r="D211" s="402" t="s">
        <v>537</v>
      </c>
      <c r="E211" s="405"/>
      <c r="F211" s="407">
        <f>IFERROR(SUM(F212:F219)/F209,0)</f>
        <v>0</v>
      </c>
      <c r="G211" s="407">
        <f t="shared" ref="G211" si="222">IFERROR(SUM(G212:G219)/G209,0)</f>
        <v>0</v>
      </c>
      <c r="H211" s="407">
        <f t="shared" ref="H211" si="223">IFERROR(SUM(H212:H219)/H209,0)</f>
        <v>0</v>
      </c>
      <c r="I211" s="407">
        <f t="shared" ref="I211" si="224">IFERROR(SUM(I212:I219)/I209,0)</f>
        <v>0</v>
      </c>
      <c r="J211" s="407">
        <f t="shared" ref="J211" si="225">IFERROR(SUM(J212:J219)/J209,0)</f>
        <v>0</v>
      </c>
      <c r="K211" s="407">
        <f t="shared" ref="K211" si="226">IFERROR(SUM(K212:K219)/K209,0)</f>
        <v>0</v>
      </c>
      <c r="L211" s="407">
        <f t="shared" ref="L211" si="227">IFERROR(SUM(L212:L219)/L209,0)</f>
        <v>0</v>
      </c>
      <c r="M211" s="407">
        <f t="shared" ref="M211" si="228">IFERROR(SUM(M212:M219)/M209,0)</f>
        <v>0</v>
      </c>
      <c r="N211" s="407">
        <f t="shared" ref="N211" si="229">IFERROR(SUM(N212:N219)/N209,0)</f>
        <v>0</v>
      </c>
      <c r="O211" s="407">
        <f t="shared" ref="O211" si="230">IFERROR(SUM(O212:O219)/O209,0)</f>
        <v>0</v>
      </c>
      <c r="P211" s="407">
        <f t="shared" ref="P211" si="231">IFERROR(SUM(P212:P219)/P209,0)</f>
        <v>0</v>
      </c>
      <c r="Q211" s="407">
        <f t="shared" ref="Q211" si="232">IFERROR(SUM(Q212:Q219)/Q209,0)</f>
        <v>0</v>
      </c>
      <c r="R211" s="408">
        <f>AVERAGEA(F211:Q211)</f>
        <v>0</v>
      </c>
    </row>
    <row r="212" spans="2:21" s="36" customFormat="1" ht="13" hidden="1" x14ac:dyDescent="0.35">
      <c r="B212" s="409" t="s">
        <v>608</v>
      </c>
      <c r="C212" s="410">
        <v>6421002604</v>
      </c>
      <c r="D212" s="411" t="s">
        <v>461</v>
      </c>
      <c r="E212" s="411" t="s">
        <v>569</v>
      </c>
      <c r="F212" s="412"/>
      <c r="G212" s="412"/>
      <c r="H212" s="412"/>
      <c r="I212" s="412"/>
      <c r="J212" s="412"/>
      <c r="K212" s="412"/>
      <c r="L212" s="412"/>
      <c r="M212" s="412"/>
      <c r="N212" s="412"/>
      <c r="O212" s="412"/>
      <c r="P212" s="412"/>
      <c r="Q212" s="412"/>
      <c r="R212" s="417">
        <f>SUM(F212:Q212)</f>
        <v>0</v>
      </c>
    </row>
    <row r="213" spans="2:21" s="36" customFormat="1" ht="13" hidden="1" x14ac:dyDescent="0.35">
      <c r="B213" s="409" t="s">
        <v>608</v>
      </c>
      <c r="C213" s="410">
        <v>6421002605</v>
      </c>
      <c r="D213" s="410" t="s">
        <v>462</v>
      </c>
      <c r="E213" s="411" t="s">
        <v>574</v>
      </c>
      <c r="F213" s="412"/>
      <c r="G213" s="412"/>
      <c r="H213" s="412"/>
      <c r="I213" s="412"/>
      <c r="J213" s="412"/>
      <c r="K213" s="412"/>
      <c r="L213" s="412"/>
      <c r="M213" s="412"/>
      <c r="N213" s="412"/>
      <c r="O213" s="412"/>
      <c r="P213" s="412"/>
      <c r="Q213" s="412"/>
      <c r="R213" s="417">
        <f t="shared" ref="R213:R220" si="233">SUM(F213:Q213)</f>
        <v>0</v>
      </c>
    </row>
    <row r="214" spans="2:21" s="36" customFormat="1" ht="13" x14ac:dyDescent="0.35">
      <c r="B214" s="409" t="s">
        <v>608</v>
      </c>
      <c r="C214" s="410">
        <v>6421002802</v>
      </c>
      <c r="D214" s="411" t="s">
        <v>465</v>
      </c>
      <c r="E214" s="411" t="s">
        <v>570</v>
      </c>
      <c r="F214" s="412"/>
      <c r="G214" s="412"/>
      <c r="H214" s="412"/>
      <c r="I214" s="412"/>
      <c r="J214" s="412"/>
      <c r="K214" s="412"/>
      <c r="L214" s="412"/>
      <c r="M214" s="412"/>
      <c r="N214" s="412"/>
      <c r="O214" s="412"/>
      <c r="P214" s="412"/>
      <c r="Q214" s="412"/>
      <c r="R214" s="417">
        <f t="shared" si="233"/>
        <v>0</v>
      </c>
    </row>
    <row r="215" spans="2:21" s="36" customFormat="1" ht="13" hidden="1" x14ac:dyDescent="0.35">
      <c r="B215" s="409" t="s">
        <v>608</v>
      </c>
      <c r="C215" s="410">
        <v>6421002806</v>
      </c>
      <c r="D215" s="410" t="s">
        <v>584</v>
      </c>
      <c r="E215" s="411" t="s">
        <v>574</v>
      </c>
      <c r="F215" s="412"/>
      <c r="G215" s="412"/>
      <c r="H215" s="412"/>
      <c r="I215" s="412"/>
      <c r="J215" s="412"/>
      <c r="K215" s="412"/>
      <c r="L215" s="412"/>
      <c r="M215" s="412"/>
      <c r="N215" s="412"/>
      <c r="O215" s="412"/>
      <c r="P215" s="412"/>
      <c r="Q215" s="412"/>
      <c r="R215" s="417">
        <f t="shared" si="233"/>
        <v>0</v>
      </c>
    </row>
    <row r="216" spans="2:21" s="36" customFormat="1" ht="13" x14ac:dyDescent="0.35">
      <c r="B216" s="409" t="s">
        <v>608</v>
      </c>
      <c r="C216" s="410">
        <v>6421007202</v>
      </c>
      <c r="D216" s="411" t="s">
        <v>431</v>
      </c>
      <c r="E216" s="411" t="s">
        <v>570</v>
      </c>
      <c r="F216" s="412"/>
      <c r="G216" s="412"/>
      <c r="H216" s="412"/>
      <c r="I216" s="412"/>
      <c r="J216" s="412"/>
      <c r="K216" s="412"/>
      <c r="L216" s="412"/>
      <c r="M216" s="412"/>
      <c r="N216" s="412"/>
      <c r="O216" s="412"/>
      <c r="P216" s="412"/>
      <c r="Q216" s="412"/>
      <c r="R216" s="417">
        <f t="shared" si="233"/>
        <v>0</v>
      </c>
    </row>
    <row r="217" spans="2:21" s="36" customFormat="1" ht="13" x14ac:dyDescent="0.35">
      <c r="B217" s="409" t="s">
        <v>608</v>
      </c>
      <c r="C217" s="410">
        <v>6421003202</v>
      </c>
      <c r="D217" s="410" t="s">
        <v>467</v>
      </c>
      <c r="E217" s="411" t="s">
        <v>570</v>
      </c>
      <c r="F217" s="412"/>
      <c r="G217" s="412"/>
      <c r="H217" s="412"/>
      <c r="I217" s="412"/>
      <c r="J217" s="412"/>
      <c r="K217" s="412"/>
      <c r="L217" s="412"/>
      <c r="M217" s="412"/>
      <c r="N217" s="412"/>
      <c r="O217" s="412"/>
      <c r="P217" s="412"/>
      <c r="Q217" s="412"/>
      <c r="R217" s="417">
        <f t="shared" si="233"/>
        <v>0</v>
      </c>
    </row>
    <row r="218" spans="2:21" s="36" customFormat="1" ht="13" hidden="1" x14ac:dyDescent="0.35">
      <c r="B218" s="409" t="s">
        <v>608</v>
      </c>
      <c r="C218" s="410">
        <v>6421002603</v>
      </c>
      <c r="D218" s="411" t="s">
        <v>466</v>
      </c>
      <c r="E218" s="411" t="s">
        <v>574</v>
      </c>
      <c r="F218" s="412"/>
      <c r="G218" s="412"/>
      <c r="H218" s="412"/>
      <c r="I218" s="412"/>
      <c r="J218" s="412"/>
      <c r="K218" s="412"/>
      <c r="L218" s="412"/>
      <c r="M218" s="412"/>
      <c r="N218" s="412"/>
      <c r="O218" s="412"/>
      <c r="P218" s="412"/>
      <c r="Q218" s="412"/>
      <c r="R218" s="417">
        <f t="shared" si="233"/>
        <v>0</v>
      </c>
    </row>
    <row r="219" spans="2:21" s="36" customFormat="1" ht="13" x14ac:dyDescent="0.35">
      <c r="B219" s="409" t="s">
        <v>608</v>
      </c>
      <c r="C219" s="410">
        <v>6421003401</v>
      </c>
      <c r="D219" s="410" t="s">
        <v>463</v>
      </c>
      <c r="E219" s="411" t="s">
        <v>570</v>
      </c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7">
        <f t="shared" si="233"/>
        <v>0</v>
      </c>
    </row>
    <row r="220" spans="2:21" s="36" customFormat="1" ht="13" hidden="1" x14ac:dyDescent="0.35">
      <c r="B220" s="413" t="s">
        <v>608</v>
      </c>
      <c r="C220" s="414">
        <v>6421002703</v>
      </c>
      <c r="D220" s="415" t="s">
        <v>464</v>
      </c>
      <c r="E220" s="415" t="s">
        <v>574</v>
      </c>
      <c r="F220" s="416"/>
      <c r="G220" s="41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8">
        <f t="shared" si="233"/>
        <v>0</v>
      </c>
    </row>
    <row r="221" spans="2:21" hidden="1" x14ac:dyDescent="0.25">
      <c r="E221" s="419"/>
      <c r="F221" s="419"/>
      <c r="G221" s="419"/>
      <c r="H221" s="419"/>
      <c r="I221" s="419"/>
      <c r="J221" s="419"/>
      <c r="K221" s="419"/>
      <c r="L221" s="419"/>
      <c r="M221" s="419"/>
      <c r="N221" s="419"/>
      <c r="O221" s="419"/>
      <c r="P221" s="419"/>
      <c r="Q221" s="419"/>
      <c r="R221" s="4">
        <v>2026</v>
      </c>
      <c r="S221" s="4">
        <v>2025</v>
      </c>
      <c r="T221" s="4">
        <v>2024</v>
      </c>
      <c r="U221" s="4">
        <v>2023</v>
      </c>
    </row>
    <row r="222" spans="2:21" hidden="1" x14ac:dyDescent="0.25">
      <c r="Q222" s="420" t="s">
        <v>613</v>
      </c>
      <c r="R222" s="421">
        <f>R198+R174+R162+R150+R138+R30+R18+R6+R42</f>
        <v>11425907859.166668</v>
      </c>
    </row>
    <row r="223" spans="2:21" hidden="1" x14ac:dyDescent="0.25">
      <c r="Q223" s="420">
        <v>622</v>
      </c>
      <c r="R223" s="422">
        <f>SUM(CPSX!W6:W14)</f>
        <v>5052758653</v>
      </c>
      <c r="S223" s="422">
        <f>SUM(CPSX!AK6:AK14)</f>
        <v>5368103885.5999994</v>
      </c>
      <c r="T223" s="422">
        <f>SUM(CPSX!AM28:AM35)</f>
        <v>4630091648</v>
      </c>
      <c r="U223" s="422">
        <f>SUM(CPSX!AO28:AO35)</f>
        <v>5792284330.499999</v>
      </c>
    </row>
    <row r="224" spans="2:21" hidden="1" x14ac:dyDescent="0.25">
      <c r="Q224" s="420">
        <v>627</v>
      </c>
      <c r="R224" s="422">
        <f>SUM(CPSX!W72:W80)</f>
        <v>2455048691.1666665</v>
      </c>
      <c r="S224" s="422">
        <f>SUM(CPSX!AK72:AK79)</f>
        <v>1016231475.6</v>
      </c>
      <c r="T224" s="422">
        <f>SUM(CPSX!AM72:AM79)</f>
        <v>220439144</v>
      </c>
      <c r="U224" s="422">
        <f>SUM(CPSX!AO72:AO79)</f>
        <v>315172859.5</v>
      </c>
    </row>
    <row r="225" spans="17:21" hidden="1" x14ac:dyDescent="0.25">
      <c r="Q225" s="420">
        <v>642</v>
      </c>
      <c r="R225" s="422">
        <f>SUM(CPQL!W5:W12)</f>
        <v>3918100515</v>
      </c>
      <c r="S225" s="422">
        <f>SUM(CPQL!AK5:AK12)</f>
        <v>2899094389.7888689</v>
      </c>
      <c r="T225" s="422">
        <f>SUM(CPQL!AM5:AM12)</f>
        <v>1412576558</v>
      </c>
      <c r="U225" s="422">
        <f>SUM(CPQL!AO5:AO12)</f>
        <v>1124385437</v>
      </c>
    </row>
    <row r="226" spans="17:21" hidden="1" x14ac:dyDescent="0.25">
      <c r="Q226" s="420" t="s">
        <v>614</v>
      </c>
      <c r="R226" s="421">
        <f>SUM(R223:R225)</f>
        <v>11425907859.166666</v>
      </c>
      <c r="S226" s="421">
        <f>SUM(S223:S225)</f>
        <v>9283429750.9888687</v>
      </c>
      <c r="T226" s="421">
        <f>SUM(T223:T225)</f>
        <v>6263107350</v>
      </c>
      <c r="U226" s="421">
        <f>SUM(U223:U225)</f>
        <v>7231842626.999999</v>
      </c>
    </row>
    <row r="227" spans="17:21" hidden="1" x14ac:dyDescent="0.25">
      <c r="Q227" s="420" t="s">
        <v>615</v>
      </c>
      <c r="R227" s="421">
        <f>R222-R226</f>
        <v>0</v>
      </c>
      <c r="S227" s="421">
        <f>R226-S226</f>
        <v>2142478108.1777973</v>
      </c>
      <c r="T227" s="421">
        <f>S226-T226</f>
        <v>3020322400.9888687</v>
      </c>
      <c r="U227" s="421">
        <f t="shared" ref="U227" si="234">T226-U226</f>
        <v>-968735276.99999905</v>
      </c>
    </row>
    <row r="228" spans="17:21" hidden="1" x14ac:dyDescent="0.25">
      <c r="Q228" s="4" t="s">
        <v>1814</v>
      </c>
      <c r="S228" s="1360">
        <f>S227/R226</f>
        <v>0.18751053610667365</v>
      </c>
      <c r="T228" s="1360">
        <f>T227/S226</f>
        <v>0.32534553306305192</v>
      </c>
      <c r="U228" s="1360">
        <f t="shared" ref="U228" si="235">U227/T226</f>
        <v>-0.15467326725606884</v>
      </c>
    </row>
    <row r="229" spans="17:21" x14ac:dyDescent="0.25">
      <c r="S229" s="1360"/>
    </row>
    <row r="230" spans="17:21" x14ac:dyDescent="0.25">
      <c r="R230" s="1397"/>
      <c r="S230" s="1360"/>
    </row>
    <row r="231" spans="17:21" x14ac:dyDescent="0.25">
      <c r="R231" s="1397"/>
      <c r="S231" s="1360"/>
    </row>
    <row r="233" spans="17:21" x14ac:dyDescent="0.25">
      <c r="S233" s="1361"/>
    </row>
  </sheetData>
  <autoFilter ref="B4:R228" xr:uid="{4FE742CE-93D8-419E-8A80-86F3FDA06C0D}">
    <filterColumn colId="1">
      <filters>
        <filter val="6421002603"/>
        <filter val="6421002604"/>
        <filter val="6421002605"/>
        <filter val="6421002703"/>
        <filter val="6421002802"/>
        <filter val="6421002806"/>
        <filter val="6421003202"/>
        <filter val="6421003401"/>
        <filter val="6421007202"/>
      </filters>
    </filterColumn>
    <filterColumn colId="3">
      <filters>
        <filter val="Employee Welfare"/>
      </filters>
    </filterColumn>
  </autoFilter>
  <conditionalFormatting sqref="B5:E220">
    <cfRule type="containsText" dxfId="48" priority="58" operator="containsText" text="xxx">
      <formula>NOT(ISERROR(SEARCH("xxx",B5)))</formula>
    </cfRule>
  </conditionalFormatting>
  <conditionalFormatting sqref="C4:C7">
    <cfRule type="containsText" dxfId="47" priority="48" operator="containsText" text="xxx">
      <formula>NOT(ISERROR(SEARCH("xxx",C4)))</formula>
    </cfRule>
  </conditionalFormatting>
  <conditionalFormatting sqref="C17:C19 C29:C31 C41:C43 C53:C55 C65:C67 C77:C79 C89:C91 C101:C103 C113:C115 C125:C127 C137:C139 C149:C151 C161:C163 C173:C175 C185:C187 C197:C199 C209:C211">
    <cfRule type="containsText" dxfId="46" priority="1" operator="containsText" text="xxx">
      <formula>NOT(ISERROR(SEARCH("xxx",C17)))</formula>
    </cfRule>
  </conditionalFormatting>
  <conditionalFormatting sqref="D4">
    <cfRule type="containsText" dxfId="45" priority="5" operator="containsText" text="xxx">
      <formula>NOT(ISERROR(SEARCH("xxx",D4)))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FBCF-9FC6-438D-9F2E-A7A8ECACE29C}">
  <sheetPr>
    <tabColor rgb="FFFF0000"/>
  </sheetPr>
  <dimension ref="A1:U63"/>
  <sheetViews>
    <sheetView zoomScaleNormal="100" workbookViewId="0">
      <selection activeCell="K6" sqref="K6"/>
    </sheetView>
  </sheetViews>
  <sheetFormatPr defaultColWidth="8.54296875" defaultRowHeight="12.5" x14ac:dyDescent="0.25"/>
  <cols>
    <col min="1" max="1" width="0.453125" style="35" customWidth="1"/>
    <col min="2" max="2" width="6.54296875" style="49" customWidth="1"/>
    <col min="3" max="3" width="35.54296875" style="6" customWidth="1"/>
    <col min="4" max="4" width="11.453125" style="49" customWidth="1"/>
    <col min="5" max="5" width="11" style="238" customWidth="1"/>
    <col min="6" max="6" width="8.54296875" style="51" customWidth="1"/>
    <col min="7" max="18" width="6.453125" style="52" customWidth="1"/>
    <col min="19" max="19" width="7.54296875" style="52" customWidth="1"/>
    <col min="20" max="16384" width="8.54296875" style="35"/>
  </cols>
  <sheetData>
    <row r="1" spans="2:19" ht="15.5" x14ac:dyDescent="0.25">
      <c r="B1" s="223" t="e" vm="1">
        <v>#VALUE!</v>
      </c>
    </row>
    <row r="3" spans="2:19" ht="15.5" x14ac:dyDescent="0.35">
      <c r="B3" s="140" t="s">
        <v>342</v>
      </c>
      <c r="S3" s="33" t="s">
        <v>233</v>
      </c>
    </row>
    <row r="4" spans="2:19" ht="39" x14ac:dyDescent="0.25">
      <c r="B4" s="30" t="s">
        <v>0</v>
      </c>
      <c r="C4" s="30" t="s">
        <v>132</v>
      </c>
      <c r="D4" s="30" t="s">
        <v>136</v>
      </c>
      <c r="E4" s="239" t="s">
        <v>148</v>
      </c>
      <c r="F4" s="32" t="s">
        <v>70</v>
      </c>
      <c r="G4" s="209" t="s">
        <v>56</v>
      </c>
      <c r="H4" s="209" t="s">
        <v>57</v>
      </c>
      <c r="I4" s="209" t="s">
        <v>58</v>
      </c>
      <c r="J4" s="209" t="s">
        <v>59</v>
      </c>
      <c r="K4" s="30" t="s">
        <v>60</v>
      </c>
      <c r="L4" s="30" t="s">
        <v>61</v>
      </c>
      <c r="M4" s="30" t="s">
        <v>62</v>
      </c>
      <c r="N4" s="30" t="s">
        <v>63</v>
      </c>
      <c r="O4" s="30" t="s">
        <v>64</v>
      </c>
      <c r="P4" s="30" t="s">
        <v>65</v>
      </c>
      <c r="Q4" s="30" t="s">
        <v>66</v>
      </c>
      <c r="R4" s="30" t="s">
        <v>67</v>
      </c>
      <c r="S4" s="30" t="s">
        <v>399</v>
      </c>
    </row>
    <row r="5" spans="2:19" s="57" customFormat="1" ht="13" x14ac:dyDescent="0.3">
      <c r="B5" s="53" t="s">
        <v>2</v>
      </c>
      <c r="C5" s="54" t="s">
        <v>137</v>
      </c>
      <c r="D5" s="55"/>
      <c r="E5" s="240"/>
      <c r="F5" s="56">
        <f>F6+F7</f>
        <v>60000000</v>
      </c>
      <c r="G5" s="56">
        <f t="shared" ref="G5:R5" si="0">G6+G7</f>
        <v>60000000</v>
      </c>
      <c r="H5" s="56">
        <f t="shared" si="0"/>
        <v>60000000</v>
      </c>
      <c r="I5" s="56">
        <f t="shared" si="0"/>
        <v>60000000</v>
      </c>
      <c r="J5" s="56">
        <f t="shared" si="0"/>
        <v>60000000</v>
      </c>
      <c r="K5" s="56">
        <f t="shared" si="0"/>
        <v>60000000</v>
      </c>
      <c r="L5" s="56">
        <f t="shared" si="0"/>
        <v>60000000</v>
      </c>
      <c r="M5" s="56">
        <f t="shared" si="0"/>
        <v>60000000</v>
      </c>
      <c r="N5" s="56">
        <f t="shared" si="0"/>
        <v>60000000</v>
      </c>
      <c r="O5" s="56">
        <f t="shared" si="0"/>
        <v>60000000</v>
      </c>
      <c r="P5" s="56">
        <f t="shared" si="0"/>
        <v>60000000</v>
      </c>
      <c r="Q5" s="56">
        <f t="shared" si="0"/>
        <v>60000000</v>
      </c>
      <c r="R5" s="56">
        <f t="shared" si="0"/>
        <v>60000000</v>
      </c>
      <c r="S5" s="56">
        <f>SUM(G5:R5)</f>
        <v>720000000</v>
      </c>
    </row>
    <row r="6" spans="2:19" x14ac:dyDescent="0.25">
      <c r="B6" s="58">
        <v>1</v>
      </c>
      <c r="C6" s="59" t="s">
        <v>110</v>
      </c>
      <c r="D6" s="60" t="s">
        <v>7</v>
      </c>
      <c r="E6" s="251">
        <v>60000000</v>
      </c>
      <c r="F6" s="61">
        <f>$E6*'Dinh bien_HCNS'!G6</f>
        <v>60000000</v>
      </c>
      <c r="G6" s="61">
        <f>$E6*'Dinh bien_HCNS'!H6</f>
        <v>60000000</v>
      </c>
      <c r="H6" s="61">
        <f>$E6*'Dinh bien_HCNS'!I6</f>
        <v>60000000</v>
      </c>
      <c r="I6" s="61">
        <f>$E6*'Dinh bien_HCNS'!J6</f>
        <v>60000000</v>
      </c>
      <c r="J6" s="61">
        <f>$E6*'Dinh bien_HCNS'!K6</f>
        <v>60000000</v>
      </c>
      <c r="K6" s="61">
        <f>$E6*'Dinh bien_HCNS'!L6</f>
        <v>60000000</v>
      </c>
      <c r="L6" s="61">
        <f>$E6*'Dinh bien_HCNS'!M6</f>
        <v>60000000</v>
      </c>
      <c r="M6" s="61">
        <f>$E6*'Dinh bien_HCNS'!N6</f>
        <v>60000000</v>
      </c>
      <c r="N6" s="61">
        <f>$E6*'Dinh bien_HCNS'!O6</f>
        <v>60000000</v>
      </c>
      <c r="O6" s="61">
        <f>$E6*'Dinh bien_HCNS'!P6</f>
        <v>60000000</v>
      </c>
      <c r="P6" s="61">
        <f>$E6*'Dinh bien_HCNS'!Q6</f>
        <v>60000000</v>
      </c>
      <c r="Q6" s="61">
        <f>$E6*'Dinh bien_HCNS'!R6</f>
        <v>60000000</v>
      </c>
      <c r="R6" s="61">
        <f>$E6*'Dinh bien_HCNS'!S6</f>
        <v>60000000</v>
      </c>
      <c r="S6" s="61">
        <f t="shared" ref="S6:S51" si="1">SUM(G6:R6)</f>
        <v>720000000</v>
      </c>
    </row>
    <row r="7" spans="2:19" x14ac:dyDescent="0.25">
      <c r="B7" s="58">
        <v>2</v>
      </c>
      <c r="C7" s="59" t="s">
        <v>111</v>
      </c>
      <c r="D7" s="60" t="s">
        <v>7</v>
      </c>
      <c r="E7" s="241"/>
      <c r="F7" s="61">
        <f>$E7*'Dinh bien_HCNS'!G7</f>
        <v>0</v>
      </c>
      <c r="G7" s="61">
        <f>$E7*'Dinh bien_HCNS'!H7</f>
        <v>0</v>
      </c>
      <c r="H7" s="61">
        <f>$E7*'Dinh bien_HCNS'!I7</f>
        <v>0</v>
      </c>
      <c r="I7" s="61">
        <f>$E7*'Dinh bien_HCNS'!J7</f>
        <v>0</v>
      </c>
      <c r="J7" s="61">
        <f>$E7*'Dinh bien_HCNS'!K7</f>
        <v>0</v>
      </c>
      <c r="K7" s="61">
        <f>$E7*'Dinh bien_HCNS'!L7</f>
        <v>0</v>
      </c>
      <c r="L7" s="61">
        <f>$E7*'Dinh bien_HCNS'!M7</f>
        <v>0</v>
      </c>
      <c r="M7" s="61">
        <f>$E7*'Dinh bien_HCNS'!N7</f>
        <v>0</v>
      </c>
      <c r="N7" s="61">
        <f>$E7*'Dinh bien_HCNS'!O7</f>
        <v>0</v>
      </c>
      <c r="O7" s="61">
        <f>$E7*'Dinh bien_HCNS'!P7</f>
        <v>0</v>
      </c>
      <c r="P7" s="61">
        <f>$E7*'Dinh bien_HCNS'!Q7</f>
        <v>0</v>
      </c>
      <c r="Q7" s="61">
        <f>$E7*'Dinh bien_HCNS'!R7</f>
        <v>0</v>
      </c>
      <c r="R7" s="61">
        <f>$E7*'Dinh bien_HCNS'!S7</f>
        <v>0</v>
      </c>
      <c r="S7" s="61">
        <f t="shared" si="1"/>
        <v>0</v>
      </c>
    </row>
    <row r="8" spans="2:19" s="57" customFormat="1" ht="13" x14ac:dyDescent="0.3">
      <c r="B8" s="53" t="s">
        <v>4</v>
      </c>
      <c r="C8" s="54" t="s">
        <v>138</v>
      </c>
      <c r="D8" s="55"/>
      <c r="E8" s="240"/>
      <c r="F8" s="56" t="e">
        <f>F9+F10+F11</f>
        <v>#REF!</v>
      </c>
      <c r="G8" s="56" t="e">
        <f>G9+G10+G11</f>
        <v>#REF!</v>
      </c>
      <c r="H8" s="56" t="e">
        <f>H9+H10+H11</f>
        <v>#REF!</v>
      </c>
      <c r="I8" s="56" t="e">
        <f>I9+I10+I11</f>
        <v>#REF!</v>
      </c>
      <c r="J8" s="56" t="e">
        <f t="shared" ref="J8:R8" si="2">J9+J10+J11</f>
        <v>#REF!</v>
      </c>
      <c r="K8" s="56" t="e">
        <f t="shared" si="2"/>
        <v>#REF!</v>
      </c>
      <c r="L8" s="56" t="e">
        <f t="shared" si="2"/>
        <v>#REF!</v>
      </c>
      <c r="M8" s="56" t="e">
        <f t="shared" si="2"/>
        <v>#REF!</v>
      </c>
      <c r="N8" s="56" t="e">
        <f t="shared" si="2"/>
        <v>#REF!</v>
      </c>
      <c r="O8" s="56" t="e">
        <f t="shared" si="2"/>
        <v>#REF!</v>
      </c>
      <c r="P8" s="56" t="e">
        <f t="shared" si="2"/>
        <v>#REF!</v>
      </c>
      <c r="Q8" s="56" t="e">
        <f t="shared" si="2"/>
        <v>#REF!</v>
      </c>
      <c r="R8" s="56" t="e">
        <f t="shared" si="2"/>
        <v>#REF!</v>
      </c>
      <c r="S8" s="56" t="e">
        <f t="shared" si="1"/>
        <v>#REF!</v>
      </c>
    </row>
    <row r="9" spans="2:19" x14ac:dyDescent="0.25">
      <c r="B9" s="58">
        <v>1</v>
      </c>
      <c r="C9" s="59" t="s">
        <v>116</v>
      </c>
      <c r="D9" s="60" t="s">
        <v>7</v>
      </c>
      <c r="E9" s="241"/>
      <c r="F9" s="61" t="e">
        <f>$E9*'Dinh bien_HCNS'!#REF!</f>
        <v>#REF!</v>
      </c>
      <c r="G9" s="61" t="e">
        <f>$E9*'Dinh bien_HCNS'!#REF!</f>
        <v>#REF!</v>
      </c>
      <c r="H9" s="61" t="e">
        <f>$E9*'Dinh bien_HCNS'!#REF!</f>
        <v>#REF!</v>
      </c>
      <c r="I9" s="61" t="e">
        <f>$E9*'Dinh bien_HCNS'!#REF!</f>
        <v>#REF!</v>
      </c>
      <c r="J9" s="61" t="e">
        <f>$E9*'Dinh bien_HCNS'!#REF!</f>
        <v>#REF!</v>
      </c>
      <c r="K9" s="61" t="e">
        <f>$E9*'Dinh bien_HCNS'!#REF!</f>
        <v>#REF!</v>
      </c>
      <c r="L9" s="61" t="e">
        <f>$E9*'Dinh bien_HCNS'!#REF!</f>
        <v>#REF!</v>
      </c>
      <c r="M9" s="61" t="e">
        <f>$E9*'Dinh bien_HCNS'!#REF!</f>
        <v>#REF!</v>
      </c>
      <c r="N9" s="61" t="e">
        <f>$E9*'Dinh bien_HCNS'!#REF!</f>
        <v>#REF!</v>
      </c>
      <c r="O9" s="61" t="e">
        <f>$E9*'Dinh bien_HCNS'!#REF!</f>
        <v>#REF!</v>
      </c>
      <c r="P9" s="61" t="e">
        <f>$E9*'Dinh bien_HCNS'!#REF!</f>
        <v>#REF!</v>
      </c>
      <c r="Q9" s="61" t="e">
        <f>$E9*'Dinh bien_HCNS'!#REF!</f>
        <v>#REF!</v>
      </c>
      <c r="R9" s="61" t="e">
        <f>$E9*'Dinh bien_HCNS'!#REF!</f>
        <v>#REF!</v>
      </c>
      <c r="S9" s="61" t="e">
        <f t="shared" si="1"/>
        <v>#REF!</v>
      </c>
    </row>
    <row r="10" spans="2:19" x14ac:dyDescent="0.25">
      <c r="B10" s="58">
        <v>2</v>
      </c>
      <c r="C10" s="59" t="s">
        <v>104</v>
      </c>
      <c r="D10" s="60" t="s">
        <v>7</v>
      </c>
      <c r="E10" s="241"/>
      <c r="F10" s="61" t="e">
        <f>$E10*'Dinh bien_HCNS'!#REF!</f>
        <v>#REF!</v>
      </c>
      <c r="G10" s="61" t="e">
        <f>$E10*'Dinh bien_HCNS'!#REF!</f>
        <v>#REF!</v>
      </c>
      <c r="H10" s="61" t="e">
        <f>$E10*'Dinh bien_HCNS'!#REF!</f>
        <v>#REF!</v>
      </c>
      <c r="I10" s="61" t="e">
        <f>$E10*'Dinh bien_HCNS'!#REF!</f>
        <v>#REF!</v>
      </c>
      <c r="J10" s="61" t="e">
        <f>$E10*'Dinh bien_HCNS'!#REF!</f>
        <v>#REF!</v>
      </c>
      <c r="K10" s="61" t="e">
        <f>$E10*'Dinh bien_HCNS'!#REF!</f>
        <v>#REF!</v>
      </c>
      <c r="L10" s="61" t="e">
        <f>$E10*'Dinh bien_HCNS'!#REF!</f>
        <v>#REF!</v>
      </c>
      <c r="M10" s="61" t="e">
        <f>$E10*'Dinh bien_HCNS'!#REF!</f>
        <v>#REF!</v>
      </c>
      <c r="N10" s="61" t="e">
        <f>$E10*'Dinh bien_HCNS'!#REF!</f>
        <v>#REF!</v>
      </c>
      <c r="O10" s="61" t="e">
        <f>$E10*'Dinh bien_HCNS'!#REF!</f>
        <v>#REF!</v>
      </c>
      <c r="P10" s="61" t="e">
        <f>$E10*'Dinh bien_HCNS'!#REF!</f>
        <v>#REF!</v>
      </c>
      <c r="Q10" s="61" t="e">
        <f>$E10*'Dinh bien_HCNS'!#REF!</f>
        <v>#REF!</v>
      </c>
      <c r="R10" s="61" t="e">
        <f>$E10*'Dinh bien_HCNS'!#REF!</f>
        <v>#REF!</v>
      </c>
      <c r="S10" s="61" t="e">
        <f t="shared" si="1"/>
        <v>#REF!</v>
      </c>
    </row>
    <row r="11" spans="2:19" x14ac:dyDescent="0.25">
      <c r="B11" s="58">
        <v>3</v>
      </c>
      <c r="C11" s="59" t="s">
        <v>119</v>
      </c>
      <c r="D11" s="60" t="s">
        <v>7</v>
      </c>
      <c r="E11" s="241">
        <v>14157444.75</v>
      </c>
      <c r="F11" s="61" t="e">
        <f>$E11*'Dinh bien_HCNS'!#REF!</f>
        <v>#REF!</v>
      </c>
      <c r="G11" s="61" t="e">
        <f>$E11*'Dinh bien_HCNS'!#REF!</f>
        <v>#REF!</v>
      </c>
      <c r="H11" s="61" t="e">
        <f>$E11*'Dinh bien_HCNS'!#REF!</f>
        <v>#REF!</v>
      </c>
      <c r="I11" s="61" t="e">
        <f>$E11*'Dinh bien_HCNS'!#REF!</f>
        <v>#REF!</v>
      </c>
      <c r="J11" s="61" t="e">
        <f>$E11*'Dinh bien_HCNS'!#REF!</f>
        <v>#REF!</v>
      </c>
      <c r="K11" s="61" t="e">
        <f>$E11*'Dinh bien_HCNS'!#REF!</f>
        <v>#REF!</v>
      </c>
      <c r="L11" s="61" t="e">
        <f>$E11*'Dinh bien_HCNS'!#REF!</f>
        <v>#REF!</v>
      </c>
      <c r="M11" s="61" t="e">
        <f>$E11*'Dinh bien_HCNS'!#REF!</f>
        <v>#REF!</v>
      </c>
      <c r="N11" s="61" t="e">
        <f>$E11*'Dinh bien_HCNS'!#REF!</f>
        <v>#REF!</v>
      </c>
      <c r="O11" s="61" t="e">
        <f>$E11*'Dinh bien_HCNS'!#REF!</f>
        <v>#REF!</v>
      </c>
      <c r="P11" s="61" t="e">
        <f>$E11*'Dinh bien_HCNS'!#REF!</f>
        <v>#REF!</v>
      </c>
      <c r="Q11" s="61" t="e">
        <f>$E11*'Dinh bien_HCNS'!#REF!</f>
        <v>#REF!</v>
      </c>
      <c r="R11" s="61" t="e">
        <f>$E11*'Dinh bien_HCNS'!#REF!</f>
        <v>#REF!</v>
      </c>
      <c r="S11" s="61" t="e">
        <f t="shared" si="1"/>
        <v>#REF!</v>
      </c>
    </row>
    <row r="12" spans="2:19" s="57" customFormat="1" ht="13" x14ac:dyDescent="0.3">
      <c r="B12" s="53" t="s">
        <v>9</v>
      </c>
      <c r="C12" s="54" t="s">
        <v>139</v>
      </c>
      <c r="D12" s="55"/>
      <c r="E12" s="240"/>
      <c r="F12" s="56">
        <f>F13</f>
        <v>0</v>
      </c>
      <c r="G12" s="56">
        <f t="shared" ref="G12:R12" si="3">G13</f>
        <v>0</v>
      </c>
      <c r="H12" s="56">
        <f t="shared" si="3"/>
        <v>0</v>
      </c>
      <c r="I12" s="56">
        <f t="shared" si="3"/>
        <v>0</v>
      </c>
      <c r="J12" s="56">
        <f t="shared" si="3"/>
        <v>0</v>
      </c>
      <c r="K12" s="56">
        <f t="shared" si="3"/>
        <v>0</v>
      </c>
      <c r="L12" s="56">
        <f t="shared" si="3"/>
        <v>0</v>
      </c>
      <c r="M12" s="56">
        <f t="shared" si="3"/>
        <v>0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1"/>
        <v>0</v>
      </c>
    </row>
    <row r="13" spans="2:19" x14ac:dyDescent="0.25">
      <c r="B13" s="58">
        <v>1</v>
      </c>
      <c r="C13" s="59" t="s">
        <v>112</v>
      </c>
      <c r="D13" s="60" t="s">
        <v>7</v>
      </c>
      <c r="E13" s="241">
        <v>13102591</v>
      </c>
      <c r="F13" s="61">
        <f>$E13*'Dinh bien_HCNS'!G77</f>
        <v>0</v>
      </c>
      <c r="G13" s="61">
        <f>$E13*'Dinh bien_HCNS'!H77</f>
        <v>0</v>
      </c>
      <c r="H13" s="61">
        <f>$E13*'Dinh bien_HCNS'!I77</f>
        <v>0</v>
      </c>
      <c r="I13" s="61">
        <f>$E13*'Dinh bien_HCNS'!J77</f>
        <v>0</v>
      </c>
      <c r="J13" s="61">
        <f>$E13*'Dinh bien_HCNS'!K77</f>
        <v>0</v>
      </c>
      <c r="K13" s="61">
        <f>$E13*'Dinh bien_HCNS'!L77</f>
        <v>0</v>
      </c>
      <c r="L13" s="61">
        <f>$E13*'Dinh bien_HCNS'!M77</f>
        <v>0</v>
      </c>
      <c r="M13" s="61">
        <f>$E13*'Dinh bien_HCNS'!N77</f>
        <v>0</v>
      </c>
      <c r="N13" s="61">
        <f>$E13*'Dinh bien_HCNS'!O77</f>
        <v>0</v>
      </c>
      <c r="O13" s="61">
        <f>$E13*'Dinh bien_HCNS'!P77</f>
        <v>0</v>
      </c>
      <c r="P13" s="61">
        <f>$E13*'Dinh bien_HCNS'!Q77</f>
        <v>0</v>
      </c>
      <c r="Q13" s="61">
        <f>$E13*'Dinh bien_HCNS'!R77</f>
        <v>0</v>
      </c>
      <c r="R13" s="61">
        <f>$E13*'Dinh bien_HCNS'!S77</f>
        <v>0</v>
      </c>
      <c r="S13" s="61">
        <f t="shared" si="1"/>
        <v>0</v>
      </c>
    </row>
    <row r="14" spans="2:19" s="57" customFormat="1" ht="13" x14ac:dyDescent="0.3">
      <c r="B14" s="53" t="s">
        <v>17</v>
      </c>
      <c r="C14" s="54" t="s">
        <v>140</v>
      </c>
      <c r="D14" s="55"/>
      <c r="E14" s="240"/>
      <c r="F14" s="56">
        <f>F15+F16+F17+F18+F19+F20</f>
        <v>10000000</v>
      </c>
      <c r="G14" s="56">
        <f t="shared" ref="G14:R14" si="4">G15+G16+G17+G18+G19+G20</f>
        <v>10000000</v>
      </c>
      <c r="H14" s="56">
        <f t="shared" si="4"/>
        <v>10000000</v>
      </c>
      <c r="I14" s="56">
        <f t="shared" si="4"/>
        <v>10000000</v>
      </c>
      <c r="J14" s="56">
        <f t="shared" si="4"/>
        <v>10000000</v>
      </c>
      <c r="K14" s="56">
        <f t="shared" si="4"/>
        <v>10000000</v>
      </c>
      <c r="L14" s="56">
        <f t="shared" si="4"/>
        <v>10000000</v>
      </c>
      <c r="M14" s="56">
        <f t="shared" si="4"/>
        <v>10000000</v>
      </c>
      <c r="N14" s="56">
        <f t="shared" si="4"/>
        <v>10000000</v>
      </c>
      <c r="O14" s="56">
        <f t="shared" si="4"/>
        <v>10000000</v>
      </c>
      <c r="P14" s="56">
        <f t="shared" si="4"/>
        <v>10000000</v>
      </c>
      <c r="Q14" s="56">
        <f t="shared" si="4"/>
        <v>10000000</v>
      </c>
      <c r="R14" s="56">
        <f t="shared" si="4"/>
        <v>10000000</v>
      </c>
      <c r="S14" s="56">
        <f t="shared" si="1"/>
        <v>120000000</v>
      </c>
    </row>
    <row r="15" spans="2:19" x14ac:dyDescent="0.25">
      <c r="B15" s="58">
        <v>1</v>
      </c>
      <c r="C15" s="59" t="s">
        <v>106</v>
      </c>
      <c r="D15" s="60" t="s">
        <v>7</v>
      </c>
      <c r="E15" s="251">
        <v>8000000</v>
      </c>
      <c r="F15" s="61">
        <f>$E15*'Dinh bien_HCNS'!G10</f>
        <v>0</v>
      </c>
      <c r="G15" s="61">
        <f>$E15*'Dinh bien_HCNS'!H10</f>
        <v>0</v>
      </c>
      <c r="H15" s="61">
        <f>$E15*'Dinh bien_HCNS'!I10</f>
        <v>0</v>
      </c>
      <c r="I15" s="61">
        <f>$E15*'Dinh bien_HCNS'!J10</f>
        <v>0</v>
      </c>
      <c r="J15" s="61">
        <f>$E15*'Dinh bien_HCNS'!K10</f>
        <v>0</v>
      </c>
      <c r="K15" s="61">
        <f>$E15*'Dinh bien_HCNS'!L10</f>
        <v>0</v>
      </c>
      <c r="L15" s="61">
        <f>$E15*'Dinh bien_HCNS'!M10</f>
        <v>0</v>
      </c>
      <c r="M15" s="61">
        <f>$E15*'Dinh bien_HCNS'!N10</f>
        <v>0</v>
      </c>
      <c r="N15" s="61">
        <f>$E15*'Dinh bien_HCNS'!O10</f>
        <v>0</v>
      </c>
      <c r="O15" s="61">
        <f>$E15*'Dinh bien_HCNS'!P10</f>
        <v>0</v>
      </c>
      <c r="P15" s="61">
        <f>$E15*'Dinh bien_HCNS'!Q10</f>
        <v>0</v>
      </c>
      <c r="Q15" s="61">
        <f>$E15*'Dinh bien_HCNS'!R10</f>
        <v>0</v>
      </c>
      <c r="R15" s="61">
        <f>$E15*'Dinh bien_HCNS'!S10</f>
        <v>0</v>
      </c>
      <c r="S15" s="61">
        <f t="shared" si="1"/>
        <v>0</v>
      </c>
    </row>
    <row r="16" spans="2:19" x14ac:dyDescent="0.25">
      <c r="B16" s="58">
        <v>2</v>
      </c>
      <c r="C16" s="59" t="s">
        <v>26</v>
      </c>
      <c r="D16" s="60" t="s">
        <v>7</v>
      </c>
      <c r="E16" s="251">
        <v>10000000</v>
      </c>
      <c r="F16" s="61">
        <f>$E16*'Dinh bien_HCNS'!G11</f>
        <v>10000000</v>
      </c>
      <c r="G16" s="61">
        <f>$E16*'Dinh bien_HCNS'!H11</f>
        <v>10000000</v>
      </c>
      <c r="H16" s="61">
        <f>$E16*'Dinh bien_HCNS'!I11</f>
        <v>10000000</v>
      </c>
      <c r="I16" s="61">
        <f>$E16*'Dinh bien_HCNS'!J11</f>
        <v>10000000</v>
      </c>
      <c r="J16" s="61">
        <f>$E16*'Dinh bien_HCNS'!K11</f>
        <v>10000000</v>
      </c>
      <c r="K16" s="61">
        <f>$E16*'Dinh bien_HCNS'!L11</f>
        <v>10000000</v>
      </c>
      <c r="L16" s="61">
        <f>$E16*'Dinh bien_HCNS'!M11</f>
        <v>10000000</v>
      </c>
      <c r="M16" s="61">
        <f>$E16*'Dinh bien_HCNS'!N11</f>
        <v>10000000</v>
      </c>
      <c r="N16" s="61">
        <f>$E16*'Dinh bien_HCNS'!O11</f>
        <v>10000000</v>
      </c>
      <c r="O16" s="61">
        <f>$E16*'Dinh bien_HCNS'!P11</f>
        <v>10000000</v>
      </c>
      <c r="P16" s="61">
        <f>$E16*'Dinh bien_HCNS'!Q11</f>
        <v>10000000</v>
      </c>
      <c r="Q16" s="61">
        <f>$E16*'Dinh bien_HCNS'!R11</f>
        <v>10000000</v>
      </c>
      <c r="R16" s="61">
        <f>$E16*'Dinh bien_HCNS'!S11</f>
        <v>10000000</v>
      </c>
      <c r="S16" s="61">
        <f t="shared" si="1"/>
        <v>120000000</v>
      </c>
    </row>
    <row r="17" spans="2:19" x14ac:dyDescent="0.25">
      <c r="B17" s="58">
        <v>3</v>
      </c>
      <c r="C17" s="59" t="s">
        <v>108</v>
      </c>
      <c r="D17" s="60" t="s">
        <v>7</v>
      </c>
      <c r="E17" s="241"/>
      <c r="F17" s="61">
        <f>$E17*'Dinh bien_HCNS'!G12</f>
        <v>0</v>
      </c>
      <c r="G17" s="61">
        <f>$E17*'Dinh bien_HCNS'!H12</f>
        <v>0</v>
      </c>
      <c r="H17" s="61">
        <f>$E17*'Dinh bien_HCNS'!I12</f>
        <v>0</v>
      </c>
      <c r="I17" s="61">
        <f>$E17*'Dinh bien_HCNS'!J12</f>
        <v>0</v>
      </c>
      <c r="J17" s="61">
        <f>$E17*'Dinh bien_HCNS'!K12</f>
        <v>0</v>
      </c>
      <c r="K17" s="61">
        <f>$E17*'Dinh bien_HCNS'!L12</f>
        <v>0</v>
      </c>
      <c r="L17" s="61">
        <f>$E17*'Dinh bien_HCNS'!M12</f>
        <v>0</v>
      </c>
      <c r="M17" s="61">
        <f>$E17*'Dinh bien_HCNS'!N12</f>
        <v>0</v>
      </c>
      <c r="N17" s="61">
        <f>$E17*'Dinh bien_HCNS'!O12</f>
        <v>0</v>
      </c>
      <c r="O17" s="61">
        <f>$E17*'Dinh bien_HCNS'!P12</f>
        <v>0</v>
      </c>
      <c r="P17" s="61">
        <f>$E17*'Dinh bien_HCNS'!Q12</f>
        <v>0</v>
      </c>
      <c r="Q17" s="61">
        <f>$E17*'Dinh bien_HCNS'!R12</f>
        <v>0</v>
      </c>
      <c r="R17" s="61">
        <f>$E17*'Dinh bien_HCNS'!S12</f>
        <v>0</v>
      </c>
      <c r="S17" s="61">
        <f t="shared" si="1"/>
        <v>0</v>
      </c>
    </row>
    <row r="18" spans="2:19" x14ac:dyDescent="0.25">
      <c r="B18" s="58">
        <v>4</v>
      </c>
      <c r="C18" s="59" t="s">
        <v>107</v>
      </c>
      <c r="D18" s="60" t="s">
        <v>7</v>
      </c>
      <c r="E18" s="352">
        <v>7000000</v>
      </c>
      <c r="F18" s="61">
        <f>$E18*'Dinh bien_HCNS'!G13</f>
        <v>0</v>
      </c>
      <c r="G18" s="61">
        <f>$E18*'Dinh bien_HCNS'!H13</f>
        <v>0</v>
      </c>
      <c r="H18" s="61">
        <f>$E18*'Dinh bien_HCNS'!I13</f>
        <v>0</v>
      </c>
      <c r="I18" s="61">
        <f>$E18*'Dinh bien_HCNS'!J13</f>
        <v>0</v>
      </c>
      <c r="J18" s="61">
        <f>$E18*'Dinh bien_HCNS'!K13</f>
        <v>0</v>
      </c>
      <c r="K18" s="61">
        <f>$E18*'Dinh bien_HCNS'!L13</f>
        <v>0</v>
      </c>
      <c r="L18" s="61">
        <f>$E18*'Dinh bien_HCNS'!M13</f>
        <v>0</v>
      </c>
      <c r="M18" s="61">
        <f>$E18*'Dinh bien_HCNS'!N13</f>
        <v>0</v>
      </c>
      <c r="N18" s="61">
        <f>$E18*'Dinh bien_HCNS'!O13</f>
        <v>0</v>
      </c>
      <c r="O18" s="61">
        <f>$E18*'Dinh bien_HCNS'!P13</f>
        <v>0</v>
      </c>
      <c r="P18" s="61">
        <f>$E18*'Dinh bien_HCNS'!Q13</f>
        <v>0</v>
      </c>
      <c r="Q18" s="61">
        <f>$E18*'Dinh bien_HCNS'!R13</f>
        <v>0</v>
      </c>
      <c r="R18" s="61">
        <f>$E18*'Dinh bien_HCNS'!S13</f>
        <v>0</v>
      </c>
      <c r="S18" s="61">
        <f t="shared" si="1"/>
        <v>0</v>
      </c>
    </row>
    <row r="19" spans="2:19" x14ac:dyDescent="0.25">
      <c r="B19" s="58">
        <v>5</v>
      </c>
      <c r="C19" s="59" t="s">
        <v>105</v>
      </c>
      <c r="D19" s="60" t="s">
        <v>7</v>
      </c>
      <c r="E19" s="241"/>
      <c r="F19" s="61">
        <f>$E19*'Dinh bien_HCNS'!G14</f>
        <v>0</v>
      </c>
      <c r="G19" s="61">
        <f>$E19*'Dinh bien_HCNS'!H14</f>
        <v>0</v>
      </c>
      <c r="H19" s="61">
        <f>$E19*'Dinh bien_HCNS'!I14</f>
        <v>0</v>
      </c>
      <c r="I19" s="61">
        <f>$E19*'Dinh bien_HCNS'!J14</f>
        <v>0</v>
      </c>
      <c r="J19" s="61">
        <f>$E19*'Dinh bien_HCNS'!K14</f>
        <v>0</v>
      </c>
      <c r="K19" s="61">
        <f>$E19*'Dinh bien_HCNS'!L14</f>
        <v>0</v>
      </c>
      <c r="L19" s="61">
        <f>$E19*'Dinh bien_HCNS'!M14</f>
        <v>0</v>
      </c>
      <c r="M19" s="61">
        <f>$E19*'Dinh bien_HCNS'!N14</f>
        <v>0</v>
      </c>
      <c r="N19" s="61">
        <f>$E19*'Dinh bien_HCNS'!O14</f>
        <v>0</v>
      </c>
      <c r="O19" s="61">
        <f>$E19*'Dinh bien_HCNS'!P14</f>
        <v>0</v>
      </c>
      <c r="P19" s="61">
        <f>$E19*'Dinh bien_HCNS'!Q14</f>
        <v>0</v>
      </c>
      <c r="Q19" s="61">
        <f>$E19*'Dinh bien_HCNS'!R14</f>
        <v>0</v>
      </c>
      <c r="R19" s="61">
        <f>$E19*'Dinh bien_HCNS'!S14</f>
        <v>0</v>
      </c>
      <c r="S19" s="61">
        <f t="shared" si="1"/>
        <v>0</v>
      </c>
    </row>
    <row r="20" spans="2:19" x14ac:dyDescent="0.25">
      <c r="B20" s="58">
        <v>6</v>
      </c>
      <c r="C20" s="59" t="s">
        <v>118</v>
      </c>
      <c r="D20" s="60" t="s">
        <v>7</v>
      </c>
      <c r="E20" s="241"/>
      <c r="F20" s="61">
        <f>$E20*'Dinh bien_HCNS'!G16</f>
        <v>0</v>
      </c>
      <c r="G20" s="61">
        <f>$E20*'Dinh bien_HCNS'!H16</f>
        <v>0</v>
      </c>
      <c r="H20" s="61">
        <f>$E20*'Dinh bien_HCNS'!I16</f>
        <v>0</v>
      </c>
      <c r="I20" s="61">
        <f>$E20*'Dinh bien_HCNS'!J16</f>
        <v>0</v>
      </c>
      <c r="J20" s="61">
        <f>$E20*'Dinh bien_HCNS'!K16</f>
        <v>0</v>
      </c>
      <c r="K20" s="61">
        <f>$E20*'Dinh bien_HCNS'!L16</f>
        <v>0</v>
      </c>
      <c r="L20" s="61">
        <f>$E20*'Dinh bien_HCNS'!M16</f>
        <v>0</v>
      </c>
      <c r="M20" s="61">
        <f>$E20*'Dinh bien_HCNS'!N16</f>
        <v>0</v>
      </c>
      <c r="N20" s="61">
        <f>$E20*'Dinh bien_HCNS'!O16</f>
        <v>0</v>
      </c>
      <c r="O20" s="61">
        <f>$E20*'Dinh bien_HCNS'!P16</f>
        <v>0</v>
      </c>
      <c r="P20" s="61">
        <f>$E20*'Dinh bien_HCNS'!Q16</f>
        <v>0</v>
      </c>
      <c r="Q20" s="61">
        <f>$E20*'Dinh bien_HCNS'!R16</f>
        <v>0</v>
      </c>
      <c r="R20" s="61">
        <f>$E20*'Dinh bien_HCNS'!S16</f>
        <v>0</v>
      </c>
      <c r="S20" s="61">
        <f t="shared" si="1"/>
        <v>0</v>
      </c>
    </row>
    <row r="21" spans="2:19" s="57" customFormat="1" ht="13" x14ac:dyDescent="0.3">
      <c r="B21" s="53" t="s">
        <v>18</v>
      </c>
      <c r="C21" s="54" t="s">
        <v>141</v>
      </c>
      <c r="D21" s="55"/>
      <c r="E21" s="240"/>
      <c r="F21" s="56">
        <f>F22+F23+F24</f>
        <v>40000000</v>
      </c>
      <c r="G21" s="56">
        <f t="shared" ref="G21:R21" si="5">G22+G23+G24</f>
        <v>12000000</v>
      </c>
      <c r="H21" s="56">
        <f t="shared" si="5"/>
        <v>12000000</v>
      </c>
      <c r="I21" s="56">
        <f t="shared" si="5"/>
        <v>40000000</v>
      </c>
      <c r="J21" s="56">
        <f t="shared" si="5"/>
        <v>40000000</v>
      </c>
      <c r="K21" s="56">
        <f t="shared" si="5"/>
        <v>40000000</v>
      </c>
      <c r="L21" s="56">
        <f t="shared" si="5"/>
        <v>40000000</v>
      </c>
      <c r="M21" s="56">
        <f t="shared" si="5"/>
        <v>40000000</v>
      </c>
      <c r="N21" s="56">
        <f t="shared" si="5"/>
        <v>40000000</v>
      </c>
      <c r="O21" s="56">
        <f t="shared" si="5"/>
        <v>40000000</v>
      </c>
      <c r="P21" s="56">
        <f t="shared" si="5"/>
        <v>40000000</v>
      </c>
      <c r="Q21" s="56">
        <f t="shared" si="5"/>
        <v>40000000</v>
      </c>
      <c r="R21" s="56">
        <f t="shared" si="5"/>
        <v>40000000</v>
      </c>
      <c r="S21" s="56">
        <f t="shared" si="1"/>
        <v>424000000</v>
      </c>
    </row>
    <row r="22" spans="2:19" x14ac:dyDescent="0.25">
      <c r="B22" s="58">
        <v>1</v>
      </c>
      <c r="C22" s="59" t="s">
        <v>51</v>
      </c>
      <c r="D22" s="60" t="s">
        <v>7</v>
      </c>
      <c r="E22" s="241">
        <v>28000000</v>
      </c>
      <c r="F22" s="61">
        <f>$E22*'Dinh bien_HCNS'!G18</f>
        <v>28000000</v>
      </c>
      <c r="G22" s="61"/>
      <c r="H22" s="61"/>
      <c r="I22" s="61">
        <f>$E22*'Dinh bien_HCNS'!J18</f>
        <v>28000000</v>
      </c>
      <c r="J22" s="61">
        <f>$E22*'Dinh bien_HCNS'!K18</f>
        <v>28000000</v>
      </c>
      <c r="K22" s="61">
        <f>$E22*'Dinh bien_HCNS'!L18</f>
        <v>28000000</v>
      </c>
      <c r="L22" s="61">
        <f>$E22*'Dinh bien_HCNS'!M18</f>
        <v>28000000</v>
      </c>
      <c r="M22" s="61">
        <f>$E22*'Dinh bien_HCNS'!N18</f>
        <v>28000000</v>
      </c>
      <c r="N22" s="61">
        <f>$E22*'Dinh bien_HCNS'!O18</f>
        <v>28000000</v>
      </c>
      <c r="O22" s="61">
        <f>$E22*'Dinh bien_HCNS'!P18</f>
        <v>28000000</v>
      </c>
      <c r="P22" s="61">
        <f>$E22*'Dinh bien_HCNS'!Q18</f>
        <v>28000000</v>
      </c>
      <c r="Q22" s="61">
        <f>$E22*'Dinh bien_HCNS'!R18</f>
        <v>28000000</v>
      </c>
      <c r="R22" s="61">
        <f>$E22*'Dinh bien_HCNS'!S18</f>
        <v>28000000</v>
      </c>
      <c r="S22" s="61">
        <f t="shared" si="1"/>
        <v>280000000</v>
      </c>
    </row>
    <row r="23" spans="2:19" x14ac:dyDescent="0.25">
      <c r="B23" s="58">
        <v>2</v>
      </c>
      <c r="C23" s="59" t="s">
        <v>120</v>
      </c>
      <c r="D23" s="60" t="s">
        <v>7</v>
      </c>
      <c r="E23" s="241">
        <v>12000000</v>
      </c>
      <c r="F23" s="61">
        <f>$E23*'Dinh bien_HCNS'!G19</f>
        <v>12000000</v>
      </c>
      <c r="G23" s="61">
        <f>$E23*'Dinh bien_HCNS'!H19</f>
        <v>12000000</v>
      </c>
      <c r="H23" s="61">
        <f>$E23*'Dinh bien_HCNS'!I19</f>
        <v>12000000</v>
      </c>
      <c r="I23" s="61">
        <f>$E23*'Dinh bien_HCNS'!J19</f>
        <v>12000000</v>
      </c>
      <c r="J23" s="61">
        <f>$E23*'Dinh bien_HCNS'!K19</f>
        <v>12000000</v>
      </c>
      <c r="K23" s="61">
        <f>$E23*'Dinh bien_HCNS'!L19</f>
        <v>12000000</v>
      </c>
      <c r="L23" s="61">
        <f>$E23*'Dinh bien_HCNS'!M19</f>
        <v>12000000</v>
      </c>
      <c r="M23" s="61">
        <f>$E23*'Dinh bien_HCNS'!N19</f>
        <v>12000000</v>
      </c>
      <c r="N23" s="61">
        <f>$E23*'Dinh bien_HCNS'!O19</f>
        <v>12000000</v>
      </c>
      <c r="O23" s="61">
        <f>$E23*'Dinh bien_HCNS'!P19</f>
        <v>12000000</v>
      </c>
      <c r="P23" s="61">
        <f>$E23*'Dinh bien_HCNS'!Q19</f>
        <v>12000000</v>
      </c>
      <c r="Q23" s="61">
        <f>$E23*'Dinh bien_HCNS'!R19</f>
        <v>12000000</v>
      </c>
      <c r="R23" s="61">
        <f>$E23*'Dinh bien_HCNS'!S19</f>
        <v>12000000</v>
      </c>
      <c r="S23" s="61">
        <f t="shared" si="1"/>
        <v>144000000</v>
      </c>
    </row>
    <row r="24" spans="2:19" x14ac:dyDescent="0.25">
      <c r="B24" s="58">
        <v>3</v>
      </c>
      <c r="C24" s="59" t="s">
        <v>27</v>
      </c>
      <c r="D24" s="60" t="s">
        <v>7</v>
      </c>
      <c r="E24" s="241">
        <v>10000000</v>
      </c>
      <c r="F24" s="61">
        <f>$E24*'Dinh bien_HCNS'!G21</f>
        <v>0</v>
      </c>
      <c r="G24" s="61">
        <f>$E24*'Dinh bien_HCNS'!H21</f>
        <v>0</v>
      </c>
      <c r="H24" s="61">
        <f>$E24*'Dinh bien_HCNS'!I21</f>
        <v>0</v>
      </c>
      <c r="I24" s="61">
        <f>$E24*'Dinh bien_HCNS'!J21</f>
        <v>0</v>
      </c>
      <c r="J24" s="61">
        <f>$E24*'Dinh bien_HCNS'!K21</f>
        <v>0</v>
      </c>
      <c r="K24" s="61">
        <f>$E24*'Dinh bien_HCNS'!L21</f>
        <v>0</v>
      </c>
      <c r="L24" s="61">
        <f>$E24*'Dinh bien_HCNS'!M21</f>
        <v>0</v>
      </c>
      <c r="M24" s="61">
        <f>$E24*'Dinh bien_HCNS'!N21</f>
        <v>0</v>
      </c>
      <c r="N24" s="61">
        <f>$E24*'Dinh bien_HCNS'!O21</f>
        <v>0</v>
      </c>
      <c r="O24" s="61">
        <f>$E24*'Dinh bien_HCNS'!P21</f>
        <v>0</v>
      </c>
      <c r="P24" s="61">
        <f>$E24*'Dinh bien_HCNS'!Q21</f>
        <v>0</v>
      </c>
      <c r="Q24" s="61">
        <f>$E24*'Dinh bien_HCNS'!R21</f>
        <v>0</v>
      </c>
      <c r="R24" s="61">
        <f>$E24*'Dinh bien_HCNS'!S21</f>
        <v>0</v>
      </c>
      <c r="S24" s="61">
        <f t="shared" si="1"/>
        <v>0</v>
      </c>
    </row>
    <row r="25" spans="2:19" s="57" customFormat="1" ht="13" x14ac:dyDescent="0.3">
      <c r="B25" s="53" t="s">
        <v>117</v>
      </c>
      <c r="C25" s="54" t="s">
        <v>101</v>
      </c>
      <c r="D25" s="55"/>
      <c r="E25" s="240"/>
      <c r="F25" s="56">
        <f>F26+F31+F32+F35</f>
        <v>43836365.346774191</v>
      </c>
      <c r="G25" s="56">
        <f t="shared" ref="G25:S25" si="6">G26+G31+G32+G35</f>
        <v>420575324.82258064</v>
      </c>
      <c r="H25" s="56">
        <f t="shared" si="6"/>
        <v>326388752.24193549</v>
      </c>
      <c r="I25" s="56">
        <f t="shared" si="6"/>
        <v>451970849.01612908</v>
      </c>
      <c r="J25" s="56">
        <f t="shared" si="6"/>
        <v>483366373.2096774</v>
      </c>
      <c r="K25" s="56">
        <f t="shared" si="6"/>
        <v>483366373.2096774</v>
      </c>
      <c r="L25" s="56">
        <f t="shared" si="6"/>
        <v>483366373.2096774</v>
      </c>
      <c r="M25" s="56">
        <f t="shared" si="6"/>
        <v>483366373.2096774</v>
      </c>
      <c r="N25" s="56">
        <f t="shared" si="6"/>
        <v>483366373.2096774</v>
      </c>
      <c r="O25" s="56">
        <f t="shared" si="6"/>
        <v>483366373.2096774</v>
      </c>
      <c r="P25" s="56">
        <f t="shared" si="6"/>
        <v>483366373.2096774</v>
      </c>
      <c r="Q25" s="56">
        <f t="shared" si="6"/>
        <v>483366373.2096774</v>
      </c>
      <c r="R25" s="56">
        <f t="shared" si="6"/>
        <v>483366373.2096774</v>
      </c>
      <c r="S25" s="56">
        <f t="shared" si="6"/>
        <v>5549232284.967741</v>
      </c>
    </row>
    <row r="26" spans="2:19" s="57" customFormat="1" ht="13" x14ac:dyDescent="0.3">
      <c r="B26" s="48">
        <v>1</v>
      </c>
      <c r="C26" s="62" t="s">
        <v>142</v>
      </c>
      <c r="D26" s="63"/>
      <c r="E26" s="243"/>
      <c r="F26" s="65">
        <f>F27+F28+F29+F30</f>
        <v>30000000</v>
      </c>
      <c r="G26" s="66">
        <f t="shared" ref="G26:R26" si="7">G27+G28+G29+G30</f>
        <v>30000000</v>
      </c>
      <c r="H26" s="66">
        <f t="shared" si="7"/>
        <v>30000000</v>
      </c>
      <c r="I26" s="66">
        <f t="shared" si="7"/>
        <v>30000000</v>
      </c>
      <c r="J26" s="66">
        <f t="shared" si="7"/>
        <v>30000000</v>
      </c>
      <c r="K26" s="66">
        <f t="shared" si="7"/>
        <v>30000000</v>
      </c>
      <c r="L26" s="66">
        <f t="shared" si="7"/>
        <v>30000000</v>
      </c>
      <c r="M26" s="66">
        <f t="shared" si="7"/>
        <v>30000000</v>
      </c>
      <c r="N26" s="66">
        <f t="shared" si="7"/>
        <v>30000000</v>
      </c>
      <c r="O26" s="66">
        <f t="shared" si="7"/>
        <v>30000000</v>
      </c>
      <c r="P26" s="66">
        <f t="shared" si="7"/>
        <v>30000000</v>
      </c>
      <c r="Q26" s="66">
        <f t="shared" si="7"/>
        <v>30000000</v>
      </c>
      <c r="R26" s="66">
        <f t="shared" si="7"/>
        <v>30000000</v>
      </c>
      <c r="S26" s="66">
        <f t="shared" si="1"/>
        <v>360000000</v>
      </c>
    </row>
    <row r="27" spans="2:19" x14ac:dyDescent="0.25">
      <c r="B27" s="67" t="s">
        <v>76</v>
      </c>
      <c r="C27" s="68" t="s">
        <v>114</v>
      </c>
      <c r="D27" s="60" t="s">
        <v>7</v>
      </c>
      <c r="E27" s="251">
        <v>20000000</v>
      </c>
      <c r="F27" s="61">
        <f>$E27*'Dinh bien_HCNS'!G53</f>
        <v>20000000</v>
      </c>
      <c r="G27" s="61">
        <f>$E27*'Dinh bien_HCNS'!H53</f>
        <v>20000000</v>
      </c>
      <c r="H27" s="61">
        <f>$E27*'Dinh bien_HCNS'!I53</f>
        <v>20000000</v>
      </c>
      <c r="I27" s="61">
        <f>$E27*'Dinh bien_HCNS'!J53</f>
        <v>20000000</v>
      </c>
      <c r="J27" s="61">
        <f>$E27*'Dinh bien_HCNS'!K53</f>
        <v>20000000</v>
      </c>
      <c r="K27" s="61">
        <f>$E27*'Dinh bien_HCNS'!L53</f>
        <v>20000000</v>
      </c>
      <c r="L27" s="61">
        <f>$E27*'Dinh bien_HCNS'!M53</f>
        <v>20000000</v>
      </c>
      <c r="M27" s="61">
        <f>$E27*'Dinh bien_HCNS'!N53</f>
        <v>20000000</v>
      </c>
      <c r="N27" s="61">
        <f>$E27*'Dinh bien_HCNS'!O53</f>
        <v>20000000</v>
      </c>
      <c r="O27" s="61">
        <f>$E27*'Dinh bien_HCNS'!P53</f>
        <v>20000000</v>
      </c>
      <c r="P27" s="61">
        <f>$E27*'Dinh bien_HCNS'!Q53</f>
        <v>20000000</v>
      </c>
      <c r="Q27" s="61">
        <f>$E27*'Dinh bien_HCNS'!R53</f>
        <v>20000000</v>
      </c>
      <c r="R27" s="61">
        <f>$E27*'Dinh bien_HCNS'!S53</f>
        <v>20000000</v>
      </c>
      <c r="S27" s="61">
        <f t="shared" si="1"/>
        <v>240000000</v>
      </c>
    </row>
    <row r="28" spans="2:19" x14ac:dyDescent="0.25">
      <c r="B28" s="67" t="s">
        <v>77</v>
      </c>
      <c r="C28" s="68" t="s">
        <v>115</v>
      </c>
      <c r="D28" s="60" t="s">
        <v>7</v>
      </c>
      <c r="E28" s="251"/>
      <c r="F28" s="61">
        <f>$E28*'Dinh bien_HCNS'!G54</f>
        <v>0</v>
      </c>
      <c r="G28" s="61">
        <f>$E28*'Dinh bien_HCNS'!H54</f>
        <v>0</v>
      </c>
      <c r="H28" s="61">
        <f>$E28*'Dinh bien_HCNS'!I54</f>
        <v>0</v>
      </c>
      <c r="I28" s="61">
        <f>$E28*'Dinh bien_HCNS'!J54</f>
        <v>0</v>
      </c>
      <c r="J28" s="61">
        <f>$E28*'Dinh bien_HCNS'!K54</f>
        <v>0</v>
      </c>
      <c r="K28" s="61">
        <f>$E28*'Dinh bien_HCNS'!L54</f>
        <v>0</v>
      </c>
      <c r="L28" s="61">
        <f>$E28*'Dinh bien_HCNS'!M54</f>
        <v>0</v>
      </c>
      <c r="M28" s="61">
        <f>$E28*'Dinh bien_HCNS'!N54</f>
        <v>0</v>
      </c>
      <c r="N28" s="61">
        <f>$E28*'Dinh bien_HCNS'!O54</f>
        <v>0</v>
      </c>
      <c r="O28" s="61">
        <f>$E28*'Dinh bien_HCNS'!P54</f>
        <v>0</v>
      </c>
      <c r="P28" s="61">
        <f>$E28*'Dinh bien_HCNS'!Q54</f>
        <v>0</v>
      </c>
      <c r="Q28" s="61">
        <f>$E28*'Dinh bien_HCNS'!R54</f>
        <v>0</v>
      </c>
      <c r="R28" s="61">
        <f>$E28*'Dinh bien_HCNS'!S54</f>
        <v>0</v>
      </c>
      <c r="S28" s="61">
        <f t="shared" si="1"/>
        <v>0</v>
      </c>
    </row>
    <row r="29" spans="2:19" x14ac:dyDescent="0.25">
      <c r="B29" s="67" t="s">
        <v>128</v>
      </c>
      <c r="C29" s="68" t="s">
        <v>133</v>
      </c>
      <c r="D29" s="60" t="s">
        <v>7</v>
      </c>
      <c r="E29" s="251">
        <v>10000000</v>
      </c>
      <c r="F29" s="61">
        <f>$E29*'Dinh bien_HCNS'!G55</f>
        <v>10000000</v>
      </c>
      <c r="G29" s="61">
        <f>$E29*'Dinh bien_HCNS'!H55</f>
        <v>10000000</v>
      </c>
      <c r="H29" s="61">
        <f>$E29*'Dinh bien_HCNS'!I55</f>
        <v>10000000</v>
      </c>
      <c r="I29" s="61">
        <f>$E29*'Dinh bien_HCNS'!J55</f>
        <v>10000000</v>
      </c>
      <c r="J29" s="61">
        <f>$E29*'Dinh bien_HCNS'!K55</f>
        <v>10000000</v>
      </c>
      <c r="K29" s="61">
        <f>$E29*'Dinh bien_HCNS'!L55</f>
        <v>10000000</v>
      </c>
      <c r="L29" s="61">
        <f>$E29*'Dinh bien_HCNS'!M55</f>
        <v>10000000</v>
      </c>
      <c r="M29" s="61">
        <f>$E29*'Dinh bien_HCNS'!N55</f>
        <v>10000000</v>
      </c>
      <c r="N29" s="61">
        <f>$E29*'Dinh bien_HCNS'!O55</f>
        <v>10000000</v>
      </c>
      <c r="O29" s="61">
        <f>$E29*'Dinh bien_HCNS'!P55</f>
        <v>10000000</v>
      </c>
      <c r="P29" s="61">
        <f>$E29*'Dinh bien_HCNS'!Q55</f>
        <v>10000000</v>
      </c>
      <c r="Q29" s="61">
        <f>$E29*'Dinh bien_HCNS'!R55</f>
        <v>10000000</v>
      </c>
      <c r="R29" s="61">
        <f>$E29*'Dinh bien_HCNS'!S55</f>
        <v>10000000</v>
      </c>
      <c r="S29" s="61">
        <f t="shared" si="1"/>
        <v>120000000</v>
      </c>
    </row>
    <row r="30" spans="2:19" x14ac:dyDescent="0.25">
      <c r="B30" s="67" t="s">
        <v>129</v>
      </c>
      <c r="C30" s="68" t="s">
        <v>126</v>
      </c>
      <c r="D30" s="60" t="s">
        <v>7</v>
      </c>
      <c r="E30" s="241"/>
      <c r="F30" s="61">
        <f>$E30*'Dinh bien_HCNS'!G56</f>
        <v>0</v>
      </c>
      <c r="G30" s="61">
        <f>$E30*'Dinh bien_HCNS'!H56</f>
        <v>0</v>
      </c>
      <c r="H30" s="61">
        <f>$E30*'Dinh bien_HCNS'!I56</f>
        <v>0</v>
      </c>
      <c r="I30" s="61">
        <f>$E30*'Dinh bien_HCNS'!J56</f>
        <v>0</v>
      </c>
      <c r="J30" s="61">
        <f>$E30*'Dinh bien_HCNS'!K56</f>
        <v>0</v>
      </c>
      <c r="K30" s="61">
        <f>$E30*'Dinh bien_HCNS'!L56</f>
        <v>0</v>
      </c>
      <c r="L30" s="61">
        <f>$E30*'Dinh bien_HCNS'!M56</f>
        <v>0</v>
      </c>
      <c r="M30" s="61">
        <f>$E30*'Dinh bien_HCNS'!N56</f>
        <v>0</v>
      </c>
      <c r="N30" s="61">
        <f>$E30*'Dinh bien_HCNS'!O56</f>
        <v>0</v>
      </c>
      <c r="O30" s="61">
        <f>$E30*'Dinh bien_HCNS'!P56</f>
        <v>0</v>
      </c>
      <c r="P30" s="61">
        <f>$E30*'Dinh bien_HCNS'!Q56</f>
        <v>0</v>
      </c>
      <c r="Q30" s="61">
        <f>$E30*'Dinh bien_HCNS'!R56</f>
        <v>0</v>
      </c>
      <c r="R30" s="61">
        <f>$E30*'Dinh bien_HCNS'!S56</f>
        <v>0</v>
      </c>
      <c r="S30" s="61">
        <f t="shared" si="1"/>
        <v>0</v>
      </c>
    </row>
    <row r="31" spans="2:19" s="57" customFormat="1" ht="13" x14ac:dyDescent="0.3">
      <c r="B31" s="48">
        <v>2</v>
      </c>
      <c r="C31" s="62" t="s">
        <v>143</v>
      </c>
      <c r="D31" s="63" t="s">
        <v>7</v>
      </c>
      <c r="E31" s="243">
        <v>13829034.5</v>
      </c>
      <c r="F31" s="65">
        <f>$E31*'Dinh bien_HCNS'!G67</f>
        <v>13829034.5</v>
      </c>
      <c r="G31" s="65">
        <f>$E31*'Dinh bien_HCNS'!H67</f>
        <v>13829034.5</v>
      </c>
      <c r="H31" s="65">
        <f>$E31*'Dinh bien_HCNS'!I67</f>
        <v>13829034.5</v>
      </c>
      <c r="I31" s="65">
        <f>$E31*'Dinh bien_HCNS'!J67</f>
        <v>13829034.5</v>
      </c>
      <c r="J31" s="65">
        <f>$E31*'Dinh bien_HCNS'!K67</f>
        <v>13829034.5</v>
      </c>
      <c r="K31" s="65">
        <f>$E31*'Dinh bien_HCNS'!L67</f>
        <v>13829034.5</v>
      </c>
      <c r="L31" s="65">
        <f>$E31*'Dinh bien_HCNS'!M67</f>
        <v>13829034.5</v>
      </c>
      <c r="M31" s="65">
        <f>$E31*'Dinh bien_HCNS'!N67</f>
        <v>13829034.5</v>
      </c>
      <c r="N31" s="65">
        <f>$E31*'Dinh bien_HCNS'!O67</f>
        <v>13829034.5</v>
      </c>
      <c r="O31" s="65">
        <f>$E31*'Dinh bien_HCNS'!P67</f>
        <v>13829034.5</v>
      </c>
      <c r="P31" s="65">
        <f>$E31*'Dinh bien_HCNS'!Q67</f>
        <v>13829034.5</v>
      </c>
      <c r="Q31" s="65">
        <f>$E31*'Dinh bien_HCNS'!R67</f>
        <v>13829034.5</v>
      </c>
      <c r="R31" s="65">
        <f>$E31*'Dinh bien_HCNS'!S67</f>
        <v>13829034.5</v>
      </c>
      <c r="S31" s="65">
        <f t="shared" si="1"/>
        <v>165948414</v>
      </c>
    </row>
    <row r="32" spans="2:19" s="57" customFormat="1" ht="13" x14ac:dyDescent="0.3">
      <c r="B32" s="48">
        <v>3</v>
      </c>
      <c r="C32" s="69" t="s">
        <v>144</v>
      </c>
      <c r="D32" s="174" t="s">
        <v>8</v>
      </c>
      <c r="E32" s="244">
        <f>E33+E34</f>
        <v>705.91397849462373</v>
      </c>
      <c r="F32" s="65">
        <f>F33+F34</f>
        <v>7330.8467741935483</v>
      </c>
      <c r="G32" s="65">
        <f>G33+G34</f>
        <v>376746290.32258064</v>
      </c>
      <c r="H32" s="65">
        <f t="shared" ref="H32:R32" si="8">H33+H34</f>
        <v>282559717.74193549</v>
      </c>
      <c r="I32" s="65">
        <f t="shared" si="8"/>
        <v>408141814.51612908</v>
      </c>
      <c r="J32" s="65">
        <f t="shared" si="8"/>
        <v>439537338.7096774</v>
      </c>
      <c r="K32" s="65">
        <f>K33+K34</f>
        <v>439537338.7096774</v>
      </c>
      <c r="L32" s="65">
        <f t="shared" si="8"/>
        <v>439537338.7096774</v>
      </c>
      <c r="M32" s="65">
        <f t="shared" si="8"/>
        <v>439537338.7096774</v>
      </c>
      <c r="N32" s="65">
        <f t="shared" si="8"/>
        <v>439537338.7096774</v>
      </c>
      <c r="O32" s="65">
        <f t="shared" si="8"/>
        <v>439537338.7096774</v>
      </c>
      <c r="P32" s="65">
        <f t="shared" si="8"/>
        <v>439537338.7096774</v>
      </c>
      <c r="Q32" s="65">
        <f t="shared" si="8"/>
        <v>439537338.7096774</v>
      </c>
      <c r="R32" s="65">
        <f t="shared" si="8"/>
        <v>439537338.7096774</v>
      </c>
      <c r="S32" s="65">
        <f>SUM(G32:R32)</f>
        <v>5023283870.967741</v>
      </c>
    </row>
    <row r="33" spans="1:19" x14ac:dyDescent="0.25">
      <c r="B33" s="67" t="s">
        <v>76</v>
      </c>
      <c r="C33" s="68" t="s">
        <v>135</v>
      </c>
      <c r="D33" s="70" t="s">
        <v>52</v>
      </c>
      <c r="E33" s="248">
        <f>'Dinh muc'!$G$8</f>
        <v>579.23387096774195</v>
      </c>
      <c r="F33" s="61">
        <f>$E33*'Dinh bien_HCNS'!G58</f>
        <v>6950.8064516129034</v>
      </c>
      <c r="G33" s="61">
        <f>$E$33*'3.Thanh pham'!H$78</f>
        <v>309137116.93548387</v>
      </c>
      <c r="H33" s="61">
        <f>$E$33*'3.Thanh pham'!I$78</f>
        <v>231852837.70161292</v>
      </c>
      <c r="I33" s="61">
        <f>$E$33*'3.Thanh pham'!J$78</f>
        <v>334898543.34677422</v>
      </c>
      <c r="J33" s="61">
        <f>$E$33*'3.Thanh pham'!K$78</f>
        <v>360659969.75806451</v>
      </c>
      <c r="K33" s="61">
        <f>$E$33*'3.Thanh pham'!L$78</f>
        <v>360659969.75806451</v>
      </c>
      <c r="L33" s="61">
        <f>$E$33*'3.Thanh pham'!M$78</f>
        <v>360659969.75806451</v>
      </c>
      <c r="M33" s="61">
        <f>$E$33*'3.Thanh pham'!N$78</f>
        <v>360659969.75806451</v>
      </c>
      <c r="N33" s="61">
        <f>$E$33*'3.Thanh pham'!O$78</f>
        <v>360659969.75806451</v>
      </c>
      <c r="O33" s="61">
        <f>$E$33*'3.Thanh pham'!P$78</f>
        <v>360659969.75806451</v>
      </c>
      <c r="P33" s="61">
        <f>$E$33*'3.Thanh pham'!Q$78</f>
        <v>360659969.75806451</v>
      </c>
      <c r="Q33" s="61">
        <f>$E$33*'3.Thanh pham'!R$78</f>
        <v>360659969.75806451</v>
      </c>
      <c r="R33" s="61">
        <f>$E$33*'3.Thanh pham'!S$78</f>
        <v>360659969.75806451</v>
      </c>
      <c r="S33" s="61">
        <f t="shared" si="1"/>
        <v>4121828225.8064508</v>
      </c>
    </row>
    <row r="34" spans="1:19" x14ac:dyDescent="0.25">
      <c r="B34" s="67" t="s">
        <v>77</v>
      </c>
      <c r="C34" s="68" t="s">
        <v>109</v>
      </c>
      <c r="D34" s="70" t="s">
        <v>52</v>
      </c>
      <c r="E34" s="248">
        <f>'Dinh muc'!$G$9</f>
        <v>126.68010752688173</v>
      </c>
      <c r="F34" s="61">
        <f>$E34*'Dinh bien_HCNS'!G59</f>
        <v>380.04032258064518</v>
      </c>
      <c r="G34" s="61">
        <f>$E$34*'3.Thanh pham'!H$78</f>
        <v>67609173.387096778</v>
      </c>
      <c r="H34" s="61">
        <f>$E$34*'3.Thanh pham'!I$78</f>
        <v>50706880.040322587</v>
      </c>
      <c r="I34" s="61">
        <f>$E$34*'3.Thanh pham'!J$78</f>
        <v>73243271.169354841</v>
      </c>
      <c r="J34" s="61">
        <f>$E$34*'3.Thanh pham'!K$78</f>
        <v>78877368.951612905</v>
      </c>
      <c r="K34" s="61">
        <f>$E$34*'3.Thanh pham'!L$78</f>
        <v>78877368.951612905</v>
      </c>
      <c r="L34" s="61">
        <f>$E$34*'3.Thanh pham'!M$78</f>
        <v>78877368.951612905</v>
      </c>
      <c r="M34" s="61">
        <f>$E$34*'3.Thanh pham'!N$78</f>
        <v>78877368.951612905</v>
      </c>
      <c r="N34" s="61">
        <f>$E$34*'3.Thanh pham'!O$78</f>
        <v>78877368.951612905</v>
      </c>
      <c r="O34" s="61">
        <f>$E$34*'3.Thanh pham'!P$78</f>
        <v>78877368.951612905</v>
      </c>
      <c r="P34" s="61">
        <f>$E$34*'3.Thanh pham'!Q$78</f>
        <v>78877368.951612905</v>
      </c>
      <c r="Q34" s="61">
        <f>$E$34*'3.Thanh pham'!R$78</f>
        <v>78877368.951612905</v>
      </c>
      <c r="R34" s="61">
        <f>$E$34*'3.Thanh pham'!S$78</f>
        <v>78877368.951612905</v>
      </c>
      <c r="S34" s="61">
        <f t="shared" si="1"/>
        <v>901455645.16129053</v>
      </c>
    </row>
    <row r="35" spans="1:19" s="57" customFormat="1" ht="26" x14ac:dyDescent="0.3">
      <c r="A35" s="5"/>
      <c r="B35" s="48">
        <v>4</v>
      </c>
      <c r="C35" s="69" t="s">
        <v>310</v>
      </c>
      <c r="D35" s="79"/>
      <c r="E35" s="244">
        <f>E36+E37</f>
        <v>18083854.041666664</v>
      </c>
      <c r="F35" s="65">
        <f>F36+F37</f>
        <v>0</v>
      </c>
      <c r="G35" s="65">
        <f>G36+G37</f>
        <v>0</v>
      </c>
      <c r="H35" s="65">
        <f t="shared" ref="H35:R35" si="9">H36+H37</f>
        <v>0</v>
      </c>
      <c r="I35" s="65">
        <f t="shared" si="9"/>
        <v>0</v>
      </c>
      <c r="J35" s="65">
        <f t="shared" si="9"/>
        <v>0</v>
      </c>
      <c r="K35" s="65">
        <f t="shared" si="9"/>
        <v>0</v>
      </c>
      <c r="L35" s="65">
        <f t="shared" si="9"/>
        <v>0</v>
      </c>
      <c r="M35" s="65">
        <f t="shared" si="9"/>
        <v>0</v>
      </c>
      <c r="N35" s="65">
        <f t="shared" si="9"/>
        <v>0</v>
      </c>
      <c r="O35" s="65">
        <f t="shared" si="9"/>
        <v>0</v>
      </c>
      <c r="P35" s="65">
        <f t="shared" si="9"/>
        <v>0</v>
      </c>
      <c r="Q35" s="65">
        <f t="shared" si="9"/>
        <v>0</v>
      </c>
      <c r="R35" s="65">
        <f t="shared" si="9"/>
        <v>0</v>
      </c>
      <c r="S35" s="65">
        <f>SUM(G35:R35)</f>
        <v>0</v>
      </c>
    </row>
    <row r="36" spans="1:19" x14ac:dyDescent="0.25">
      <c r="A36" s="6"/>
      <c r="B36" s="67" t="s">
        <v>76</v>
      </c>
      <c r="C36" s="68" t="s">
        <v>135</v>
      </c>
      <c r="D36" s="78"/>
      <c r="E36" s="242">
        <v>11083854.041666666</v>
      </c>
      <c r="F36" s="61">
        <f>$E36*'Dinh bien_HCNS'!G65</f>
        <v>0</v>
      </c>
      <c r="G36" s="61">
        <f>$E36*'Dinh bien_HCNS'!H65</f>
        <v>0</v>
      </c>
      <c r="H36" s="61">
        <f>$E36*'Dinh bien_HCNS'!I65</f>
        <v>0</v>
      </c>
      <c r="I36" s="61">
        <f>$E36*'Dinh bien_HCNS'!J65</f>
        <v>0</v>
      </c>
      <c r="J36" s="61">
        <f>$E36*'Dinh bien_HCNS'!K65</f>
        <v>0</v>
      </c>
      <c r="K36" s="61">
        <f>$E36*'Dinh bien_HCNS'!L65</f>
        <v>0</v>
      </c>
      <c r="L36" s="61">
        <f>$E36*'Dinh bien_HCNS'!M65</f>
        <v>0</v>
      </c>
      <c r="M36" s="61">
        <f>$E36*'Dinh bien_HCNS'!N65</f>
        <v>0</v>
      </c>
      <c r="N36" s="61">
        <f>$E36*'Dinh bien_HCNS'!O65</f>
        <v>0</v>
      </c>
      <c r="O36" s="61">
        <f>$E36*'Dinh bien_HCNS'!P65</f>
        <v>0</v>
      </c>
      <c r="P36" s="61">
        <f>$E36*'Dinh bien_HCNS'!Q65</f>
        <v>0</v>
      </c>
      <c r="Q36" s="61">
        <f>$E36*'Dinh bien_HCNS'!R65</f>
        <v>0</v>
      </c>
      <c r="R36" s="61">
        <f>$E36*'Dinh bien_HCNS'!S65</f>
        <v>0</v>
      </c>
      <c r="S36" s="61">
        <f>SUM(G36:R36)</f>
        <v>0</v>
      </c>
    </row>
    <row r="37" spans="1:19" x14ac:dyDescent="0.25">
      <c r="A37" s="6"/>
      <c r="B37" s="67" t="s">
        <v>77</v>
      </c>
      <c r="C37" s="68" t="s">
        <v>109</v>
      </c>
      <c r="D37" s="78"/>
      <c r="E37" s="242">
        <v>7000000</v>
      </c>
      <c r="F37" s="61">
        <f>$E37*'Dinh bien_HCNS'!G66</f>
        <v>0</v>
      </c>
      <c r="G37" s="61">
        <f>$E37*'Dinh bien_HCNS'!H66</f>
        <v>0</v>
      </c>
      <c r="H37" s="61">
        <f>$E37*'Dinh bien_HCNS'!I66</f>
        <v>0</v>
      </c>
      <c r="I37" s="61">
        <f>$E37*'Dinh bien_HCNS'!J66</f>
        <v>0</v>
      </c>
      <c r="J37" s="61">
        <f>$E37*'Dinh bien_HCNS'!K66</f>
        <v>0</v>
      </c>
      <c r="K37" s="61">
        <f>$E37*'Dinh bien_HCNS'!L66</f>
        <v>0</v>
      </c>
      <c r="L37" s="61">
        <f>$E37*'Dinh bien_HCNS'!M66</f>
        <v>0</v>
      </c>
      <c r="M37" s="61">
        <f>$E37*'Dinh bien_HCNS'!N66</f>
        <v>0</v>
      </c>
      <c r="N37" s="61">
        <f>$E37*'Dinh bien_HCNS'!O66</f>
        <v>0</v>
      </c>
      <c r="O37" s="61">
        <f>$E37*'Dinh bien_HCNS'!P66</f>
        <v>0</v>
      </c>
      <c r="P37" s="61">
        <f>$E37*'Dinh bien_HCNS'!Q66</f>
        <v>0</v>
      </c>
      <c r="Q37" s="61">
        <f>$E37*'Dinh bien_HCNS'!R66</f>
        <v>0</v>
      </c>
      <c r="R37" s="61">
        <f>$E37*'Dinh bien_HCNS'!S66</f>
        <v>0</v>
      </c>
      <c r="S37" s="61">
        <f>SUM(G37:R37)</f>
        <v>0</v>
      </c>
    </row>
    <row r="38" spans="1:19" s="57" customFormat="1" ht="13" x14ac:dyDescent="0.3">
      <c r="B38" s="53" t="s">
        <v>130</v>
      </c>
      <c r="C38" s="54" t="s">
        <v>145</v>
      </c>
      <c r="D38" s="55"/>
      <c r="E38" s="240"/>
      <c r="F38" s="56">
        <f>SUM(F39:F45)</f>
        <v>21000000</v>
      </c>
      <c r="G38" s="56">
        <f t="shared" ref="G38:R38" si="10">SUM(G39:G45)</f>
        <v>21000000</v>
      </c>
      <c r="H38" s="56">
        <f t="shared" si="10"/>
        <v>21000000</v>
      </c>
      <c r="I38" s="56">
        <f t="shared" si="10"/>
        <v>21000000</v>
      </c>
      <c r="J38" s="56">
        <f t="shared" si="10"/>
        <v>21000000</v>
      </c>
      <c r="K38" s="56">
        <f t="shared" si="10"/>
        <v>21000000</v>
      </c>
      <c r="L38" s="56">
        <f t="shared" si="10"/>
        <v>21000000</v>
      </c>
      <c r="M38" s="56">
        <f t="shared" si="10"/>
        <v>21000000</v>
      </c>
      <c r="N38" s="56">
        <f t="shared" si="10"/>
        <v>21000000</v>
      </c>
      <c r="O38" s="56">
        <f t="shared" si="10"/>
        <v>21000000</v>
      </c>
      <c r="P38" s="56">
        <f t="shared" si="10"/>
        <v>21000000</v>
      </c>
      <c r="Q38" s="56">
        <f t="shared" si="10"/>
        <v>21000000</v>
      </c>
      <c r="R38" s="56">
        <f t="shared" si="10"/>
        <v>21000000</v>
      </c>
      <c r="S38" s="56">
        <f t="shared" si="1"/>
        <v>252000000</v>
      </c>
    </row>
    <row r="39" spans="1:19" x14ac:dyDescent="0.25">
      <c r="B39" s="58">
        <v>1</v>
      </c>
      <c r="C39" s="59" t="s">
        <v>103</v>
      </c>
      <c r="D39" s="60" t="s">
        <v>7</v>
      </c>
      <c r="E39" s="241"/>
      <c r="F39" s="61">
        <f>$E39*'Dinh bien_HCNS'!G44</f>
        <v>0</v>
      </c>
      <c r="G39" s="61">
        <f>$E39*'Dinh bien_HCNS'!H44</f>
        <v>0</v>
      </c>
      <c r="H39" s="61">
        <f>$E39*'Dinh bien_HCNS'!I44</f>
        <v>0</v>
      </c>
      <c r="I39" s="61">
        <f>$E39*'Dinh bien_HCNS'!J44</f>
        <v>0</v>
      </c>
      <c r="J39" s="61">
        <f>$E39*'Dinh bien_HCNS'!K44</f>
        <v>0</v>
      </c>
      <c r="K39" s="61">
        <f>$E39*'Dinh bien_HCNS'!L44</f>
        <v>0</v>
      </c>
      <c r="L39" s="61">
        <f>$E39*'Dinh bien_HCNS'!M44</f>
        <v>0</v>
      </c>
      <c r="M39" s="61">
        <f>$E39*'Dinh bien_HCNS'!N44</f>
        <v>0</v>
      </c>
      <c r="N39" s="61">
        <f>$E39*'Dinh bien_HCNS'!O44</f>
        <v>0</v>
      </c>
      <c r="O39" s="61">
        <f>$E39*'Dinh bien_HCNS'!P44</f>
        <v>0</v>
      </c>
      <c r="P39" s="61">
        <f>$E39*'Dinh bien_HCNS'!Q44</f>
        <v>0</v>
      </c>
      <c r="Q39" s="61">
        <f>$E39*'Dinh bien_HCNS'!R44</f>
        <v>0</v>
      </c>
      <c r="R39" s="61">
        <f>$E39*'Dinh bien_HCNS'!S44</f>
        <v>0</v>
      </c>
      <c r="S39" s="61">
        <f t="shared" si="1"/>
        <v>0</v>
      </c>
    </row>
    <row r="40" spans="1:19" x14ac:dyDescent="0.25">
      <c r="B40" s="58">
        <v>2</v>
      </c>
      <c r="C40" s="59" t="s">
        <v>125</v>
      </c>
      <c r="D40" s="60" t="s">
        <v>7</v>
      </c>
      <c r="E40" s="241">
        <v>7000000</v>
      </c>
      <c r="F40" s="61">
        <f>$E40*'Dinh bien_HCNS'!G45</f>
        <v>0</v>
      </c>
      <c r="G40" s="61">
        <f>$E40*'Dinh bien_HCNS'!H45</f>
        <v>0</v>
      </c>
      <c r="H40" s="61">
        <f>$E40*'Dinh bien_HCNS'!I45</f>
        <v>0</v>
      </c>
      <c r="I40" s="61">
        <f>$E40*'Dinh bien_HCNS'!J45</f>
        <v>0</v>
      </c>
      <c r="J40" s="61">
        <f>$E40*'Dinh bien_HCNS'!K45</f>
        <v>0</v>
      </c>
      <c r="K40" s="61">
        <f>$E40*'Dinh bien_HCNS'!L45</f>
        <v>0</v>
      </c>
      <c r="L40" s="61">
        <f>$E40*'Dinh bien_HCNS'!M45</f>
        <v>0</v>
      </c>
      <c r="M40" s="61">
        <f>$E40*'Dinh bien_HCNS'!N45</f>
        <v>0</v>
      </c>
      <c r="N40" s="61">
        <f>$E40*'Dinh bien_HCNS'!O45</f>
        <v>0</v>
      </c>
      <c r="O40" s="61">
        <f>$E40*'Dinh bien_HCNS'!P45</f>
        <v>0</v>
      </c>
      <c r="P40" s="61">
        <f>$E40*'Dinh bien_HCNS'!Q45</f>
        <v>0</v>
      </c>
      <c r="Q40" s="61">
        <f>$E40*'Dinh bien_HCNS'!R45</f>
        <v>0</v>
      </c>
      <c r="R40" s="61">
        <f>$E40*'Dinh bien_HCNS'!S45</f>
        <v>0</v>
      </c>
      <c r="S40" s="61">
        <f t="shared" si="1"/>
        <v>0</v>
      </c>
    </row>
    <row r="41" spans="1:19" x14ac:dyDescent="0.25">
      <c r="B41" s="58">
        <v>3</v>
      </c>
      <c r="C41" s="59" t="s">
        <v>134</v>
      </c>
      <c r="D41" s="174" t="s">
        <v>8</v>
      </c>
      <c r="E41" s="241">
        <v>10000000</v>
      </c>
      <c r="F41" s="61">
        <f>$E41*'Dinh bien_HCNS'!G46</f>
        <v>0</v>
      </c>
      <c r="G41" s="61">
        <f>$E41*'Dinh bien_HCNS'!H46</f>
        <v>0</v>
      </c>
      <c r="H41" s="61">
        <f>$E41*'Dinh bien_HCNS'!I46</f>
        <v>0</v>
      </c>
      <c r="I41" s="61">
        <f>$E41*'Dinh bien_HCNS'!J46</f>
        <v>0</v>
      </c>
      <c r="J41" s="61">
        <f>$E41*'Dinh bien_HCNS'!K46</f>
        <v>0</v>
      </c>
      <c r="K41" s="61">
        <f>$E41*'Dinh bien_HCNS'!L46</f>
        <v>0</v>
      </c>
      <c r="L41" s="61">
        <f>$E41*'Dinh bien_HCNS'!M46</f>
        <v>0</v>
      </c>
      <c r="M41" s="61">
        <f>$E41*'Dinh bien_HCNS'!N46</f>
        <v>0</v>
      </c>
      <c r="N41" s="61">
        <f>$E41*'Dinh bien_HCNS'!O46</f>
        <v>0</v>
      </c>
      <c r="O41" s="61">
        <f>$E41*'Dinh bien_HCNS'!P46</f>
        <v>0</v>
      </c>
      <c r="P41" s="61">
        <f>$E41*'Dinh bien_HCNS'!Q46</f>
        <v>0</v>
      </c>
      <c r="Q41" s="61">
        <f>$E41*'Dinh bien_HCNS'!R46</f>
        <v>0</v>
      </c>
      <c r="R41" s="61">
        <f>$E41*'Dinh bien_HCNS'!S46</f>
        <v>0</v>
      </c>
      <c r="S41" s="61">
        <f t="shared" si="1"/>
        <v>0</v>
      </c>
    </row>
    <row r="42" spans="1:19" x14ac:dyDescent="0.25">
      <c r="B42" s="58">
        <v>4</v>
      </c>
      <c r="C42" s="59" t="s">
        <v>102</v>
      </c>
      <c r="D42" s="60" t="s">
        <v>7</v>
      </c>
      <c r="E42" s="241">
        <v>7000000</v>
      </c>
      <c r="F42" s="61">
        <f>$E42*'Dinh bien_HCNS'!G47</f>
        <v>14000000</v>
      </c>
      <c r="G42" s="61">
        <f>$E42*'Dinh bien_HCNS'!H47</f>
        <v>7000000</v>
      </c>
      <c r="H42" s="61">
        <f>$E42*'Dinh bien_HCNS'!I47</f>
        <v>7000000</v>
      </c>
      <c r="I42" s="61">
        <f>$E42*'Dinh bien_HCNS'!J47</f>
        <v>7000000</v>
      </c>
      <c r="J42" s="61">
        <f>$E42*'Dinh bien_HCNS'!K47</f>
        <v>7000000</v>
      </c>
      <c r="K42" s="61">
        <f>$E42*'Dinh bien_HCNS'!L47</f>
        <v>7000000</v>
      </c>
      <c r="L42" s="61">
        <f>$E42*'Dinh bien_HCNS'!M47</f>
        <v>7000000</v>
      </c>
      <c r="M42" s="61">
        <f>$E42*'Dinh bien_HCNS'!N47</f>
        <v>7000000</v>
      </c>
      <c r="N42" s="61">
        <f>$E42*'Dinh bien_HCNS'!O47</f>
        <v>7000000</v>
      </c>
      <c r="O42" s="61">
        <f>$E42*'Dinh bien_HCNS'!P47</f>
        <v>7000000</v>
      </c>
      <c r="P42" s="61">
        <f>$E42*'Dinh bien_HCNS'!Q47</f>
        <v>7000000</v>
      </c>
      <c r="Q42" s="61">
        <f>$E42*'Dinh bien_HCNS'!R47</f>
        <v>7000000</v>
      </c>
      <c r="R42" s="61">
        <f>$E42*'Dinh bien_HCNS'!S47</f>
        <v>7000000</v>
      </c>
      <c r="S42" s="61">
        <f t="shared" si="1"/>
        <v>84000000</v>
      </c>
    </row>
    <row r="43" spans="1:19" x14ac:dyDescent="0.25">
      <c r="B43" s="58">
        <v>5</v>
      </c>
      <c r="C43" s="59" t="s">
        <v>124</v>
      </c>
      <c r="D43" s="60" t="s">
        <v>7</v>
      </c>
      <c r="E43" s="241">
        <v>7000000</v>
      </c>
      <c r="F43" s="61">
        <f>$E43*'Dinh bien_HCNS'!G48</f>
        <v>7000000</v>
      </c>
      <c r="G43" s="61">
        <f>$E43*'Dinh bien_HCNS'!H48</f>
        <v>14000000</v>
      </c>
      <c r="H43" s="61">
        <f>$E43*'Dinh bien_HCNS'!I48</f>
        <v>14000000</v>
      </c>
      <c r="I43" s="61">
        <f>$E43*'Dinh bien_HCNS'!J48</f>
        <v>14000000</v>
      </c>
      <c r="J43" s="61">
        <f>$E43*'Dinh bien_HCNS'!K48</f>
        <v>14000000</v>
      </c>
      <c r="K43" s="61">
        <f>$E43*'Dinh bien_HCNS'!L48</f>
        <v>14000000</v>
      </c>
      <c r="L43" s="61">
        <f>$E43*'Dinh bien_HCNS'!M48</f>
        <v>14000000</v>
      </c>
      <c r="M43" s="61">
        <f>$E43*'Dinh bien_HCNS'!N48</f>
        <v>14000000</v>
      </c>
      <c r="N43" s="61">
        <f>$E43*'Dinh bien_HCNS'!O48</f>
        <v>14000000</v>
      </c>
      <c r="O43" s="61">
        <f>$E43*'Dinh bien_HCNS'!P48</f>
        <v>14000000</v>
      </c>
      <c r="P43" s="61">
        <f>$E43*'Dinh bien_HCNS'!Q48</f>
        <v>14000000</v>
      </c>
      <c r="Q43" s="61">
        <f>$E43*'Dinh bien_HCNS'!R48</f>
        <v>14000000</v>
      </c>
      <c r="R43" s="61">
        <f>$E43*'Dinh bien_HCNS'!S48</f>
        <v>14000000</v>
      </c>
      <c r="S43" s="61">
        <f t="shared" si="1"/>
        <v>168000000</v>
      </c>
    </row>
    <row r="44" spans="1:19" x14ac:dyDescent="0.25">
      <c r="B44" s="58">
        <v>6</v>
      </c>
      <c r="C44" s="59" t="s">
        <v>123</v>
      </c>
      <c r="D44" s="60" t="s">
        <v>7</v>
      </c>
      <c r="E44" s="241">
        <v>10000000</v>
      </c>
      <c r="F44" s="61">
        <f>$E44*'Dinh bien_HCNS'!G49</f>
        <v>0</v>
      </c>
      <c r="G44" s="61">
        <f>$E44*'Dinh bien_HCNS'!H49</f>
        <v>0</v>
      </c>
      <c r="H44" s="61">
        <f>$E44*'Dinh bien_HCNS'!I49</f>
        <v>0</v>
      </c>
      <c r="I44" s="61">
        <f>$E44*'Dinh bien_HCNS'!J49</f>
        <v>0</v>
      </c>
      <c r="J44" s="61">
        <f>$E44*'Dinh bien_HCNS'!K49</f>
        <v>0</v>
      </c>
      <c r="K44" s="61">
        <f>$E44*'Dinh bien_HCNS'!L49</f>
        <v>0</v>
      </c>
      <c r="L44" s="61">
        <f>$E44*'Dinh bien_HCNS'!M49</f>
        <v>0</v>
      </c>
      <c r="M44" s="61">
        <f>$E44*'Dinh bien_HCNS'!N49</f>
        <v>0</v>
      </c>
      <c r="N44" s="61">
        <f>$E44*'Dinh bien_HCNS'!O49</f>
        <v>0</v>
      </c>
      <c r="O44" s="61">
        <f>$E44*'Dinh bien_HCNS'!P49</f>
        <v>0</v>
      </c>
      <c r="P44" s="61">
        <f>$E44*'Dinh bien_HCNS'!Q49</f>
        <v>0</v>
      </c>
      <c r="Q44" s="61">
        <f>$E44*'Dinh bien_HCNS'!R49</f>
        <v>0</v>
      </c>
      <c r="R44" s="61">
        <f>$E44*'Dinh bien_HCNS'!S49</f>
        <v>0</v>
      </c>
      <c r="S44" s="61">
        <f t="shared" si="1"/>
        <v>0</v>
      </c>
    </row>
    <row r="45" spans="1:19" x14ac:dyDescent="0.25">
      <c r="B45" s="58">
        <v>7</v>
      </c>
      <c r="C45" s="59" t="s">
        <v>127</v>
      </c>
      <c r="D45" s="60" t="s">
        <v>7</v>
      </c>
      <c r="E45" s="241">
        <v>7000000</v>
      </c>
      <c r="F45" s="61">
        <f>$E45*'Dinh bien_HCNS'!G50</f>
        <v>0</v>
      </c>
      <c r="G45" s="61">
        <f>$E45*'Dinh bien_HCNS'!H50</f>
        <v>0</v>
      </c>
      <c r="H45" s="61">
        <f>$E45*'Dinh bien_HCNS'!I50</f>
        <v>0</v>
      </c>
      <c r="I45" s="61">
        <f>$E45*'Dinh bien_HCNS'!J50</f>
        <v>0</v>
      </c>
      <c r="J45" s="61">
        <f>$E45*'Dinh bien_HCNS'!K50</f>
        <v>0</v>
      </c>
      <c r="K45" s="61">
        <f>$E45*'Dinh bien_HCNS'!L50</f>
        <v>0</v>
      </c>
      <c r="L45" s="61">
        <f>$E45*'Dinh bien_HCNS'!M50</f>
        <v>0</v>
      </c>
      <c r="M45" s="61">
        <f>$E45*'Dinh bien_HCNS'!N50</f>
        <v>0</v>
      </c>
      <c r="N45" s="61">
        <f>$E45*'Dinh bien_HCNS'!O50</f>
        <v>0</v>
      </c>
      <c r="O45" s="61">
        <f>$E45*'Dinh bien_HCNS'!P50</f>
        <v>0</v>
      </c>
      <c r="P45" s="61">
        <f>$E45*'Dinh bien_HCNS'!Q50</f>
        <v>0</v>
      </c>
      <c r="Q45" s="61">
        <f>$E45*'Dinh bien_HCNS'!R50</f>
        <v>0</v>
      </c>
      <c r="R45" s="61">
        <f>$E45*'Dinh bien_HCNS'!S50</f>
        <v>0</v>
      </c>
      <c r="S45" s="61">
        <f t="shared" si="1"/>
        <v>0</v>
      </c>
    </row>
    <row r="46" spans="1:19" s="57" customFormat="1" ht="13" x14ac:dyDescent="0.3">
      <c r="B46" s="53" t="s">
        <v>131</v>
      </c>
      <c r="C46" s="54" t="s">
        <v>146</v>
      </c>
      <c r="D46" s="55"/>
      <c r="E46" s="240"/>
      <c r="F46" s="56">
        <f>F47+F48</f>
        <v>5000000</v>
      </c>
      <c r="G46" s="56">
        <f t="shared" ref="G46:R46" si="11">G47+G48</f>
        <v>11500000</v>
      </c>
      <c r="H46" s="56">
        <f t="shared" si="11"/>
        <v>11500000</v>
      </c>
      <c r="I46" s="56">
        <f t="shared" si="11"/>
        <v>11500000</v>
      </c>
      <c r="J46" s="56">
        <f t="shared" si="11"/>
        <v>11500000</v>
      </c>
      <c r="K46" s="56">
        <f t="shared" si="11"/>
        <v>11500000</v>
      </c>
      <c r="L46" s="56">
        <f t="shared" si="11"/>
        <v>11500000</v>
      </c>
      <c r="M46" s="56">
        <f t="shared" si="11"/>
        <v>11500000</v>
      </c>
      <c r="N46" s="56">
        <f t="shared" si="11"/>
        <v>11500000</v>
      </c>
      <c r="O46" s="56">
        <f t="shared" si="11"/>
        <v>11500000</v>
      </c>
      <c r="P46" s="56">
        <f t="shared" si="11"/>
        <v>11500000</v>
      </c>
      <c r="Q46" s="56">
        <f t="shared" si="11"/>
        <v>11500000</v>
      </c>
      <c r="R46" s="56">
        <f t="shared" si="11"/>
        <v>11500000</v>
      </c>
      <c r="S46" s="56">
        <f t="shared" si="1"/>
        <v>138000000</v>
      </c>
    </row>
    <row r="47" spans="1:19" x14ac:dyDescent="0.25">
      <c r="B47" s="58">
        <v>1</v>
      </c>
      <c r="C47" s="59" t="s">
        <v>121</v>
      </c>
      <c r="D47" s="60" t="s">
        <v>7</v>
      </c>
      <c r="E47" s="241">
        <v>5000000</v>
      </c>
      <c r="F47" s="61">
        <f>$E47*'Dinh bien_HCNS'!G41</f>
        <v>5000000</v>
      </c>
      <c r="G47" s="61">
        <f>$E47*'Dinh bien_HCNS'!H41</f>
        <v>5000000</v>
      </c>
      <c r="H47" s="61">
        <f>$E47*'Dinh bien_HCNS'!I41</f>
        <v>5000000</v>
      </c>
      <c r="I47" s="61">
        <f>$E47*'Dinh bien_HCNS'!J41</f>
        <v>5000000</v>
      </c>
      <c r="J47" s="61">
        <f>$E47*'Dinh bien_HCNS'!K41</f>
        <v>5000000</v>
      </c>
      <c r="K47" s="61">
        <f>$E47*'Dinh bien_HCNS'!L41</f>
        <v>5000000</v>
      </c>
      <c r="L47" s="61">
        <f>$E47*'Dinh bien_HCNS'!M41</f>
        <v>5000000</v>
      </c>
      <c r="M47" s="61">
        <f>$E47*'Dinh bien_HCNS'!N41</f>
        <v>5000000</v>
      </c>
      <c r="N47" s="61">
        <f>$E47*'Dinh bien_HCNS'!O41</f>
        <v>5000000</v>
      </c>
      <c r="O47" s="61">
        <f>$E47*'Dinh bien_HCNS'!P41</f>
        <v>5000000</v>
      </c>
      <c r="P47" s="61">
        <f>$E47*'Dinh bien_HCNS'!Q41</f>
        <v>5000000</v>
      </c>
      <c r="Q47" s="61">
        <f>$E47*'Dinh bien_HCNS'!R41</f>
        <v>5000000</v>
      </c>
      <c r="R47" s="61">
        <f>$E47*'Dinh bien_HCNS'!S41</f>
        <v>5000000</v>
      </c>
      <c r="S47" s="61">
        <f t="shared" si="1"/>
        <v>60000000</v>
      </c>
    </row>
    <row r="48" spans="1:19" x14ac:dyDescent="0.25">
      <c r="B48" s="58">
        <v>2</v>
      </c>
      <c r="C48" s="59" t="s">
        <v>122</v>
      </c>
      <c r="D48" s="60" t="s">
        <v>7</v>
      </c>
      <c r="E48" s="241">
        <v>6500000</v>
      </c>
      <c r="F48" s="61">
        <f>$E48*'Dinh bien_HCNS'!G42</f>
        <v>0</v>
      </c>
      <c r="G48" s="61">
        <f>$E48*'Dinh bien_HCNS'!H42</f>
        <v>6500000</v>
      </c>
      <c r="H48" s="61">
        <f>$E48*'Dinh bien_HCNS'!I42</f>
        <v>6500000</v>
      </c>
      <c r="I48" s="61">
        <f>$E48*'Dinh bien_HCNS'!J42</f>
        <v>6500000</v>
      </c>
      <c r="J48" s="61">
        <f>$E48*'Dinh bien_HCNS'!K42</f>
        <v>6500000</v>
      </c>
      <c r="K48" s="61">
        <f>$E48*'Dinh bien_HCNS'!L42</f>
        <v>6500000</v>
      </c>
      <c r="L48" s="61">
        <f>$E48*'Dinh bien_HCNS'!M42</f>
        <v>6500000</v>
      </c>
      <c r="M48" s="61">
        <f>$E48*'Dinh bien_HCNS'!N42</f>
        <v>6500000</v>
      </c>
      <c r="N48" s="61">
        <f>$E48*'Dinh bien_HCNS'!O42</f>
        <v>6500000</v>
      </c>
      <c r="O48" s="61">
        <f>$E48*'Dinh bien_HCNS'!P42</f>
        <v>6500000</v>
      </c>
      <c r="P48" s="61">
        <f>$E48*'Dinh bien_HCNS'!Q42</f>
        <v>6500000</v>
      </c>
      <c r="Q48" s="61">
        <f>$E48*'Dinh bien_HCNS'!R42</f>
        <v>6500000</v>
      </c>
      <c r="R48" s="61">
        <f>$E48*'Dinh bien_HCNS'!S42</f>
        <v>6500000</v>
      </c>
      <c r="S48" s="61">
        <f t="shared" si="1"/>
        <v>78000000</v>
      </c>
    </row>
    <row r="49" spans="1:21" s="57" customFormat="1" ht="13" x14ac:dyDescent="0.3">
      <c r="B49" s="53"/>
      <c r="C49" s="55" t="s">
        <v>41</v>
      </c>
      <c r="D49" s="55"/>
      <c r="E49" s="240"/>
      <c r="F49" s="56" t="e">
        <f>F5+F8+F12+F14+F21+F25+F38+F46</f>
        <v>#REF!</v>
      </c>
      <c r="G49" s="56" t="e">
        <f t="shared" ref="G49:R49" si="12">G5+G8+G12+G14+G21+G25+G38+G46</f>
        <v>#REF!</v>
      </c>
      <c r="H49" s="56" t="e">
        <f t="shared" si="12"/>
        <v>#REF!</v>
      </c>
      <c r="I49" s="56" t="e">
        <f t="shared" si="12"/>
        <v>#REF!</v>
      </c>
      <c r="J49" s="56" t="e">
        <f t="shared" si="12"/>
        <v>#REF!</v>
      </c>
      <c r="K49" s="56" t="e">
        <f t="shared" si="12"/>
        <v>#REF!</v>
      </c>
      <c r="L49" s="56" t="e">
        <f t="shared" si="12"/>
        <v>#REF!</v>
      </c>
      <c r="M49" s="56" t="e">
        <f t="shared" si="12"/>
        <v>#REF!</v>
      </c>
      <c r="N49" s="56" t="e">
        <f t="shared" si="12"/>
        <v>#REF!</v>
      </c>
      <c r="O49" s="56" t="e">
        <f t="shared" si="12"/>
        <v>#REF!</v>
      </c>
      <c r="P49" s="56" t="e">
        <f t="shared" si="12"/>
        <v>#REF!</v>
      </c>
      <c r="Q49" s="56" t="e">
        <f t="shared" si="12"/>
        <v>#REF!</v>
      </c>
      <c r="R49" s="56" t="e">
        <f t="shared" si="12"/>
        <v>#REF!</v>
      </c>
      <c r="S49" s="56" t="e">
        <f t="shared" si="1"/>
        <v>#REF!</v>
      </c>
    </row>
    <row r="50" spans="1:21" x14ac:dyDescent="0.25">
      <c r="B50" s="71"/>
      <c r="C50" s="72" t="s">
        <v>147</v>
      </c>
      <c r="D50" s="73"/>
      <c r="E50" s="245"/>
      <c r="F50" s="74" t="e">
        <f>F49-F51</f>
        <v>#REF!</v>
      </c>
      <c r="G50" s="74" t="e">
        <f t="shared" ref="G50:R50" si="13">G49-G51</f>
        <v>#REF!</v>
      </c>
      <c r="H50" s="74" t="e">
        <f t="shared" si="13"/>
        <v>#REF!</v>
      </c>
      <c r="I50" s="74" t="e">
        <f t="shared" si="13"/>
        <v>#REF!</v>
      </c>
      <c r="J50" s="74" t="e">
        <f t="shared" si="13"/>
        <v>#REF!</v>
      </c>
      <c r="K50" s="74" t="e">
        <f t="shared" si="13"/>
        <v>#REF!</v>
      </c>
      <c r="L50" s="74" t="e">
        <f t="shared" si="13"/>
        <v>#REF!</v>
      </c>
      <c r="M50" s="74" t="e">
        <f t="shared" si="13"/>
        <v>#REF!</v>
      </c>
      <c r="N50" s="74" t="e">
        <f t="shared" si="13"/>
        <v>#REF!</v>
      </c>
      <c r="O50" s="74" t="e">
        <f t="shared" si="13"/>
        <v>#REF!</v>
      </c>
      <c r="P50" s="74" t="e">
        <f t="shared" si="13"/>
        <v>#REF!</v>
      </c>
      <c r="Q50" s="74" t="e">
        <f t="shared" si="13"/>
        <v>#REF!</v>
      </c>
      <c r="R50" s="74" t="e">
        <f t="shared" si="13"/>
        <v>#REF!</v>
      </c>
      <c r="S50" s="74" t="e">
        <f t="shared" si="1"/>
        <v>#REF!</v>
      </c>
    </row>
    <row r="51" spans="1:21" x14ac:dyDescent="0.25">
      <c r="B51" s="71"/>
      <c r="C51" s="72" t="s">
        <v>8</v>
      </c>
      <c r="D51" s="73"/>
      <c r="E51" s="245"/>
      <c r="F51" s="74">
        <f>F29+F31+F32+F41</f>
        <v>23836365.346774194</v>
      </c>
      <c r="G51" s="74">
        <f t="shared" ref="G51:R51" si="14">G29+G31+G32+G41</f>
        <v>400575324.82258064</v>
      </c>
      <c r="H51" s="74">
        <f t="shared" si="14"/>
        <v>306388752.24193549</v>
      </c>
      <c r="I51" s="74">
        <f t="shared" si="14"/>
        <v>431970849.01612908</v>
      </c>
      <c r="J51" s="74">
        <f t="shared" si="14"/>
        <v>463366373.2096774</v>
      </c>
      <c r="K51" s="74">
        <f t="shared" si="14"/>
        <v>463366373.2096774</v>
      </c>
      <c r="L51" s="74">
        <f t="shared" si="14"/>
        <v>463366373.2096774</v>
      </c>
      <c r="M51" s="74">
        <f t="shared" si="14"/>
        <v>463366373.2096774</v>
      </c>
      <c r="N51" s="74">
        <f t="shared" si="14"/>
        <v>463366373.2096774</v>
      </c>
      <c r="O51" s="74">
        <f t="shared" si="14"/>
        <v>463366373.2096774</v>
      </c>
      <c r="P51" s="74">
        <f t="shared" si="14"/>
        <v>463366373.2096774</v>
      </c>
      <c r="Q51" s="74">
        <f t="shared" si="14"/>
        <v>463366373.2096774</v>
      </c>
      <c r="R51" s="74">
        <f t="shared" si="14"/>
        <v>463366373.2096774</v>
      </c>
      <c r="S51" s="74">
        <f t="shared" si="1"/>
        <v>5309232284.967742</v>
      </c>
    </row>
    <row r="52" spans="1:21" x14ac:dyDescent="0.25">
      <c r="F52" s="75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</row>
    <row r="53" spans="1:21" s="57" customFormat="1" ht="13" x14ac:dyDescent="0.3">
      <c r="B53" s="53"/>
      <c r="C53" s="55" t="s">
        <v>41</v>
      </c>
      <c r="D53" s="55"/>
      <c r="E53" s="240"/>
      <c r="F53" s="56" t="e">
        <f>F49</f>
        <v>#REF!</v>
      </c>
      <c r="G53" s="56" t="e">
        <f t="shared" ref="G53:S53" si="15">G49</f>
        <v>#REF!</v>
      </c>
      <c r="H53" s="56" t="e">
        <f t="shared" si="15"/>
        <v>#REF!</v>
      </c>
      <c r="I53" s="56" t="e">
        <f t="shared" si="15"/>
        <v>#REF!</v>
      </c>
      <c r="J53" s="56" t="e">
        <f t="shared" si="15"/>
        <v>#REF!</v>
      </c>
      <c r="K53" s="56" t="e">
        <f t="shared" si="15"/>
        <v>#REF!</v>
      </c>
      <c r="L53" s="56" t="e">
        <f t="shared" si="15"/>
        <v>#REF!</v>
      </c>
      <c r="M53" s="56" t="e">
        <f t="shared" si="15"/>
        <v>#REF!</v>
      </c>
      <c r="N53" s="56" t="e">
        <f t="shared" si="15"/>
        <v>#REF!</v>
      </c>
      <c r="O53" s="56" t="e">
        <f t="shared" si="15"/>
        <v>#REF!</v>
      </c>
      <c r="P53" s="56" t="e">
        <f t="shared" si="15"/>
        <v>#REF!</v>
      </c>
      <c r="Q53" s="56" t="e">
        <f t="shared" si="15"/>
        <v>#REF!</v>
      </c>
      <c r="R53" s="56" t="e">
        <f t="shared" si="15"/>
        <v>#REF!</v>
      </c>
      <c r="S53" s="56" t="e">
        <f t="shared" si="15"/>
        <v>#REF!</v>
      </c>
    </row>
    <row r="54" spans="1:21" x14ac:dyDescent="0.25">
      <c r="B54" s="71"/>
      <c r="C54" s="72" t="s">
        <v>151</v>
      </c>
      <c r="D54" s="73"/>
      <c r="E54" s="245"/>
      <c r="F54" s="74">
        <f>F32+F35</f>
        <v>7330.8467741935483</v>
      </c>
      <c r="G54" s="74">
        <f t="shared" ref="G54:R54" si="16">G32+G35</f>
        <v>376746290.32258064</v>
      </c>
      <c r="H54" s="74">
        <f t="shared" si="16"/>
        <v>282559717.74193549</v>
      </c>
      <c r="I54" s="74">
        <f t="shared" si="16"/>
        <v>408141814.51612908</v>
      </c>
      <c r="J54" s="74">
        <f t="shared" si="16"/>
        <v>439537338.7096774</v>
      </c>
      <c r="K54" s="74">
        <f>K32+K35</f>
        <v>439537338.7096774</v>
      </c>
      <c r="L54" s="74">
        <f t="shared" si="16"/>
        <v>439537338.7096774</v>
      </c>
      <c r="M54" s="74">
        <f t="shared" si="16"/>
        <v>439537338.7096774</v>
      </c>
      <c r="N54" s="74">
        <f>N32+N35</f>
        <v>439537338.7096774</v>
      </c>
      <c r="O54" s="74">
        <f t="shared" si="16"/>
        <v>439537338.7096774</v>
      </c>
      <c r="P54" s="74">
        <f t="shared" si="16"/>
        <v>439537338.7096774</v>
      </c>
      <c r="Q54" s="74">
        <f t="shared" si="16"/>
        <v>439537338.7096774</v>
      </c>
      <c r="R54" s="74">
        <f t="shared" si="16"/>
        <v>439537338.7096774</v>
      </c>
      <c r="S54" s="74">
        <f>S32+S35</f>
        <v>5023283870.967741</v>
      </c>
    </row>
    <row r="55" spans="1:21" x14ac:dyDescent="0.25">
      <c r="B55" s="71"/>
      <c r="C55" s="72">
        <v>627</v>
      </c>
      <c r="D55" s="73"/>
      <c r="E55" s="245"/>
      <c r="F55" s="74">
        <f>F26+F31+F38+F46</f>
        <v>69829034.5</v>
      </c>
      <c r="G55" s="74">
        <f t="shared" ref="G55:S55" si="17">G26+G31+G38+G46</f>
        <v>76329034.5</v>
      </c>
      <c r="H55" s="74">
        <f t="shared" si="17"/>
        <v>76329034.5</v>
      </c>
      <c r="I55" s="74">
        <f t="shared" si="17"/>
        <v>76329034.5</v>
      </c>
      <c r="J55" s="74">
        <f>J26+J31+J38+J46</f>
        <v>76329034.5</v>
      </c>
      <c r="K55" s="74">
        <f>K26+K31+K38+K46</f>
        <v>76329034.5</v>
      </c>
      <c r="L55" s="74">
        <f>L26+L31+L38+L46</f>
        <v>76329034.5</v>
      </c>
      <c r="M55" s="74">
        <f t="shared" si="17"/>
        <v>76329034.5</v>
      </c>
      <c r="N55" s="74">
        <f>N26+N31+N38+N46</f>
        <v>76329034.5</v>
      </c>
      <c r="O55" s="74">
        <f t="shared" si="17"/>
        <v>76329034.5</v>
      </c>
      <c r="P55" s="74">
        <f t="shared" si="17"/>
        <v>76329034.5</v>
      </c>
      <c r="Q55" s="74">
        <f t="shared" si="17"/>
        <v>76329034.5</v>
      </c>
      <c r="R55" s="74">
        <f t="shared" si="17"/>
        <v>76329034.5</v>
      </c>
      <c r="S55" s="74">
        <f t="shared" si="17"/>
        <v>915948414</v>
      </c>
      <c r="U55" s="249">
        <f>K55-J55</f>
        <v>0</v>
      </c>
    </row>
    <row r="56" spans="1:21" x14ac:dyDescent="0.25">
      <c r="B56" s="71"/>
      <c r="C56" s="72">
        <v>642</v>
      </c>
      <c r="D56" s="73"/>
      <c r="E56" s="245"/>
      <c r="F56" s="74" t="e">
        <f>F5+F8+F12+F14+F21</f>
        <v>#REF!</v>
      </c>
      <c r="G56" s="74" t="e">
        <f>G5+G8+G12+G14+G21</f>
        <v>#REF!</v>
      </c>
      <c r="H56" s="74" t="e">
        <f t="shared" ref="H56:S56" si="18">H5+H8+H12+H14+H21</f>
        <v>#REF!</v>
      </c>
      <c r="I56" s="74" t="e">
        <f t="shared" si="18"/>
        <v>#REF!</v>
      </c>
      <c r="J56" s="74" t="e">
        <f t="shared" si="18"/>
        <v>#REF!</v>
      </c>
      <c r="K56" s="74" t="e">
        <f t="shared" si="18"/>
        <v>#REF!</v>
      </c>
      <c r="L56" s="74" t="e">
        <f t="shared" si="18"/>
        <v>#REF!</v>
      </c>
      <c r="M56" s="74" t="e">
        <f t="shared" si="18"/>
        <v>#REF!</v>
      </c>
      <c r="N56" s="74" t="e">
        <f>N5+N8+N12+N14+N21</f>
        <v>#REF!</v>
      </c>
      <c r="O56" s="74" t="e">
        <f t="shared" si="18"/>
        <v>#REF!</v>
      </c>
      <c r="P56" s="74" t="e">
        <f t="shared" si="18"/>
        <v>#REF!</v>
      </c>
      <c r="Q56" s="74" t="e">
        <f t="shared" si="18"/>
        <v>#REF!</v>
      </c>
      <c r="R56" s="74" t="e">
        <f t="shared" si="18"/>
        <v>#REF!</v>
      </c>
      <c r="S56" s="74" t="e">
        <f t="shared" si="18"/>
        <v>#REF!</v>
      </c>
    </row>
    <row r="58" spans="1:21" ht="15.5" hidden="1" x14ac:dyDescent="0.35">
      <c r="B58" s="140" t="s">
        <v>343</v>
      </c>
    </row>
    <row r="59" spans="1:21" s="217" customFormat="1" ht="35.9" hidden="1" customHeight="1" x14ac:dyDescent="0.3">
      <c r="B59" s="218" t="s">
        <v>117</v>
      </c>
      <c r="C59" s="219" t="s">
        <v>101</v>
      </c>
      <c r="D59" s="220" t="str">
        <f>D4</f>
        <v>Phân loại</v>
      </c>
      <c r="E59" s="246" t="str">
        <f t="shared" ref="E59:S59" si="19">E4</f>
        <v>Lương BQ/người/ tháng</v>
      </c>
      <c r="F59" s="220" t="str">
        <f t="shared" si="19"/>
        <v>KHNS 2025 đã duyệt</v>
      </c>
      <c r="G59" s="220" t="str">
        <f t="shared" si="19"/>
        <v>T1</v>
      </c>
      <c r="H59" s="220" t="str">
        <f t="shared" si="19"/>
        <v>T2</v>
      </c>
      <c r="I59" s="220" t="str">
        <f t="shared" si="19"/>
        <v>T3</v>
      </c>
      <c r="J59" s="220" t="str">
        <f t="shared" si="19"/>
        <v>T4</v>
      </c>
      <c r="K59" s="220" t="str">
        <f t="shared" si="19"/>
        <v>T5</v>
      </c>
      <c r="L59" s="220" t="str">
        <f t="shared" si="19"/>
        <v>T6</v>
      </c>
      <c r="M59" s="220" t="str">
        <f t="shared" si="19"/>
        <v>T7</v>
      </c>
      <c r="N59" s="220" t="str">
        <f t="shared" si="19"/>
        <v>T8</v>
      </c>
      <c r="O59" s="220" t="str">
        <f t="shared" si="19"/>
        <v>T9</v>
      </c>
      <c r="P59" s="220" t="str">
        <f t="shared" si="19"/>
        <v>T10</v>
      </c>
      <c r="Q59" s="220" t="str">
        <f t="shared" si="19"/>
        <v>T11</v>
      </c>
      <c r="R59" s="220" t="str">
        <f t="shared" si="19"/>
        <v>T12</v>
      </c>
      <c r="S59" s="220" t="str">
        <f t="shared" si="19"/>
        <v>Mục tiêu 2026</v>
      </c>
    </row>
    <row r="60" spans="1:21" s="57" customFormat="1" ht="13" hidden="1" x14ac:dyDescent="0.3">
      <c r="B60" s="48">
        <v>1</v>
      </c>
      <c r="C60" s="62" t="s">
        <v>142</v>
      </c>
      <c r="D60" s="63"/>
      <c r="E60" s="243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</row>
    <row r="61" spans="1:21" ht="13" hidden="1" x14ac:dyDescent="0.25">
      <c r="B61" s="67"/>
      <c r="C61" s="68" t="s">
        <v>133</v>
      </c>
      <c r="D61" s="60" t="s">
        <v>7</v>
      </c>
      <c r="E61" s="247">
        <v>15000000</v>
      </c>
      <c r="F61" s="61">
        <f>$E61*'Dinh bien_HCNS'!G94</f>
        <v>0</v>
      </c>
      <c r="G61" s="61">
        <f>$E61*'Dinh bien_HCNS'!H85</f>
        <v>0</v>
      </c>
      <c r="H61" s="61">
        <f>$E61*'Dinh bien_HCNS'!I85</f>
        <v>0</v>
      </c>
      <c r="I61" s="61">
        <f>$E61*'Dinh bien_HCNS'!J85</f>
        <v>0</v>
      </c>
      <c r="J61" s="61">
        <f>$E61*'Dinh bien_HCNS'!K85</f>
        <v>0</v>
      </c>
      <c r="K61" s="61">
        <f>$E61*'Dinh bien_HCNS'!L85</f>
        <v>0</v>
      </c>
      <c r="L61" s="61">
        <f>$E61*'Dinh bien_HCNS'!M85</f>
        <v>0</v>
      </c>
      <c r="M61" s="61">
        <f>$E61*'Dinh bien_HCNS'!N85</f>
        <v>0</v>
      </c>
      <c r="N61" s="61">
        <f>$E61*'Dinh bien_HCNS'!O85</f>
        <v>0</v>
      </c>
      <c r="O61" s="61">
        <f>$E61*'Dinh bien_HCNS'!P85</f>
        <v>0</v>
      </c>
      <c r="P61" s="61">
        <f>$E61*'Dinh bien_HCNS'!Q85</f>
        <v>0</v>
      </c>
      <c r="Q61" s="61">
        <f>$E61*'Dinh bien_HCNS'!R85</f>
        <v>0</v>
      </c>
      <c r="R61" s="61">
        <f>$E61*'Dinh bien_HCNS'!S85</f>
        <v>0</v>
      </c>
      <c r="S61" s="65">
        <f>SUM(G61:R61)</f>
        <v>0</v>
      </c>
    </row>
    <row r="62" spans="1:21" s="57" customFormat="1" ht="13" hidden="1" x14ac:dyDescent="0.3">
      <c r="A62" s="5"/>
      <c r="B62" s="48">
        <v>2</v>
      </c>
      <c r="C62" s="69" t="s">
        <v>144</v>
      </c>
      <c r="D62" s="60" t="s">
        <v>8</v>
      </c>
      <c r="E62" s="244">
        <v>12000000</v>
      </c>
      <c r="F62" s="61"/>
      <c r="G62" s="61">
        <f>$E62*'Dinh bien_HCNS'!H86</f>
        <v>0</v>
      </c>
      <c r="H62" s="61">
        <f>$E62*'Dinh bien_HCNS'!I86</f>
        <v>0</v>
      </c>
      <c r="I62" s="61">
        <f>$E62*'Dinh bien_HCNS'!J86</f>
        <v>0</v>
      </c>
      <c r="J62" s="61">
        <f>$E62*'Dinh bien_HCNS'!K86</f>
        <v>0</v>
      </c>
      <c r="K62" s="61">
        <f>$E62*'Dinh bien_HCNS'!L86</f>
        <v>0</v>
      </c>
      <c r="L62" s="61">
        <f>$E62*'Dinh bien_HCNS'!M86</f>
        <v>0</v>
      </c>
      <c r="M62" s="61">
        <f>$E62*'Dinh bien_HCNS'!N86</f>
        <v>0</v>
      </c>
      <c r="N62" s="61">
        <f>$E62*'Dinh bien_HCNS'!O86</f>
        <v>0</v>
      </c>
      <c r="O62" s="61">
        <f>$E62*'Dinh bien_HCNS'!P86</f>
        <v>0</v>
      </c>
      <c r="P62" s="61">
        <f>$E62*'Dinh bien_HCNS'!Q86</f>
        <v>0</v>
      </c>
      <c r="Q62" s="61">
        <f>$E62*'Dinh bien_HCNS'!R86</f>
        <v>0</v>
      </c>
      <c r="R62" s="61">
        <f>$E62*'Dinh bien_HCNS'!S86</f>
        <v>0</v>
      </c>
      <c r="S62" s="65">
        <f>SUM(G62:R62)</f>
        <v>0</v>
      </c>
    </row>
    <row r="63" spans="1:21" s="57" customFormat="1" ht="13" hidden="1" x14ac:dyDescent="0.3">
      <c r="B63" s="53"/>
      <c r="C63" s="55" t="s">
        <v>41</v>
      </c>
      <c r="D63" s="55"/>
      <c r="E63" s="240"/>
      <c r="F63" s="56"/>
      <c r="G63" s="56">
        <f>G61+G62</f>
        <v>0</v>
      </c>
      <c r="H63" s="56">
        <f t="shared" ref="H63:R63" si="20">H61+H62</f>
        <v>0</v>
      </c>
      <c r="I63" s="56">
        <f t="shared" si="20"/>
        <v>0</v>
      </c>
      <c r="J63" s="56">
        <f t="shared" si="20"/>
        <v>0</v>
      </c>
      <c r="K63" s="56">
        <f t="shared" si="20"/>
        <v>0</v>
      </c>
      <c r="L63" s="56">
        <f t="shared" si="20"/>
        <v>0</v>
      </c>
      <c r="M63" s="56">
        <f t="shared" si="20"/>
        <v>0</v>
      </c>
      <c r="N63" s="56">
        <f t="shared" si="20"/>
        <v>0</v>
      </c>
      <c r="O63" s="56">
        <f t="shared" si="20"/>
        <v>0</v>
      </c>
      <c r="P63" s="56">
        <f t="shared" si="20"/>
        <v>0</v>
      </c>
      <c r="Q63" s="56">
        <f t="shared" si="20"/>
        <v>0</v>
      </c>
      <c r="R63" s="56">
        <f t="shared" si="20"/>
        <v>0</v>
      </c>
      <c r="S63" s="56">
        <f>SUM(G63:R63)</f>
        <v>0</v>
      </c>
    </row>
  </sheetData>
  <conditionalFormatting sqref="C35:D37 C61:E61 C62:D62">
    <cfRule type="containsText" dxfId="44" priority="36" operator="containsText" text="xxx">
      <formula>NOT(ISERROR(SEARCH("xxx",C35)))</formula>
    </cfRule>
  </conditionalFormatting>
  <conditionalFormatting sqref="C33:E34">
    <cfRule type="containsText" dxfId="43" priority="1" operator="containsText" text="xxx">
      <formula>NOT(ISERROR(SEARCH("xxx",C33)))</formula>
    </cfRule>
  </conditionalFormatting>
  <conditionalFormatting sqref="C60:F60 C59:S59">
    <cfRule type="containsText" dxfId="42" priority="21" operator="containsText" text="xxx">
      <formula>NOT(ISERROR(SEARCH("xxx",C59)))</formula>
    </cfRule>
  </conditionalFormatting>
  <conditionalFormatting sqref="C5:S24 G25:S25 C25:F26 C27:S32 C38:S49 F33:S34">
    <cfRule type="containsText" dxfId="41" priority="52" operator="containsText" text="xxx">
      <formula>NOT(ISERROR(SEARCH("xxx",C5)))</formula>
    </cfRule>
  </conditionalFormatting>
  <conditionalFormatting sqref="C50:S51">
    <cfRule type="containsText" dxfId="40" priority="44" operator="containsText" text="xxx">
      <formula>NOT(ISERROR(SEARCH("xxx",C50)))</formula>
    </cfRule>
  </conditionalFormatting>
  <conditionalFormatting sqref="C53:S53">
    <cfRule type="containsText" dxfId="39" priority="41" operator="containsText" text="xxx">
      <formula>NOT(ISERROR(SEARCH("xxx",C53)))</formula>
    </cfRule>
  </conditionalFormatting>
  <conditionalFormatting sqref="C54:S56">
    <cfRule type="containsText" dxfId="38" priority="38" operator="containsText" text="xxx">
      <formula>NOT(ISERROR(SEARCH("xxx",C54)))</formula>
    </cfRule>
  </conditionalFormatting>
  <conditionalFormatting sqref="C63:S63">
    <cfRule type="containsText" dxfId="37" priority="7" operator="containsText" text="xxx">
      <formula>NOT(ISERROR(SEARCH("xxx",C63)))</formula>
    </cfRule>
  </conditionalFormatting>
  <conditionalFormatting sqref="D35:D37">
    <cfRule type="cellIs" dxfId="36" priority="35" operator="equal">
      <formula>0</formula>
    </cfRule>
  </conditionalFormatting>
  <conditionalFormatting sqref="D62">
    <cfRule type="cellIs" dxfId="35" priority="15" operator="equal">
      <formula>0</formula>
    </cfRule>
  </conditionalFormatting>
  <conditionalFormatting sqref="E29">
    <cfRule type="cellIs" dxfId="34" priority="37" operator="equal">
      <formula>0</formula>
    </cfRule>
  </conditionalFormatting>
  <conditionalFormatting sqref="E36">
    <cfRule type="containsText" dxfId="33" priority="24" operator="containsText" text="xxx">
      <formula>NOT(ISERROR(SEARCH("xxx",E36)))</formula>
    </cfRule>
  </conditionalFormatting>
  <conditionalFormatting sqref="E61:E62">
    <cfRule type="cellIs" dxfId="32" priority="17" operator="equal">
      <formula>0</formula>
    </cfRule>
  </conditionalFormatting>
  <conditionalFormatting sqref="E62">
    <cfRule type="containsText" dxfId="31" priority="8" operator="containsText" text="xxx">
      <formula>NOT(ISERROR(SEARCH("xxx",E62)))</formula>
    </cfRule>
  </conditionalFormatting>
  <conditionalFormatting sqref="E35:S35 E32 G32:S32 F32:F34">
    <cfRule type="cellIs" dxfId="30" priority="50" operator="equal">
      <formula>0</formula>
    </cfRule>
  </conditionalFormatting>
  <conditionalFormatting sqref="E35:S35">
    <cfRule type="containsText" dxfId="29" priority="22" operator="containsText" text="xxx">
      <formula>NOT(ISERROR(SEARCH("xxx",E35)))</formula>
    </cfRule>
  </conditionalFormatting>
  <conditionalFormatting sqref="E37:S37">
    <cfRule type="containsText" dxfId="28" priority="28" operator="containsText" text="xxx">
      <formula>NOT(ISERROR(SEARCH("xxx",E37)))</formula>
    </cfRule>
  </conditionalFormatting>
  <conditionalFormatting sqref="F37">
    <cfRule type="cellIs" dxfId="27" priority="27" operator="equal">
      <formula>0</formula>
    </cfRule>
  </conditionalFormatting>
  <conditionalFormatting sqref="F60">
    <cfRule type="cellIs" dxfId="26" priority="20" operator="equal">
      <formula>0</formula>
    </cfRule>
  </conditionalFormatting>
  <conditionalFormatting sqref="F33:S34">
    <cfRule type="cellIs" dxfId="25" priority="42" operator="equal">
      <formula>0</formula>
    </cfRule>
  </conditionalFormatting>
  <conditionalFormatting sqref="F36:S36">
    <cfRule type="containsText" dxfId="24" priority="31" operator="containsText" text="xxx">
      <formula>NOT(ISERROR(SEARCH("xxx",F36)))</formula>
    </cfRule>
  </conditionalFormatting>
  <conditionalFormatting sqref="F36:S37">
    <cfRule type="cellIs" dxfId="23" priority="26" operator="equal">
      <formula>0</formula>
    </cfRule>
  </conditionalFormatting>
  <conditionalFormatting sqref="F38:S51 F5:S24 G25:S25 F25:F26 F27:S31">
    <cfRule type="cellIs" dxfId="22" priority="51" operator="equal">
      <formula>0</formula>
    </cfRule>
  </conditionalFormatting>
  <conditionalFormatting sqref="F53:S56">
    <cfRule type="cellIs" dxfId="21" priority="40" operator="equal">
      <formula>0</formula>
    </cfRule>
  </conditionalFormatting>
  <conditionalFormatting sqref="F61:S62">
    <cfRule type="containsText" dxfId="20" priority="3" operator="containsText" text="xxx">
      <formula>NOT(ISERROR(SEARCH("xxx",F61)))</formula>
    </cfRule>
  </conditionalFormatting>
  <conditionalFormatting sqref="F61:S63">
    <cfRule type="cellIs" dxfId="19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A2CC-E4E7-4612-9F04-583C573F5BB6}">
  <sheetPr>
    <tabColor theme="9" tint="0.79998168889431442"/>
  </sheetPr>
  <dimension ref="B1:AV183"/>
  <sheetViews>
    <sheetView showGridLines="0" topLeftCell="C113" zoomScale="85" zoomScaleNormal="85" workbookViewId="0">
      <selection activeCell="F85" sqref="F85"/>
    </sheetView>
  </sheetViews>
  <sheetFormatPr defaultColWidth="8.54296875" defaultRowHeight="13" outlineLevelCol="1" x14ac:dyDescent="0.3"/>
  <cols>
    <col min="1" max="1" width="2.81640625" style="6" customWidth="1"/>
    <col min="2" max="2" width="6.453125" style="6" customWidth="1"/>
    <col min="3" max="3" width="26.1796875" style="6" customWidth="1"/>
    <col min="4" max="4" width="8.453125" style="6" customWidth="1"/>
    <col min="5" max="5" width="6.54296875" style="6" customWidth="1"/>
    <col min="6" max="10" width="8.453125" style="6" customWidth="1" outlineLevel="1"/>
    <col min="11" max="11" width="9" style="6" customWidth="1" outlineLevel="1"/>
    <col min="12" max="12" width="10" style="6" customWidth="1" outlineLevel="1"/>
    <col min="13" max="13" width="10.453125" style="6" customWidth="1" outlineLevel="1"/>
    <col min="14" max="15" width="8.54296875" style="6" customWidth="1" outlineLevel="1"/>
    <col min="16" max="16" width="8.81640625" style="6" customWidth="1" outlineLevel="1"/>
    <col min="17" max="17" width="10.54296875" style="6" customWidth="1" outlineLevel="1"/>
    <col min="18" max="18" width="11.1796875" style="5" customWidth="1"/>
    <col min="19" max="19" width="3.7265625" style="5" customWidth="1"/>
    <col min="20" max="31" width="11.1796875" style="5" customWidth="1"/>
    <col min="32" max="32" width="8.1796875" style="5" customWidth="1"/>
    <col min="33" max="33" width="4.81640625" style="5" customWidth="1"/>
    <col min="34" max="34" width="9.81640625" style="5" customWidth="1"/>
    <col min="35" max="35" width="3.1796875" style="5" customWidth="1"/>
    <col min="36" max="36" width="8.453125" style="6" customWidth="1"/>
    <col min="37" max="37" width="4.1796875" style="6" customWidth="1"/>
    <col min="38" max="38" width="8" style="6" customWidth="1"/>
    <col min="39" max="40" width="6" style="6" customWidth="1"/>
    <col min="41" max="41" width="18.54296875" style="6" customWidth="1"/>
    <col min="42" max="42" width="30.1796875" style="6" customWidth="1"/>
    <col min="43" max="43" width="16.1796875" style="6" customWidth="1"/>
    <col min="44" max="44" width="10.1796875" style="6" customWidth="1"/>
    <col min="45" max="45" width="11.453125" style="6" customWidth="1"/>
    <col min="46" max="46" width="8.54296875" style="6"/>
    <col min="47" max="47" width="10.453125" style="6" customWidth="1"/>
    <col min="48" max="16384" width="8.54296875" style="6"/>
  </cols>
  <sheetData>
    <row r="1" spans="2:39" ht="15.5" x14ac:dyDescent="0.3">
      <c r="B1" s="469"/>
    </row>
    <row r="3" spans="2:39" x14ac:dyDescent="0.3">
      <c r="B3" s="139" t="s">
        <v>83</v>
      </c>
    </row>
    <row r="4" spans="2:39" x14ac:dyDescent="0.3">
      <c r="B4" s="138" t="s">
        <v>1619</v>
      </c>
    </row>
    <row r="5" spans="2:39" x14ac:dyDescent="0.3">
      <c r="B5" s="5" t="s">
        <v>298</v>
      </c>
    </row>
    <row r="6" spans="2:39" ht="25.5" customHeight="1" x14ac:dyDescent="0.25">
      <c r="B6" s="141" t="s">
        <v>0</v>
      </c>
      <c r="C6" s="141" t="s">
        <v>81</v>
      </c>
      <c r="D6" s="141" t="s">
        <v>11</v>
      </c>
      <c r="E6" s="269" t="s">
        <v>1814</v>
      </c>
      <c r="F6" s="7" t="s">
        <v>56</v>
      </c>
      <c r="G6" s="7" t="s">
        <v>57</v>
      </c>
      <c r="H6" s="7" t="s">
        <v>58</v>
      </c>
      <c r="I6" s="7" t="s">
        <v>59</v>
      </c>
      <c r="J6" s="7" t="s">
        <v>60</v>
      </c>
      <c r="K6" s="7" t="s">
        <v>61</v>
      </c>
      <c r="L6" s="7" t="s">
        <v>62</v>
      </c>
      <c r="M6" s="7" t="s">
        <v>63</v>
      </c>
      <c r="N6" s="7" t="s">
        <v>64</v>
      </c>
      <c r="O6" s="7" t="s">
        <v>65</v>
      </c>
      <c r="P6" s="7" t="s">
        <v>66</v>
      </c>
      <c r="Q6" s="7" t="s">
        <v>67</v>
      </c>
      <c r="R6" s="7" t="s">
        <v>2246</v>
      </c>
      <c r="S6" s="196"/>
      <c r="T6" s="942" t="s">
        <v>56</v>
      </c>
      <c r="U6" s="942" t="s">
        <v>57</v>
      </c>
      <c r="V6" s="942" t="s">
        <v>58</v>
      </c>
      <c r="W6" s="942" t="s">
        <v>59</v>
      </c>
      <c r="X6" s="942" t="s">
        <v>60</v>
      </c>
      <c r="Y6" s="942" t="s">
        <v>61</v>
      </c>
      <c r="Z6" s="942" t="s">
        <v>62</v>
      </c>
      <c r="AA6" s="942" t="s">
        <v>63</v>
      </c>
      <c r="AB6" s="942" t="s">
        <v>64</v>
      </c>
      <c r="AC6" s="942" t="s">
        <v>65</v>
      </c>
      <c r="AD6" s="942" t="s">
        <v>66</v>
      </c>
      <c r="AE6" s="942" t="s">
        <v>67</v>
      </c>
      <c r="AF6" s="942" t="s">
        <v>405</v>
      </c>
      <c r="AG6" s="36"/>
      <c r="AH6" s="942" t="s">
        <v>1942</v>
      </c>
      <c r="AI6" s="36"/>
      <c r="AJ6" s="942" t="s">
        <v>1943</v>
      </c>
      <c r="AK6" s="36"/>
      <c r="AL6" s="943" t="s">
        <v>749</v>
      </c>
      <c r="AM6" s="944" t="s">
        <v>750</v>
      </c>
    </row>
    <row r="7" spans="2:39" x14ac:dyDescent="0.25">
      <c r="B7" s="8">
        <v>1</v>
      </c>
      <c r="C7" s="9" t="s">
        <v>35</v>
      </c>
      <c r="D7" s="10" t="s">
        <v>22</v>
      </c>
      <c r="E7" s="995">
        <f>R7/$R$22</f>
        <v>0.53175941540191118</v>
      </c>
      <c r="F7" s="28">
        <f>'3.Thanh pham'!H82</f>
        <v>283800</v>
      </c>
      <c r="G7" s="28">
        <f>'3.Thanh pham'!I82</f>
        <v>212850</v>
      </c>
      <c r="H7" s="28">
        <f>'3.Thanh pham'!J82</f>
        <v>307450</v>
      </c>
      <c r="I7" s="28">
        <f>'3.Thanh pham'!K82</f>
        <v>331100</v>
      </c>
      <c r="J7" s="28">
        <f>'3.Thanh pham'!L82</f>
        <v>331100</v>
      </c>
      <c r="K7" s="28">
        <f>'3.Thanh pham'!M82</f>
        <v>331100</v>
      </c>
      <c r="L7" s="28">
        <f>'3.Thanh pham'!N82</f>
        <v>331100</v>
      </c>
      <c r="M7" s="28">
        <f>'3.Thanh pham'!O82</f>
        <v>331100</v>
      </c>
      <c r="N7" s="28">
        <f>'3.Thanh pham'!P82</f>
        <v>331100</v>
      </c>
      <c r="O7" s="28">
        <f>'3.Thanh pham'!Q82</f>
        <v>331100</v>
      </c>
      <c r="P7" s="28">
        <f>'3.Thanh pham'!R82</f>
        <v>331100</v>
      </c>
      <c r="Q7" s="28">
        <f>'3.Thanh pham'!S82</f>
        <v>331100</v>
      </c>
      <c r="R7" s="203">
        <f>SUM(F7:Q7)</f>
        <v>3784000</v>
      </c>
      <c r="S7" s="956"/>
      <c r="T7" s="945">
        <v>121846</v>
      </c>
      <c r="U7" s="945">
        <v>99642</v>
      </c>
      <c r="V7" s="945">
        <v>105984</v>
      </c>
      <c r="W7" s="945">
        <v>3981</v>
      </c>
      <c r="X7" s="945">
        <v>130504</v>
      </c>
      <c r="Y7" s="945">
        <v>324765</v>
      </c>
      <c r="Z7" s="945">
        <v>469064</v>
      </c>
      <c r="AA7" s="945">
        <v>443912</v>
      </c>
      <c r="AB7" s="945">
        <v>349932</v>
      </c>
      <c r="AC7" s="1364">
        <v>228250</v>
      </c>
      <c r="AD7" s="945">
        <v>228250</v>
      </c>
      <c r="AE7" s="945">
        <v>228250</v>
      </c>
      <c r="AF7" s="354">
        <f>SUM(T7:AE7)</f>
        <v>2734380</v>
      </c>
      <c r="AG7" s="6"/>
      <c r="AH7" s="354">
        <v>1895177</v>
      </c>
      <c r="AI7" s="6"/>
      <c r="AJ7" s="1250">
        <v>2890702.5</v>
      </c>
      <c r="AL7" s="574">
        <f>IFERROR(R7-AF7,0)</f>
        <v>1049620</v>
      </c>
      <c r="AM7" s="946">
        <f>IFERROR((R7/AF7)-1,0)</f>
        <v>0.3838603266554026</v>
      </c>
    </row>
    <row r="8" spans="2:39" x14ac:dyDescent="0.25">
      <c r="B8" s="8">
        <v>2</v>
      </c>
      <c r="C8" s="9" t="s">
        <v>401</v>
      </c>
      <c r="D8" s="10" t="s">
        <v>22</v>
      </c>
      <c r="E8" s="995">
        <f t="shared" ref="E8:E21" si="0">R8/$R$22</f>
        <v>0</v>
      </c>
      <c r="F8" s="28">
        <f>'3.Thanh pham'!H83</f>
        <v>0</v>
      </c>
      <c r="G8" s="28">
        <f>'3.Thanh pham'!I83</f>
        <v>0</v>
      </c>
      <c r="H8" s="28">
        <f>'3.Thanh pham'!J83</f>
        <v>0</v>
      </c>
      <c r="I8" s="28">
        <f>'3.Thanh pham'!K83</f>
        <v>0</v>
      </c>
      <c r="J8" s="28">
        <f>'3.Thanh pham'!L83</f>
        <v>0</v>
      </c>
      <c r="K8" s="28">
        <f>'3.Thanh pham'!M83</f>
        <v>0</v>
      </c>
      <c r="L8" s="28">
        <f>'3.Thanh pham'!N83</f>
        <v>0</v>
      </c>
      <c r="M8" s="28">
        <f>'3.Thanh pham'!O83</f>
        <v>0</v>
      </c>
      <c r="N8" s="28">
        <f>'3.Thanh pham'!P83</f>
        <v>0</v>
      </c>
      <c r="O8" s="28">
        <f>'3.Thanh pham'!Q83</f>
        <v>0</v>
      </c>
      <c r="P8" s="28">
        <f>'3.Thanh pham'!R83</f>
        <v>0</v>
      </c>
      <c r="Q8" s="28">
        <f>'3.Thanh pham'!S83</f>
        <v>0</v>
      </c>
      <c r="R8" s="203">
        <f t="shared" ref="R8:R21" si="1">SUM(F8:Q8)</f>
        <v>0</v>
      </c>
      <c r="S8" s="956"/>
      <c r="T8" s="945"/>
      <c r="U8" s="945"/>
      <c r="V8" s="945"/>
      <c r="W8" s="945"/>
      <c r="X8" s="945"/>
      <c r="Y8" s="945"/>
      <c r="Z8" s="945"/>
      <c r="AA8" s="945"/>
      <c r="AB8" s="945">
        <v>21565</v>
      </c>
      <c r="AC8" s="1364"/>
      <c r="AD8" s="945"/>
      <c r="AE8" s="945"/>
      <c r="AF8" s="354">
        <f t="shared" ref="AF8:AF21" si="2">SUM(T8:AE8)</f>
        <v>21565</v>
      </c>
      <c r="AG8" s="6"/>
      <c r="AH8" s="354">
        <v>742255</v>
      </c>
      <c r="AI8" s="6"/>
      <c r="AJ8" s="1250"/>
      <c r="AL8" s="945">
        <f t="shared" ref="AL8:AL22" si="3">IFERROR(R8-AF8,0)</f>
        <v>-21565</v>
      </c>
      <c r="AM8" s="947">
        <f t="shared" ref="AM8:AM22" si="4">IFERROR((R8/AF8)-1,0)</f>
        <v>-1</v>
      </c>
    </row>
    <row r="9" spans="2:39" x14ac:dyDescent="0.25">
      <c r="B9" s="8">
        <v>3</v>
      </c>
      <c r="C9" s="9" t="s">
        <v>42</v>
      </c>
      <c r="D9" s="10" t="s">
        <v>22</v>
      </c>
      <c r="E9" s="995">
        <f t="shared" si="0"/>
        <v>0</v>
      </c>
      <c r="F9" s="28">
        <f>'3.Thanh pham'!H84</f>
        <v>0</v>
      </c>
      <c r="G9" s="28">
        <f>'3.Thanh pham'!I84</f>
        <v>0</v>
      </c>
      <c r="H9" s="28">
        <f>'3.Thanh pham'!J84</f>
        <v>0</v>
      </c>
      <c r="I9" s="28">
        <f>'3.Thanh pham'!K84</f>
        <v>0</v>
      </c>
      <c r="J9" s="28">
        <f>'3.Thanh pham'!L84</f>
        <v>0</v>
      </c>
      <c r="K9" s="28">
        <f>'3.Thanh pham'!M84</f>
        <v>0</v>
      </c>
      <c r="L9" s="28">
        <f>'3.Thanh pham'!N84</f>
        <v>0</v>
      </c>
      <c r="M9" s="28">
        <f>'3.Thanh pham'!O84</f>
        <v>0</v>
      </c>
      <c r="N9" s="28">
        <f>'3.Thanh pham'!P84</f>
        <v>0</v>
      </c>
      <c r="O9" s="28">
        <f>'3.Thanh pham'!Q84</f>
        <v>0</v>
      </c>
      <c r="P9" s="28">
        <f>'3.Thanh pham'!R84</f>
        <v>0</v>
      </c>
      <c r="Q9" s="28">
        <f>'3.Thanh pham'!S84</f>
        <v>0</v>
      </c>
      <c r="R9" s="203">
        <f t="shared" si="1"/>
        <v>0</v>
      </c>
      <c r="S9" s="956"/>
      <c r="T9" s="945"/>
      <c r="U9" s="945">
        <v>114280</v>
      </c>
      <c r="V9" s="945">
        <v>194340</v>
      </c>
      <c r="W9" s="945">
        <v>246148</v>
      </c>
      <c r="X9" s="945">
        <v>119501</v>
      </c>
      <c r="Y9" s="945"/>
      <c r="Z9" s="945"/>
      <c r="AA9" s="945"/>
      <c r="AB9" s="945"/>
      <c r="AC9" s="1364"/>
      <c r="AD9" s="945"/>
      <c r="AE9" s="945"/>
      <c r="AF9" s="354">
        <f t="shared" si="2"/>
        <v>674269</v>
      </c>
      <c r="AG9" s="6"/>
      <c r="AH9" s="354"/>
      <c r="AI9" s="6"/>
      <c r="AJ9" s="1250"/>
      <c r="AL9" s="945">
        <f t="shared" si="3"/>
        <v>-674269</v>
      </c>
      <c r="AM9" s="947">
        <f t="shared" si="4"/>
        <v>-1</v>
      </c>
    </row>
    <row r="10" spans="2:39" x14ac:dyDescent="0.25">
      <c r="B10" s="8">
        <v>4</v>
      </c>
      <c r="C10" s="9" t="s">
        <v>39</v>
      </c>
      <c r="D10" s="10" t="s">
        <v>22</v>
      </c>
      <c r="E10" s="995">
        <f t="shared" si="0"/>
        <v>0</v>
      </c>
      <c r="F10" s="28">
        <f>'3.Thanh pham'!H85</f>
        <v>0</v>
      </c>
      <c r="G10" s="28">
        <f>'3.Thanh pham'!I85</f>
        <v>0</v>
      </c>
      <c r="H10" s="28">
        <f>'3.Thanh pham'!J85</f>
        <v>0</v>
      </c>
      <c r="I10" s="28">
        <f>'3.Thanh pham'!K85</f>
        <v>0</v>
      </c>
      <c r="J10" s="28">
        <f>'3.Thanh pham'!L85</f>
        <v>0</v>
      </c>
      <c r="K10" s="28">
        <f>'3.Thanh pham'!M85</f>
        <v>0</v>
      </c>
      <c r="L10" s="28">
        <f>'3.Thanh pham'!N85</f>
        <v>0</v>
      </c>
      <c r="M10" s="28">
        <f>'3.Thanh pham'!O85</f>
        <v>0</v>
      </c>
      <c r="N10" s="28">
        <f>'3.Thanh pham'!P85</f>
        <v>0</v>
      </c>
      <c r="O10" s="28">
        <f>'3.Thanh pham'!Q85</f>
        <v>0</v>
      </c>
      <c r="P10" s="28">
        <f>'3.Thanh pham'!R85</f>
        <v>0</v>
      </c>
      <c r="Q10" s="28">
        <f>'3.Thanh pham'!S85</f>
        <v>0</v>
      </c>
      <c r="R10" s="203">
        <f t="shared" si="1"/>
        <v>0</v>
      </c>
      <c r="S10" s="956"/>
      <c r="T10" s="945"/>
      <c r="U10" s="945">
        <v>85</v>
      </c>
      <c r="V10" s="945"/>
      <c r="W10" s="945"/>
      <c r="X10" s="945"/>
      <c r="Y10" s="945"/>
      <c r="Z10" s="945"/>
      <c r="AA10" s="945"/>
      <c r="AB10" s="945"/>
      <c r="AC10" s="1364"/>
      <c r="AD10" s="945"/>
      <c r="AE10" s="945"/>
      <c r="AF10" s="354">
        <f t="shared" si="2"/>
        <v>85</v>
      </c>
      <c r="AG10" s="6"/>
      <c r="AH10" s="354"/>
      <c r="AI10" s="6"/>
      <c r="AJ10" s="1250">
        <v>138350.5</v>
      </c>
      <c r="AL10" s="945">
        <f t="shared" si="3"/>
        <v>-85</v>
      </c>
      <c r="AM10" s="947">
        <f t="shared" si="4"/>
        <v>-1</v>
      </c>
    </row>
    <row r="11" spans="2:39" x14ac:dyDescent="0.25">
      <c r="B11" s="8">
        <v>5</v>
      </c>
      <c r="C11" s="9" t="s">
        <v>32</v>
      </c>
      <c r="D11" s="10" t="s">
        <v>22</v>
      </c>
      <c r="E11" s="995">
        <f t="shared" si="0"/>
        <v>0.11410905002810567</v>
      </c>
      <c r="F11" s="28">
        <f>'3.Thanh pham'!H86</f>
        <v>60900</v>
      </c>
      <c r="G11" s="28">
        <f>'3.Thanh pham'!I86</f>
        <v>45675</v>
      </c>
      <c r="H11" s="28">
        <f>'3.Thanh pham'!J86</f>
        <v>65975</v>
      </c>
      <c r="I11" s="28">
        <f>'3.Thanh pham'!K86</f>
        <v>71050</v>
      </c>
      <c r="J11" s="28">
        <f>'3.Thanh pham'!L86</f>
        <v>71050</v>
      </c>
      <c r="K11" s="28">
        <f>'3.Thanh pham'!M86</f>
        <v>71050</v>
      </c>
      <c r="L11" s="28">
        <f>'3.Thanh pham'!N86</f>
        <v>71050</v>
      </c>
      <c r="M11" s="28">
        <f>'3.Thanh pham'!O86</f>
        <v>71050</v>
      </c>
      <c r="N11" s="28">
        <f>'3.Thanh pham'!P86</f>
        <v>71050</v>
      </c>
      <c r="O11" s="28">
        <f>'3.Thanh pham'!Q86</f>
        <v>71050</v>
      </c>
      <c r="P11" s="28">
        <f>'3.Thanh pham'!R86</f>
        <v>71050</v>
      </c>
      <c r="Q11" s="28">
        <f>'3.Thanh pham'!S86</f>
        <v>71050</v>
      </c>
      <c r="R11" s="203">
        <f t="shared" si="1"/>
        <v>812000</v>
      </c>
      <c r="S11" s="956"/>
      <c r="T11" s="945">
        <v>29025</v>
      </c>
      <c r="U11" s="945">
        <v>45312</v>
      </c>
      <c r="V11" s="945">
        <v>50403</v>
      </c>
      <c r="W11" s="945">
        <v>31944</v>
      </c>
      <c r="X11" s="945">
        <v>57137</v>
      </c>
      <c r="Y11" s="945">
        <v>57210</v>
      </c>
      <c r="Z11" s="945">
        <v>42086</v>
      </c>
      <c r="AA11" s="945">
        <v>51729</v>
      </c>
      <c r="AB11" s="945">
        <v>40991</v>
      </c>
      <c r="AC11" s="1364">
        <v>55750</v>
      </c>
      <c r="AD11" s="945">
        <v>55750</v>
      </c>
      <c r="AE11" s="945">
        <v>55750</v>
      </c>
      <c r="AF11" s="354">
        <f t="shared" si="2"/>
        <v>573087</v>
      </c>
      <c r="AG11" s="6"/>
      <c r="AH11" s="354">
        <v>635827</v>
      </c>
      <c r="AI11" s="6"/>
      <c r="AJ11" s="1250">
        <v>565953</v>
      </c>
      <c r="AL11" s="945">
        <f t="shared" si="3"/>
        <v>238913</v>
      </c>
      <c r="AM11" s="947">
        <f t="shared" si="4"/>
        <v>0.41688783727427081</v>
      </c>
    </row>
    <row r="12" spans="2:39" x14ac:dyDescent="0.25">
      <c r="B12" s="8">
        <v>6</v>
      </c>
      <c r="C12" s="9" t="s">
        <v>36</v>
      </c>
      <c r="D12" s="10" t="s">
        <v>22</v>
      </c>
      <c r="E12" s="995">
        <f t="shared" si="0"/>
        <v>0</v>
      </c>
      <c r="F12" s="28">
        <f>'3.Thanh pham'!H87</f>
        <v>0</v>
      </c>
      <c r="G12" s="28">
        <f>'3.Thanh pham'!I87</f>
        <v>0</v>
      </c>
      <c r="H12" s="28">
        <f>'3.Thanh pham'!J87</f>
        <v>0</v>
      </c>
      <c r="I12" s="28">
        <f>'3.Thanh pham'!K87</f>
        <v>0</v>
      </c>
      <c r="J12" s="28">
        <f>'3.Thanh pham'!L87</f>
        <v>0</v>
      </c>
      <c r="K12" s="28">
        <f>'3.Thanh pham'!M87</f>
        <v>0</v>
      </c>
      <c r="L12" s="28">
        <f>'3.Thanh pham'!N87</f>
        <v>0</v>
      </c>
      <c r="M12" s="28">
        <f>'3.Thanh pham'!O87</f>
        <v>0</v>
      </c>
      <c r="N12" s="28">
        <f>'3.Thanh pham'!P87</f>
        <v>0</v>
      </c>
      <c r="O12" s="28">
        <f>'3.Thanh pham'!Q87</f>
        <v>0</v>
      </c>
      <c r="P12" s="28">
        <f>'3.Thanh pham'!R87</f>
        <v>0</v>
      </c>
      <c r="Q12" s="28">
        <f>'3.Thanh pham'!S87</f>
        <v>0</v>
      </c>
      <c r="R12" s="203">
        <f t="shared" si="1"/>
        <v>0</v>
      </c>
      <c r="S12" s="956"/>
      <c r="T12" s="945"/>
      <c r="U12" s="945">
        <v>15709</v>
      </c>
      <c r="V12" s="945"/>
      <c r="W12" s="945"/>
      <c r="X12" s="945"/>
      <c r="Y12" s="945"/>
      <c r="Z12" s="945"/>
      <c r="AA12" s="945"/>
      <c r="AB12" s="945"/>
      <c r="AC12" s="1364"/>
      <c r="AD12" s="945"/>
      <c r="AE12" s="945"/>
      <c r="AF12" s="354">
        <f t="shared" si="2"/>
        <v>15709</v>
      </c>
      <c r="AG12" s="6"/>
      <c r="AH12" s="354">
        <v>50758</v>
      </c>
      <c r="AI12" s="6"/>
      <c r="AJ12" s="1250">
        <v>623305.5</v>
      </c>
      <c r="AL12" s="945">
        <f t="shared" si="3"/>
        <v>-15709</v>
      </c>
      <c r="AM12" s="947">
        <f t="shared" si="4"/>
        <v>-1</v>
      </c>
    </row>
    <row r="13" spans="2:39" x14ac:dyDescent="0.25">
      <c r="B13" s="8">
        <v>7</v>
      </c>
      <c r="C13" s="9" t="s">
        <v>34</v>
      </c>
      <c r="D13" s="10" t="s">
        <v>22</v>
      </c>
      <c r="E13" s="995">
        <f t="shared" si="0"/>
        <v>1.6863406408094434E-2</v>
      </c>
      <c r="F13" s="28">
        <f>'3.Thanh pham'!H88</f>
        <v>9000</v>
      </c>
      <c r="G13" s="28">
        <f>'3.Thanh pham'!I88</f>
        <v>6750</v>
      </c>
      <c r="H13" s="28">
        <f>'3.Thanh pham'!J88</f>
        <v>9750</v>
      </c>
      <c r="I13" s="28">
        <f>'3.Thanh pham'!K88</f>
        <v>10500</v>
      </c>
      <c r="J13" s="28">
        <f>'3.Thanh pham'!L88</f>
        <v>10500</v>
      </c>
      <c r="K13" s="28">
        <f>'3.Thanh pham'!M88</f>
        <v>10500</v>
      </c>
      <c r="L13" s="28">
        <f>'3.Thanh pham'!N88</f>
        <v>10500</v>
      </c>
      <c r="M13" s="28">
        <f>'3.Thanh pham'!O88</f>
        <v>10500</v>
      </c>
      <c r="N13" s="28">
        <f>'3.Thanh pham'!P88</f>
        <v>10500</v>
      </c>
      <c r="O13" s="28">
        <f>'3.Thanh pham'!Q88</f>
        <v>10500</v>
      </c>
      <c r="P13" s="28">
        <f>'3.Thanh pham'!R88</f>
        <v>10500</v>
      </c>
      <c r="Q13" s="28">
        <f>'3.Thanh pham'!S88</f>
        <v>10500</v>
      </c>
      <c r="R13" s="203">
        <f t="shared" si="1"/>
        <v>120000</v>
      </c>
      <c r="S13" s="956"/>
      <c r="T13" s="945">
        <v>3805</v>
      </c>
      <c r="U13" s="945">
        <v>6542</v>
      </c>
      <c r="V13" s="945">
        <v>5850</v>
      </c>
      <c r="W13" s="945">
        <v>7817</v>
      </c>
      <c r="X13" s="945">
        <v>12348</v>
      </c>
      <c r="Y13" s="945">
        <v>6870</v>
      </c>
      <c r="Z13" s="945">
        <v>13717</v>
      </c>
      <c r="AA13" s="945">
        <v>13559</v>
      </c>
      <c r="AB13" s="945">
        <v>10573</v>
      </c>
      <c r="AC13" s="1364">
        <v>7500</v>
      </c>
      <c r="AD13" s="945">
        <v>7500</v>
      </c>
      <c r="AE13" s="945">
        <v>7500</v>
      </c>
      <c r="AF13" s="354">
        <f t="shared" si="2"/>
        <v>103581</v>
      </c>
      <c r="AG13" s="6"/>
      <c r="AH13" s="354">
        <v>85204</v>
      </c>
      <c r="AI13" s="6"/>
      <c r="AJ13" s="1250">
        <v>86157</v>
      </c>
      <c r="AL13" s="945">
        <f t="shared" si="3"/>
        <v>16419</v>
      </c>
      <c r="AM13" s="947">
        <f t="shared" si="4"/>
        <v>0.15851362701653771</v>
      </c>
    </row>
    <row r="14" spans="2:39" x14ac:dyDescent="0.25">
      <c r="B14" s="8">
        <v>8</v>
      </c>
      <c r="C14" s="9" t="s">
        <v>33</v>
      </c>
      <c r="D14" s="10" t="s">
        <v>22</v>
      </c>
      <c r="E14" s="995">
        <f t="shared" si="0"/>
        <v>2.2484541877459248E-2</v>
      </c>
      <c r="F14" s="28">
        <f>'3.Thanh pham'!H89</f>
        <v>12000</v>
      </c>
      <c r="G14" s="28">
        <f>'3.Thanh pham'!I89</f>
        <v>9000</v>
      </c>
      <c r="H14" s="28">
        <f>'3.Thanh pham'!J89</f>
        <v>13000</v>
      </c>
      <c r="I14" s="28">
        <f>'3.Thanh pham'!K89</f>
        <v>14000</v>
      </c>
      <c r="J14" s="28">
        <f>'3.Thanh pham'!L89</f>
        <v>14000</v>
      </c>
      <c r="K14" s="28">
        <f>'3.Thanh pham'!M89</f>
        <v>14000</v>
      </c>
      <c r="L14" s="28">
        <f>'3.Thanh pham'!N89</f>
        <v>14000</v>
      </c>
      <c r="M14" s="28">
        <f>'3.Thanh pham'!O89</f>
        <v>14000</v>
      </c>
      <c r="N14" s="28">
        <f>'3.Thanh pham'!P89</f>
        <v>14000</v>
      </c>
      <c r="O14" s="28">
        <f>'3.Thanh pham'!Q89</f>
        <v>14000</v>
      </c>
      <c r="P14" s="28">
        <f>'3.Thanh pham'!R89</f>
        <v>14000</v>
      </c>
      <c r="Q14" s="28">
        <f>'3.Thanh pham'!S89</f>
        <v>14000</v>
      </c>
      <c r="R14" s="203">
        <f t="shared" si="1"/>
        <v>160000</v>
      </c>
      <c r="S14" s="956"/>
      <c r="T14" s="945">
        <v>6975</v>
      </c>
      <c r="U14" s="945">
        <v>8759</v>
      </c>
      <c r="V14" s="945">
        <v>4910</v>
      </c>
      <c r="W14" s="945">
        <v>15092</v>
      </c>
      <c r="X14" s="945">
        <v>11240</v>
      </c>
      <c r="Y14" s="945">
        <v>8710</v>
      </c>
      <c r="Z14" s="945">
        <v>17048</v>
      </c>
      <c r="AA14" s="945">
        <v>18066</v>
      </c>
      <c r="AB14" s="945">
        <v>13542</v>
      </c>
      <c r="AC14" s="1364">
        <v>10000</v>
      </c>
      <c r="AD14" s="945">
        <v>10000</v>
      </c>
      <c r="AE14" s="945">
        <v>10000</v>
      </c>
      <c r="AF14" s="354">
        <f t="shared" si="2"/>
        <v>134342</v>
      </c>
      <c r="AG14" s="6"/>
      <c r="AH14" s="354">
        <v>127968</v>
      </c>
      <c r="AI14" s="6"/>
      <c r="AJ14" s="1250">
        <v>151214</v>
      </c>
      <c r="AL14" s="945">
        <f t="shared" si="3"/>
        <v>25658</v>
      </c>
      <c r="AM14" s="947">
        <f t="shared" si="4"/>
        <v>0.19099015944380771</v>
      </c>
    </row>
    <row r="15" spans="2:39" x14ac:dyDescent="0.25">
      <c r="B15" s="8">
        <v>9</v>
      </c>
      <c r="C15" s="9" t="s">
        <v>37</v>
      </c>
      <c r="D15" s="10" t="s">
        <v>22</v>
      </c>
      <c r="E15" s="995">
        <f t="shared" si="0"/>
        <v>0</v>
      </c>
      <c r="F15" s="28">
        <f>'3.Thanh pham'!H90</f>
        <v>0</v>
      </c>
      <c r="G15" s="28">
        <f>'3.Thanh pham'!I90</f>
        <v>0</v>
      </c>
      <c r="H15" s="28">
        <f>'3.Thanh pham'!J90</f>
        <v>0</v>
      </c>
      <c r="I15" s="28">
        <f>'3.Thanh pham'!K90</f>
        <v>0</v>
      </c>
      <c r="J15" s="28">
        <f>'3.Thanh pham'!L90</f>
        <v>0</v>
      </c>
      <c r="K15" s="28">
        <f>'3.Thanh pham'!M90</f>
        <v>0</v>
      </c>
      <c r="L15" s="28">
        <f>'3.Thanh pham'!N90</f>
        <v>0</v>
      </c>
      <c r="M15" s="28">
        <f>'3.Thanh pham'!O90</f>
        <v>0</v>
      </c>
      <c r="N15" s="28">
        <f>'3.Thanh pham'!P90</f>
        <v>0</v>
      </c>
      <c r="O15" s="28">
        <f>'3.Thanh pham'!Q90</f>
        <v>0</v>
      </c>
      <c r="P15" s="28">
        <f>'3.Thanh pham'!R90</f>
        <v>0</v>
      </c>
      <c r="Q15" s="28">
        <f>'3.Thanh pham'!S90</f>
        <v>0</v>
      </c>
      <c r="R15" s="203">
        <f t="shared" si="1"/>
        <v>0</v>
      </c>
      <c r="S15" s="956"/>
      <c r="T15" s="945"/>
      <c r="U15" s="945"/>
      <c r="V15" s="945"/>
      <c r="W15" s="945"/>
      <c r="X15" s="945"/>
      <c r="Y15" s="945"/>
      <c r="Z15" s="945"/>
      <c r="AA15" s="945"/>
      <c r="AB15" s="945"/>
      <c r="AC15" s="1364"/>
      <c r="AD15" s="945"/>
      <c r="AE15" s="945"/>
      <c r="AF15" s="354">
        <f t="shared" si="2"/>
        <v>0</v>
      </c>
      <c r="AG15" s="6"/>
      <c r="AH15" s="354">
        <v>11776</v>
      </c>
      <c r="AI15" s="6"/>
      <c r="AJ15" s="1250"/>
      <c r="AL15" s="945">
        <f t="shared" si="3"/>
        <v>0</v>
      </c>
      <c r="AM15" s="947">
        <f t="shared" si="4"/>
        <v>0</v>
      </c>
    </row>
    <row r="16" spans="2:39" x14ac:dyDescent="0.25">
      <c r="B16" s="8">
        <v>10</v>
      </c>
      <c r="C16" s="9" t="s">
        <v>38</v>
      </c>
      <c r="D16" s="10" t="s">
        <v>22</v>
      </c>
      <c r="E16" s="995">
        <f t="shared" si="0"/>
        <v>0.26981450252951095</v>
      </c>
      <c r="F16" s="28">
        <f>'3.Thanh pham'!H91</f>
        <v>144000</v>
      </c>
      <c r="G16" s="28">
        <f>'3.Thanh pham'!I91</f>
        <v>108000</v>
      </c>
      <c r="H16" s="28">
        <f>'3.Thanh pham'!J91</f>
        <v>156000</v>
      </c>
      <c r="I16" s="28">
        <f>'3.Thanh pham'!K91</f>
        <v>168000</v>
      </c>
      <c r="J16" s="28">
        <f>'3.Thanh pham'!L91</f>
        <v>168000</v>
      </c>
      <c r="K16" s="28">
        <f>'3.Thanh pham'!M91</f>
        <v>168000</v>
      </c>
      <c r="L16" s="28">
        <f>'3.Thanh pham'!N91</f>
        <v>168000</v>
      </c>
      <c r="M16" s="28">
        <f>'3.Thanh pham'!O91</f>
        <v>168000</v>
      </c>
      <c r="N16" s="28">
        <f>'3.Thanh pham'!P91</f>
        <v>168000</v>
      </c>
      <c r="O16" s="28">
        <f>'3.Thanh pham'!Q91</f>
        <v>168000</v>
      </c>
      <c r="P16" s="28">
        <f>'3.Thanh pham'!R91</f>
        <v>168000</v>
      </c>
      <c r="Q16" s="28">
        <f>'3.Thanh pham'!S91</f>
        <v>168000</v>
      </c>
      <c r="R16" s="203">
        <f t="shared" ref="R16:R17" si="5">SUM(F16:Q16)</f>
        <v>1920000</v>
      </c>
      <c r="S16" s="956"/>
      <c r="T16" s="945">
        <v>73417</v>
      </c>
      <c r="U16" s="945">
        <v>7620</v>
      </c>
      <c r="V16" s="945">
        <v>88130</v>
      </c>
      <c r="W16" s="945">
        <v>200401</v>
      </c>
      <c r="X16" s="945">
        <v>104534</v>
      </c>
      <c r="Y16" s="945">
        <v>108010</v>
      </c>
      <c r="Z16" s="945">
        <v>164167</v>
      </c>
      <c r="AA16" s="945">
        <v>174065</v>
      </c>
      <c r="AB16" s="945">
        <v>145925</v>
      </c>
      <c r="AC16" s="1364">
        <v>120000</v>
      </c>
      <c r="AD16" s="945">
        <v>120000</v>
      </c>
      <c r="AE16" s="945">
        <v>120000</v>
      </c>
      <c r="AF16" s="354">
        <f t="shared" si="2"/>
        <v>1426269</v>
      </c>
      <c r="AG16" s="6"/>
      <c r="AH16" s="354">
        <v>1151193</v>
      </c>
      <c r="AI16" s="6"/>
      <c r="AJ16" s="1250">
        <v>981342</v>
      </c>
      <c r="AL16" s="945">
        <f t="shared" si="3"/>
        <v>493731</v>
      </c>
      <c r="AM16" s="947">
        <f t="shared" si="4"/>
        <v>0.34616962157909903</v>
      </c>
    </row>
    <row r="17" spans="2:47" x14ac:dyDescent="0.25">
      <c r="B17" s="8">
        <v>11</v>
      </c>
      <c r="C17" s="9" t="s">
        <v>402</v>
      </c>
      <c r="D17" s="10" t="s">
        <v>22</v>
      </c>
      <c r="E17" s="995">
        <f t="shared" si="0"/>
        <v>0</v>
      </c>
      <c r="F17" s="28">
        <f>'3.Thanh pham'!H92</f>
        <v>0</v>
      </c>
      <c r="G17" s="28">
        <f>'3.Thanh pham'!I92</f>
        <v>0</v>
      </c>
      <c r="H17" s="28">
        <f>'3.Thanh pham'!J92</f>
        <v>0</v>
      </c>
      <c r="I17" s="28">
        <f>'3.Thanh pham'!K92</f>
        <v>0</v>
      </c>
      <c r="J17" s="28">
        <f>'3.Thanh pham'!L92</f>
        <v>0</v>
      </c>
      <c r="K17" s="28">
        <f>'3.Thanh pham'!M92</f>
        <v>0</v>
      </c>
      <c r="L17" s="28">
        <f>'3.Thanh pham'!N92</f>
        <v>0</v>
      </c>
      <c r="M17" s="28">
        <f>'3.Thanh pham'!O92</f>
        <v>0</v>
      </c>
      <c r="N17" s="28">
        <f>'3.Thanh pham'!P92</f>
        <v>0</v>
      </c>
      <c r="O17" s="28">
        <f>'3.Thanh pham'!Q92</f>
        <v>0</v>
      </c>
      <c r="P17" s="28">
        <f>'3.Thanh pham'!R92</f>
        <v>0</v>
      </c>
      <c r="Q17" s="28">
        <f>'3.Thanh pham'!S92</f>
        <v>0</v>
      </c>
      <c r="R17" s="203">
        <f t="shared" si="5"/>
        <v>0</v>
      </c>
      <c r="S17" s="956"/>
      <c r="T17" s="945"/>
      <c r="U17" s="945"/>
      <c r="V17" s="945"/>
      <c r="W17" s="945"/>
      <c r="X17" s="945"/>
      <c r="Y17" s="945"/>
      <c r="Z17" s="945"/>
      <c r="AA17" s="945"/>
      <c r="AB17" s="945"/>
      <c r="AC17" s="1364"/>
      <c r="AD17" s="945"/>
      <c r="AE17" s="945"/>
      <c r="AF17" s="354">
        <f t="shared" si="2"/>
        <v>0</v>
      </c>
      <c r="AG17" s="6"/>
      <c r="AH17" s="354"/>
      <c r="AI17" s="6"/>
      <c r="AJ17" s="1250"/>
      <c r="AL17" s="945">
        <f t="shared" si="3"/>
        <v>0</v>
      </c>
      <c r="AM17" s="947">
        <f t="shared" si="4"/>
        <v>0</v>
      </c>
    </row>
    <row r="18" spans="2:47" x14ac:dyDescent="0.25">
      <c r="B18" s="8">
        <v>12</v>
      </c>
      <c r="C18" s="9" t="s">
        <v>311</v>
      </c>
      <c r="D18" s="10" t="s">
        <v>22</v>
      </c>
      <c r="E18" s="995">
        <f t="shared" si="0"/>
        <v>0</v>
      </c>
      <c r="F18" s="28">
        <f>'3.Thanh pham'!H93</f>
        <v>0</v>
      </c>
      <c r="G18" s="28">
        <f>'3.Thanh pham'!I93</f>
        <v>0</v>
      </c>
      <c r="H18" s="28">
        <f>'3.Thanh pham'!J93</f>
        <v>0</v>
      </c>
      <c r="I18" s="28">
        <f>'3.Thanh pham'!K93</f>
        <v>0</v>
      </c>
      <c r="J18" s="28">
        <f>'3.Thanh pham'!L93</f>
        <v>0</v>
      </c>
      <c r="K18" s="28">
        <f>'3.Thanh pham'!M93</f>
        <v>0</v>
      </c>
      <c r="L18" s="28">
        <f>'3.Thanh pham'!N93</f>
        <v>0</v>
      </c>
      <c r="M18" s="28">
        <f>'3.Thanh pham'!O93</f>
        <v>0</v>
      </c>
      <c r="N18" s="28">
        <f>'3.Thanh pham'!P93</f>
        <v>0</v>
      </c>
      <c r="O18" s="28">
        <f>'3.Thanh pham'!Q93</f>
        <v>0</v>
      </c>
      <c r="P18" s="28">
        <f>'3.Thanh pham'!R93</f>
        <v>0</v>
      </c>
      <c r="Q18" s="28">
        <f>'3.Thanh pham'!S93</f>
        <v>0</v>
      </c>
      <c r="R18" s="203">
        <f t="shared" si="1"/>
        <v>0</v>
      </c>
      <c r="S18" s="956"/>
      <c r="T18" s="945"/>
      <c r="U18" s="945"/>
      <c r="V18" s="945">
        <v>3650</v>
      </c>
      <c r="W18" s="945"/>
      <c r="X18" s="945"/>
      <c r="Y18" s="945"/>
      <c r="Z18" s="945"/>
      <c r="AA18" s="945">
        <v>3386</v>
      </c>
      <c r="AB18" s="945">
        <v>1364</v>
      </c>
      <c r="AC18" s="1364"/>
      <c r="AD18" s="945"/>
      <c r="AE18" s="945"/>
      <c r="AF18" s="354">
        <f t="shared" si="2"/>
        <v>8400</v>
      </c>
      <c r="AG18" s="6"/>
      <c r="AH18" s="354"/>
      <c r="AI18" s="6"/>
      <c r="AJ18" s="1250"/>
      <c r="AL18" s="945">
        <f t="shared" si="3"/>
        <v>-8400</v>
      </c>
      <c r="AM18" s="947">
        <f t="shared" si="4"/>
        <v>-1</v>
      </c>
    </row>
    <row r="19" spans="2:47" x14ac:dyDescent="0.25">
      <c r="B19" s="8">
        <v>13</v>
      </c>
      <c r="C19" s="22" t="s">
        <v>403</v>
      </c>
      <c r="D19" s="10" t="s">
        <v>22</v>
      </c>
      <c r="E19" s="995">
        <f t="shared" si="0"/>
        <v>1.1242270938729624E-2</v>
      </c>
      <c r="F19" s="28">
        <f>'3.Thanh pham'!H94</f>
        <v>6000</v>
      </c>
      <c r="G19" s="28">
        <f>'3.Thanh pham'!I94</f>
        <v>4500</v>
      </c>
      <c r="H19" s="28">
        <f>'3.Thanh pham'!J94</f>
        <v>6500</v>
      </c>
      <c r="I19" s="28">
        <f>'3.Thanh pham'!K94</f>
        <v>7000</v>
      </c>
      <c r="J19" s="28">
        <f>'3.Thanh pham'!L94</f>
        <v>7000</v>
      </c>
      <c r="K19" s="28">
        <f>'3.Thanh pham'!M94</f>
        <v>7000</v>
      </c>
      <c r="L19" s="28">
        <f>'3.Thanh pham'!N94</f>
        <v>7000</v>
      </c>
      <c r="M19" s="28">
        <f>'3.Thanh pham'!O94</f>
        <v>7000</v>
      </c>
      <c r="N19" s="28">
        <f>'3.Thanh pham'!P94</f>
        <v>7000</v>
      </c>
      <c r="O19" s="28">
        <f>'3.Thanh pham'!Q94</f>
        <v>7000</v>
      </c>
      <c r="P19" s="28">
        <f>'3.Thanh pham'!R94</f>
        <v>7000</v>
      </c>
      <c r="Q19" s="28">
        <f>'3.Thanh pham'!S94</f>
        <v>7000</v>
      </c>
      <c r="R19" s="203">
        <f t="shared" si="1"/>
        <v>80000</v>
      </c>
      <c r="S19" s="956"/>
      <c r="T19" s="945"/>
      <c r="U19" s="945"/>
      <c r="V19" s="945"/>
      <c r="W19" s="945"/>
      <c r="X19" s="945"/>
      <c r="Y19" s="945"/>
      <c r="Z19" s="945"/>
      <c r="AA19" s="945"/>
      <c r="AB19" s="945"/>
      <c r="AC19" s="1364"/>
      <c r="AD19" s="945"/>
      <c r="AE19" s="945"/>
      <c r="AF19" s="354">
        <f t="shared" si="2"/>
        <v>0</v>
      </c>
      <c r="AG19" s="6"/>
      <c r="AH19" s="354"/>
      <c r="AI19" s="6"/>
      <c r="AJ19" s="1250"/>
      <c r="AL19" s="945">
        <f t="shared" si="3"/>
        <v>80000</v>
      </c>
      <c r="AM19" s="947">
        <f t="shared" si="4"/>
        <v>0</v>
      </c>
    </row>
    <row r="20" spans="2:47" ht="15" customHeight="1" x14ac:dyDescent="0.25">
      <c r="B20" s="8">
        <v>14</v>
      </c>
      <c r="C20" s="9" t="s">
        <v>404</v>
      </c>
      <c r="D20" s="10" t="s">
        <v>22</v>
      </c>
      <c r="E20" s="995">
        <f t="shared" si="0"/>
        <v>3.3726812816188868E-2</v>
      </c>
      <c r="F20" s="28">
        <f>'3.Thanh pham'!H95</f>
        <v>18000</v>
      </c>
      <c r="G20" s="28">
        <f>'3.Thanh pham'!I95</f>
        <v>13500</v>
      </c>
      <c r="H20" s="28">
        <f>'3.Thanh pham'!J95</f>
        <v>19500</v>
      </c>
      <c r="I20" s="28">
        <f>'3.Thanh pham'!K95</f>
        <v>21000</v>
      </c>
      <c r="J20" s="28">
        <f>'3.Thanh pham'!L95</f>
        <v>21000</v>
      </c>
      <c r="K20" s="28">
        <f>'3.Thanh pham'!M95</f>
        <v>21000</v>
      </c>
      <c r="L20" s="28">
        <f>'3.Thanh pham'!N95</f>
        <v>21000</v>
      </c>
      <c r="M20" s="28">
        <f>'3.Thanh pham'!O95</f>
        <v>21000</v>
      </c>
      <c r="N20" s="28">
        <f>'3.Thanh pham'!P95</f>
        <v>21000</v>
      </c>
      <c r="O20" s="28">
        <f>'3.Thanh pham'!Q95</f>
        <v>21000</v>
      </c>
      <c r="P20" s="28">
        <f>'3.Thanh pham'!R95</f>
        <v>21000</v>
      </c>
      <c r="Q20" s="28">
        <f>'3.Thanh pham'!S95</f>
        <v>21000</v>
      </c>
      <c r="R20" s="203">
        <f t="shared" ref="R20" si="6">SUM(F20:Q20)</f>
        <v>240000</v>
      </c>
      <c r="S20" s="956"/>
      <c r="T20" s="945">
        <v>7010</v>
      </c>
      <c r="U20" s="945">
        <v>12644</v>
      </c>
      <c r="V20" s="945">
        <v>20860</v>
      </c>
      <c r="W20" s="945">
        <v>14520</v>
      </c>
      <c r="X20" s="945">
        <v>32092</v>
      </c>
      <c r="Y20" s="945">
        <v>3380</v>
      </c>
      <c r="Z20" s="945">
        <v>12888</v>
      </c>
      <c r="AA20" s="945">
        <v>6982</v>
      </c>
      <c r="AB20" s="945">
        <v>6454</v>
      </c>
      <c r="AC20" s="1364">
        <v>20000</v>
      </c>
      <c r="AD20" s="945">
        <v>20000</v>
      </c>
      <c r="AE20" s="945">
        <v>20000</v>
      </c>
      <c r="AF20" s="354">
        <f t="shared" si="2"/>
        <v>176830</v>
      </c>
      <c r="AG20" s="6"/>
      <c r="AH20" s="354">
        <v>177804</v>
      </c>
      <c r="AI20" s="6"/>
      <c r="AJ20" s="1250">
        <v>130416</v>
      </c>
      <c r="AL20" s="945">
        <f t="shared" si="3"/>
        <v>63170</v>
      </c>
      <c r="AM20" s="947">
        <f t="shared" si="4"/>
        <v>0.35723576316235928</v>
      </c>
    </row>
    <row r="21" spans="2:47" ht="15" customHeight="1" x14ac:dyDescent="0.25">
      <c r="B21" s="8">
        <v>15</v>
      </c>
      <c r="C21" s="9" t="s">
        <v>25</v>
      </c>
      <c r="D21" s="10" t="s">
        <v>22</v>
      </c>
      <c r="E21" s="995">
        <f t="shared" si="0"/>
        <v>0</v>
      </c>
      <c r="F21" s="28">
        <f>'3.Thanh pham'!H96</f>
        <v>0</v>
      </c>
      <c r="G21" s="28">
        <f>'3.Thanh pham'!I96</f>
        <v>0</v>
      </c>
      <c r="H21" s="28">
        <f>'3.Thanh pham'!J96</f>
        <v>0</v>
      </c>
      <c r="I21" s="28">
        <f>'3.Thanh pham'!K96</f>
        <v>0</v>
      </c>
      <c r="J21" s="28">
        <f>'3.Thanh pham'!L96</f>
        <v>0</v>
      </c>
      <c r="K21" s="28">
        <f>'3.Thanh pham'!M96</f>
        <v>0</v>
      </c>
      <c r="L21" s="28">
        <f>'3.Thanh pham'!N96</f>
        <v>0</v>
      </c>
      <c r="M21" s="28">
        <f>'3.Thanh pham'!O96</f>
        <v>0</v>
      </c>
      <c r="N21" s="28">
        <f>'3.Thanh pham'!P96</f>
        <v>0</v>
      </c>
      <c r="O21" s="28">
        <f>'3.Thanh pham'!Q96</f>
        <v>0</v>
      </c>
      <c r="P21" s="28">
        <f>'3.Thanh pham'!R96</f>
        <v>0</v>
      </c>
      <c r="Q21" s="28">
        <f>'3.Thanh pham'!S96</f>
        <v>0</v>
      </c>
      <c r="R21" s="203">
        <f t="shared" si="1"/>
        <v>0</v>
      </c>
      <c r="S21" s="956"/>
      <c r="T21" s="945"/>
      <c r="U21" s="945"/>
      <c r="V21" s="945">
        <v>1860</v>
      </c>
      <c r="W21" s="945"/>
      <c r="X21" s="945"/>
      <c r="Y21" s="945">
        <v>1490</v>
      </c>
      <c r="Z21" s="945"/>
      <c r="AA21" s="945"/>
      <c r="AB21" s="945">
        <v>7932</v>
      </c>
      <c r="AC21" s="1364"/>
      <c r="AD21" s="945"/>
      <c r="AE21" s="945"/>
      <c r="AF21" s="354">
        <f t="shared" si="2"/>
        <v>11282</v>
      </c>
      <c r="AG21" s="6"/>
      <c r="AH21" s="354">
        <v>17056.400000000001</v>
      </c>
      <c r="AI21" s="6"/>
      <c r="AJ21" s="1250">
        <v>85330</v>
      </c>
      <c r="AL21" s="945">
        <f t="shared" si="3"/>
        <v>-11282</v>
      </c>
      <c r="AM21" s="947">
        <f t="shared" si="4"/>
        <v>-1</v>
      </c>
    </row>
    <row r="22" spans="2:47" x14ac:dyDescent="0.25">
      <c r="B22" s="23"/>
      <c r="C22" s="24" t="s">
        <v>41</v>
      </c>
      <c r="D22" s="25"/>
      <c r="E22" s="996">
        <f>SUM(E7:E21)</f>
        <v>1.0000000000000002</v>
      </c>
      <c r="F22" s="29">
        <f>SUM(F7:F21)</f>
        <v>533700</v>
      </c>
      <c r="G22" s="29">
        <f t="shared" ref="G22:Q22" si="7">SUM(G7:G21)</f>
        <v>400275</v>
      </c>
      <c r="H22" s="29">
        <f t="shared" si="7"/>
        <v>578175</v>
      </c>
      <c r="I22" s="29">
        <f t="shared" si="7"/>
        <v>622650</v>
      </c>
      <c r="J22" s="29">
        <f t="shared" si="7"/>
        <v>622650</v>
      </c>
      <c r="K22" s="29">
        <f t="shared" si="7"/>
        <v>622650</v>
      </c>
      <c r="L22" s="29">
        <f t="shared" si="7"/>
        <v>622650</v>
      </c>
      <c r="M22" s="29">
        <f t="shared" si="7"/>
        <v>622650</v>
      </c>
      <c r="N22" s="29">
        <f t="shared" si="7"/>
        <v>622650</v>
      </c>
      <c r="O22" s="29">
        <f t="shared" si="7"/>
        <v>622650</v>
      </c>
      <c r="P22" s="29">
        <f t="shared" si="7"/>
        <v>622650</v>
      </c>
      <c r="Q22" s="29">
        <f t="shared" si="7"/>
        <v>622650</v>
      </c>
      <c r="R22" s="29">
        <f>SUM(F22:Q22)</f>
        <v>7116000</v>
      </c>
      <c r="S22" s="956"/>
      <c r="T22" s="370">
        <f>SUM(T7:T21)</f>
        <v>242078</v>
      </c>
      <c r="U22" s="370">
        <f t="shared" ref="U22:AE22" si="8">SUM(U7:U21)</f>
        <v>310593</v>
      </c>
      <c r="V22" s="370">
        <f t="shared" si="8"/>
        <v>475987</v>
      </c>
      <c r="W22" s="370">
        <f t="shared" si="8"/>
        <v>519903</v>
      </c>
      <c r="X22" s="370">
        <f t="shared" si="8"/>
        <v>467356</v>
      </c>
      <c r="Y22" s="370">
        <f t="shared" si="8"/>
        <v>510435</v>
      </c>
      <c r="Z22" s="370">
        <f t="shared" si="8"/>
        <v>718970</v>
      </c>
      <c r="AA22" s="370">
        <f t="shared" si="8"/>
        <v>711699</v>
      </c>
      <c r="AB22" s="370">
        <f t="shared" si="8"/>
        <v>598278</v>
      </c>
      <c r="AC22" s="370">
        <f t="shared" si="8"/>
        <v>441500</v>
      </c>
      <c r="AD22" s="370">
        <f t="shared" si="8"/>
        <v>441500</v>
      </c>
      <c r="AE22" s="370">
        <f t="shared" si="8"/>
        <v>441500</v>
      </c>
      <c r="AF22" s="370">
        <f>SUM(T22:AE22)</f>
        <v>5879799</v>
      </c>
      <c r="AG22" s="6"/>
      <c r="AH22" s="370">
        <f>SUM(AH7:AH21)</f>
        <v>4895018.4000000004</v>
      </c>
      <c r="AI22" s="6"/>
      <c r="AJ22" s="370">
        <f>SUM(AJ7:AJ21)</f>
        <v>5652770.5</v>
      </c>
      <c r="AL22" s="370">
        <f t="shared" si="3"/>
        <v>1236201</v>
      </c>
      <c r="AM22" s="906">
        <f t="shared" si="4"/>
        <v>0.21024545226801128</v>
      </c>
    </row>
    <row r="23" spans="2:47" ht="12.5" x14ac:dyDescent="0.25">
      <c r="R23" s="50"/>
      <c r="S23" s="957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50"/>
      <c r="AG23" s="6"/>
      <c r="AH23" s="50"/>
      <c r="AI23" s="6"/>
      <c r="AJ23" s="50"/>
      <c r="AL23" s="50"/>
      <c r="AM23" s="50"/>
    </row>
    <row r="24" spans="2:47" x14ac:dyDescent="0.3">
      <c r="B24" s="5" t="s">
        <v>299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G24" s="6"/>
      <c r="AI24" s="6"/>
      <c r="AJ24" s="5"/>
      <c r="AL24" s="5"/>
      <c r="AM24" s="5"/>
    </row>
    <row r="25" spans="2:47" ht="25.5" customHeight="1" x14ac:dyDescent="0.25">
      <c r="B25" s="141" t="s">
        <v>0</v>
      </c>
      <c r="C25" s="141" t="s">
        <v>81</v>
      </c>
      <c r="D25" s="141" t="s">
        <v>11</v>
      </c>
      <c r="E25" s="269" t="s">
        <v>1814</v>
      </c>
      <c r="F25" s="7" t="s">
        <v>56</v>
      </c>
      <c r="G25" s="7" t="s">
        <v>57</v>
      </c>
      <c r="H25" s="7" t="s">
        <v>58</v>
      </c>
      <c r="I25" s="7" t="s">
        <v>59</v>
      </c>
      <c r="J25" s="7" t="s">
        <v>60</v>
      </c>
      <c r="K25" s="7" t="s">
        <v>61</v>
      </c>
      <c r="L25" s="7" t="s">
        <v>62</v>
      </c>
      <c r="M25" s="7" t="s">
        <v>63</v>
      </c>
      <c r="N25" s="7" t="s">
        <v>64</v>
      </c>
      <c r="O25" s="7" t="s">
        <v>65</v>
      </c>
      <c r="P25" s="7" t="s">
        <v>66</v>
      </c>
      <c r="Q25" s="7" t="s">
        <v>67</v>
      </c>
      <c r="R25" s="7" t="s">
        <v>2246</v>
      </c>
      <c r="S25" s="196"/>
      <c r="T25" s="942" t="s">
        <v>56</v>
      </c>
      <c r="U25" s="942" t="s">
        <v>57</v>
      </c>
      <c r="V25" s="942" t="s">
        <v>58</v>
      </c>
      <c r="W25" s="942" t="s">
        <v>59</v>
      </c>
      <c r="X25" s="942" t="s">
        <v>60</v>
      </c>
      <c r="Y25" s="942" t="s">
        <v>61</v>
      </c>
      <c r="Z25" s="942" t="s">
        <v>62</v>
      </c>
      <c r="AA25" s="942" t="s">
        <v>63</v>
      </c>
      <c r="AB25" s="942" t="s">
        <v>64</v>
      </c>
      <c r="AC25" s="942" t="s">
        <v>65</v>
      </c>
      <c r="AD25" s="942" t="s">
        <v>66</v>
      </c>
      <c r="AE25" s="942" t="s">
        <v>67</v>
      </c>
      <c r="AF25" s="942" t="s">
        <v>405</v>
      </c>
      <c r="AG25" s="36"/>
      <c r="AH25" s="942" t="s">
        <v>1942</v>
      </c>
      <c r="AI25" s="36"/>
      <c r="AJ25" s="942" t="s">
        <v>1943</v>
      </c>
      <c r="AK25" s="36"/>
      <c r="AL25" s="943" t="s">
        <v>749</v>
      </c>
      <c r="AM25" s="944" t="s">
        <v>750</v>
      </c>
      <c r="AN25" s="968"/>
      <c r="AO25" s="1452" t="s">
        <v>1811</v>
      </c>
      <c r="AP25" s="1452" t="s">
        <v>1812</v>
      </c>
      <c r="AQ25" s="1451" t="s">
        <v>1825</v>
      </c>
      <c r="AR25" s="1452" t="s">
        <v>6</v>
      </c>
      <c r="AS25" s="1452"/>
      <c r="AT25" s="1451" t="s">
        <v>1813</v>
      </c>
      <c r="AU25" s="1451" t="s">
        <v>1824</v>
      </c>
    </row>
    <row r="26" spans="2:47" x14ac:dyDescent="0.25">
      <c r="B26" s="358">
        <v>1</v>
      </c>
      <c r="C26" s="359" t="s">
        <v>35</v>
      </c>
      <c r="D26" s="360" t="s">
        <v>52</v>
      </c>
      <c r="E26" s="361"/>
      <c r="F26" s="361">
        <f>$AU$27</f>
        <v>15000</v>
      </c>
      <c r="G26" s="361">
        <f t="shared" ref="G26:Q29" si="9">$AU$27</f>
        <v>15000</v>
      </c>
      <c r="H26" s="361">
        <f t="shared" si="9"/>
        <v>15000</v>
      </c>
      <c r="I26" s="361">
        <f t="shared" si="9"/>
        <v>15000</v>
      </c>
      <c r="J26" s="361">
        <f t="shared" si="9"/>
        <v>15000</v>
      </c>
      <c r="K26" s="361">
        <f t="shared" si="9"/>
        <v>15000</v>
      </c>
      <c r="L26" s="361">
        <f t="shared" si="9"/>
        <v>15000</v>
      </c>
      <c r="M26" s="361">
        <f t="shared" si="9"/>
        <v>15000</v>
      </c>
      <c r="N26" s="361">
        <f t="shared" si="9"/>
        <v>15000</v>
      </c>
      <c r="O26" s="361">
        <f t="shared" si="9"/>
        <v>15000</v>
      </c>
      <c r="P26" s="361">
        <f t="shared" si="9"/>
        <v>15000</v>
      </c>
      <c r="Q26" s="361">
        <f t="shared" si="9"/>
        <v>15000</v>
      </c>
      <c r="R26" s="361">
        <f>IFERROR(AVERAGEA(F26:Q26),0)</f>
        <v>15000</v>
      </c>
      <c r="S26" s="941"/>
      <c r="T26" s="948">
        <f>IFERROR(T45/T7,0)</f>
        <v>17452.911708221854</v>
      </c>
      <c r="U26" s="948">
        <f t="shared" ref="U26:AB26" si="10">IFERROR(U45/U7,0)</f>
        <v>16241.454226129545</v>
      </c>
      <c r="V26" s="948">
        <f t="shared" si="10"/>
        <v>17309.089721089975</v>
      </c>
      <c r="W26" s="948">
        <f t="shared" si="10"/>
        <v>18573.574478774179</v>
      </c>
      <c r="X26" s="948">
        <f t="shared" si="10"/>
        <v>18390.796542634707</v>
      </c>
      <c r="Y26" s="948">
        <f t="shared" si="10"/>
        <v>18717.792098902282</v>
      </c>
      <c r="Z26" s="948">
        <f t="shared" si="10"/>
        <v>19089.519259631947</v>
      </c>
      <c r="AA26" s="948">
        <f t="shared" si="10"/>
        <v>17673.183795436933</v>
      </c>
      <c r="AB26" s="948">
        <f t="shared" si="10"/>
        <v>15658.950596115817</v>
      </c>
      <c r="AC26" s="948">
        <v>15000</v>
      </c>
      <c r="AD26" s="948">
        <v>15000</v>
      </c>
      <c r="AE26" s="948">
        <v>15000</v>
      </c>
      <c r="AF26" s="361">
        <f>IFERROR(AVERAGEA(T26:AE26),0)</f>
        <v>17008.939368911433</v>
      </c>
      <c r="AG26" s="6"/>
      <c r="AH26" s="948">
        <f>IFERROR(AH45/AH7,0)</f>
        <v>17331.591033449648</v>
      </c>
      <c r="AI26" s="6"/>
      <c r="AJ26" s="948">
        <f>IFERROR(AJ45/AJ7,0)</f>
        <v>16510.254445070012</v>
      </c>
      <c r="AL26" s="945">
        <f t="shared" ref="AL26:AL40" si="11">IFERROR(R26-AF26,0)</f>
        <v>-2008.9393689114331</v>
      </c>
      <c r="AM26" s="949">
        <f t="shared" ref="AM26:AM41" si="12">IFERROR((R26/AF26)-1,0)</f>
        <v>-0.11811079605488684</v>
      </c>
      <c r="AN26" s="968"/>
      <c r="AO26" s="1452"/>
      <c r="AP26" s="1452"/>
      <c r="AQ26" s="1451"/>
      <c r="AR26" s="715" t="s">
        <v>1814</v>
      </c>
      <c r="AS26" s="715" t="s">
        <v>1815</v>
      </c>
      <c r="AT26" s="1451"/>
      <c r="AU26" s="1451"/>
    </row>
    <row r="27" spans="2:47" ht="17.5" customHeight="1" x14ac:dyDescent="0.25">
      <c r="B27" s="358">
        <v>2</v>
      </c>
      <c r="C27" s="359" t="s">
        <v>401</v>
      </c>
      <c r="D27" s="360" t="s">
        <v>52</v>
      </c>
      <c r="E27" s="361"/>
      <c r="F27" s="361">
        <f>$AU$27</f>
        <v>15000</v>
      </c>
      <c r="G27" s="361">
        <f t="shared" si="9"/>
        <v>15000</v>
      </c>
      <c r="H27" s="361">
        <f t="shared" si="9"/>
        <v>15000</v>
      </c>
      <c r="I27" s="361">
        <f t="shared" si="9"/>
        <v>15000</v>
      </c>
      <c r="J27" s="361">
        <f t="shared" si="9"/>
        <v>15000</v>
      </c>
      <c r="K27" s="361">
        <f t="shared" si="9"/>
        <v>15000</v>
      </c>
      <c r="L27" s="361">
        <f t="shared" si="9"/>
        <v>15000</v>
      </c>
      <c r="M27" s="361">
        <f t="shared" si="9"/>
        <v>15000</v>
      </c>
      <c r="N27" s="361">
        <f t="shared" si="9"/>
        <v>15000</v>
      </c>
      <c r="O27" s="361">
        <f t="shared" si="9"/>
        <v>15000</v>
      </c>
      <c r="P27" s="361">
        <f t="shared" si="9"/>
        <v>15000</v>
      </c>
      <c r="Q27" s="361">
        <f t="shared" si="9"/>
        <v>15000</v>
      </c>
      <c r="R27" s="361">
        <f t="shared" ref="R27:R40" si="13">IFERROR(AVERAGEA(F27:Q27),0)</f>
        <v>15000</v>
      </c>
      <c r="S27" s="941"/>
      <c r="T27" s="948">
        <f t="shared" ref="T27:AB40" si="14">IFERROR(T46/T8,0)</f>
        <v>0</v>
      </c>
      <c r="U27" s="948">
        <f t="shared" si="14"/>
        <v>0</v>
      </c>
      <c r="V27" s="948">
        <f t="shared" si="14"/>
        <v>0</v>
      </c>
      <c r="W27" s="948">
        <f t="shared" si="14"/>
        <v>0</v>
      </c>
      <c r="X27" s="948">
        <f t="shared" si="14"/>
        <v>0</v>
      </c>
      <c r="Y27" s="948">
        <f t="shared" si="14"/>
        <v>0</v>
      </c>
      <c r="Z27" s="948">
        <f t="shared" si="14"/>
        <v>0</v>
      </c>
      <c r="AA27" s="948">
        <f t="shared" si="14"/>
        <v>0</v>
      </c>
      <c r="AB27" s="948">
        <f t="shared" si="14"/>
        <v>15000</v>
      </c>
      <c r="AC27" s="948"/>
      <c r="AD27" s="948"/>
      <c r="AE27" s="948"/>
      <c r="AF27" s="361">
        <f>IFERROR(AVERAGEA(AB27),0)</f>
        <v>15000</v>
      </c>
      <c r="AG27" s="6"/>
      <c r="AH27" s="948">
        <f t="shared" ref="AH27:AJ40" si="15">IFERROR(AH46/AH8,0)</f>
        <v>16477.286781496925</v>
      </c>
      <c r="AI27" s="6"/>
      <c r="AJ27" s="948">
        <f t="shared" si="15"/>
        <v>0</v>
      </c>
      <c r="AL27" s="945">
        <f t="shared" si="11"/>
        <v>0</v>
      </c>
      <c r="AM27" s="949">
        <f t="shared" si="12"/>
        <v>0</v>
      </c>
      <c r="AN27" s="969"/>
      <c r="AO27" s="716" t="s">
        <v>1816</v>
      </c>
      <c r="AP27" s="716" t="s">
        <v>1822</v>
      </c>
      <c r="AQ27" s="717">
        <f>'1.NVL Chai'!T34</f>
        <v>10000</v>
      </c>
      <c r="AR27" s="1416">
        <v>0.11</v>
      </c>
      <c r="AS27" s="719">
        <f>AQ27*AR27</f>
        <v>1100</v>
      </c>
      <c r="AT27" s="717">
        <f>3500+500</f>
        <v>4000</v>
      </c>
      <c r="AU27" s="1418">
        <v>15000</v>
      </c>
    </row>
    <row r="28" spans="2:47" ht="14" x14ac:dyDescent="0.25">
      <c r="B28" s="358">
        <v>3</v>
      </c>
      <c r="C28" s="359" t="s">
        <v>42</v>
      </c>
      <c r="D28" s="360" t="s">
        <v>52</v>
      </c>
      <c r="E28" s="361"/>
      <c r="F28" s="361">
        <f>$AU$27</f>
        <v>15000</v>
      </c>
      <c r="G28" s="361">
        <f t="shared" si="9"/>
        <v>15000</v>
      </c>
      <c r="H28" s="361">
        <f t="shared" si="9"/>
        <v>15000</v>
      </c>
      <c r="I28" s="361">
        <f t="shared" si="9"/>
        <v>15000</v>
      </c>
      <c r="J28" s="361">
        <f t="shared" si="9"/>
        <v>15000</v>
      </c>
      <c r="K28" s="361">
        <f t="shared" si="9"/>
        <v>15000</v>
      </c>
      <c r="L28" s="361">
        <f t="shared" si="9"/>
        <v>15000</v>
      </c>
      <c r="M28" s="361">
        <f t="shared" si="9"/>
        <v>15000</v>
      </c>
      <c r="N28" s="361">
        <f t="shared" si="9"/>
        <v>15000</v>
      </c>
      <c r="O28" s="361">
        <f t="shared" si="9"/>
        <v>15000</v>
      </c>
      <c r="P28" s="361">
        <f t="shared" si="9"/>
        <v>15000</v>
      </c>
      <c r="Q28" s="361">
        <f t="shared" si="9"/>
        <v>15000</v>
      </c>
      <c r="R28" s="361">
        <f t="shared" si="13"/>
        <v>15000</v>
      </c>
      <c r="S28" s="941"/>
      <c r="T28" s="948">
        <f t="shared" si="14"/>
        <v>0</v>
      </c>
      <c r="U28" s="948">
        <f t="shared" si="14"/>
        <v>17030</v>
      </c>
      <c r="V28" s="948">
        <f t="shared" si="14"/>
        <v>18393.593773798497</v>
      </c>
      <c r="W28" s="948">
        <f t="shared" si="14"/>
        <v>19816.996010530249</v>
      </c>
      <c r="X28" s="948">
        <f t="shared" si="14"/>
        <v>18689.690797566549</v>
      </c>
      <c r="Y28" s="948">
        <f t="shared" si="14"/>
        <v>0</v>
      </c>
      <c r="Z28" s="948">
        <f t="shared" si="14"/>
        <v>0</v>
      </c>
      <c r="AA28" s="948">
        <f t="shared" si="14"/>
        <v>0</v>
      </c>
      <c r="AB28" s="948">
        <f t="shared" si="14"/>
        <v>0</v>
      </c>
      <c r="AC28" s="948"/>
      <c r="AD28" s="948"/>
      <c r="AE28" s="948"/>
      <c r="AF28" s="361">
        <f>IFERROR(AVERAGEA(U28:X28),0)</f>
        <v>18482.570145473823</v>
      </c>
      <c r="AG28" s="6"/>
      <c r="AH28" s="948">
        <f t="shared" si="15"/>
        <v>0</v>
      </c>
      <c r="AI28" s="6"/>
      <c r="AJ28" s="948">
        <f t="shared" si="15"/>
        <v>0</v>
      </c>
      <c r="AL28" s="945">
        <f t="shared" si="11"/>
        <v>-3482.5701454738228</v>
      </c>
      <c r="AM28" s="949">
        <f t="shared" si="12"/>
        <v>-0.1884245598995693</v>
      </c>
      <c r="AN28" s="970"/>
      <c r="AO28" s="716" t="s">
        <v>1817</v>
      </c>
      <c r="AP28" s="716" t="s">
        <v>1818</v>
      </c>
      <c r="AQ28" s="720">
        <f>$AQ$27</f>
        <v>10000</v>
      </c>
      <c r="AR28" s="1416">
        <v>0.11</v>
      </c>
      <c r="AS28" s="719">
        <f t="shared" ref="AS28:AS30" si="16">AQ28*AR28</f>
        <v>1100</v>
      </c>
      <c r="AT28" s="717">
        <f>500+500</f>
        <v>1000</v>
      </c>
      <c r="AU28" s="1418">
        <v>12000</v>
      </c>
    </row>
    <row r="29" spans="2:47" ht="14" x14ac:dyDescent="0.25">
      <c r="B29" s="358">
        <v>4</v>
      </c>
      <c r="C29" s="359" t="s">
        <v>39</v>
      </c>
      <c r="D29" s="360" t="s">
        <v>52</v>
      </c>
      <c r="E29" s="361"/>
      <c r="F29" s="361">
        <f>$AU$27</f>
        <v>15000</v>
      </c>
      <c r="G29" s="361">
        <f t="shared" si="9"/>
        <v>15000</v>
      </c>
      <c r="H29" s="361">
        <f t="shared" si="9"/>
        <v>15000</v>
      </c>
      <c r="I29" s="361">
        <f t="shared" si="9"/>
        <v>15000</v>
      </c>
      <c r="J29" s="361">
        <f t="shared" si="9"/>
        <v>15000</v>
      </c>
      <c r="K29" s="361">
        <f t="shared" si="9"/>
        <v>15000</v>
      </c>
      <c r="L29" s="361">
        <f t="shared" si="9"/>
        <v>15000</v>
      </c>
      <c r="M29" s="361">
        <f t="shared" si="9"/>
        <v>15000</v>
      </c>
      <c r="N29" s="361">
        <f t="shared" si="9"/>
        <v>15000</v>
      </c>
      <c r="O29" s="361">
        <f t="shared" si="9"/>
        <v>15000</v>
      </c>
      <c r="P29" s="361">
        <f t="shared" si="9"/>
        <v>15000</v>
      </c>
      <c r="Q29" s="361">
        <f t="shared" si="9"/>
        <v>15000</v>
      </c>
      <c r="R29" s="361">
        <f t="shared" si="13"/>
        <v>15000</v>
      </c>
      <c r="S29" s="941"/>
      <c r="T29" s="948">
        <f t="shared" si="14"/>
        <v>0</v>
      </c>
      <c r="U29" s="948">
        <f t="shared" si="14"/>
        <v>16394</v>
      </c>
      <c r="V29" s="948">
        <f t="shared" si="14"/>
        <v>0</v>
      </c>
      <c r="W29" s="948">
        <f t="shared" si="14"/>
        <v>0</v>
      </c>
      <c r="X29" s="948">
        <f t="shared" si="14"/>
        <v>0</v>
      </c>
      <c r="Y29" s="948">
        <f t="shared" si="14"/>
        <v>0</v>
      </c>
      <c r="Z29" s="948">
        <f t="shared" si="14"/>
        <v>0</v>
      </c>
      <c r="AA29" s="948">
        <f t="shared" si="14"/>
        <v>0</v>
      </c>
      <c r="AB29" s="948">
        <f t="shared" si="14"/>
        <v>0</v>
      </c>
      <c r="AC29" s="948"/>
      <c r="AD29" s="948"/>
      <c r="AE29" s="948"/>
      <c r="AF29" s="361">
        <f>IFERROR(AVERAGEA(U29),0)</f>
        <v>16394</v>
      </c>
      <c r="AG29" s="6"/>
      <c r="AH29" s="948">
        <f t="shared" si="15"/>
        <v>0</v>
      </c>
      <c r="AI29" s="6"/>
      <c r="AJ29" s="948">
        <f t="shared" si="15"/>
        <v>10461.232521747301</v>
      </c>
      <c r="AL29" s="945">
        <f t="shared" si="11"/>
        <v>-1394</v>
      </c>
      <c r="AM29" s="949">
        <f t="shared" si="12"/>
        <v>-8.503110894229593E-2</v>
      </c>
      <c r="AN29" s="970"/>
      <c r="AO29" s="716" t="s">
        <v>1819</v>
      </c>
      <c r="AP29" s="716" t="s">
        <v>1823</v>
      </c>
      <c r="AQ29" s="720">
        <f t="shared" ref="AQ29:AQ31" si="17">$AQ$27</f>
        <v>10000</v>
      </c>
      <c r="AR29" s="1416">
        <v>0.11</v>
      </c>
      <c r="AS29" s="719">
        <f t="shared" si="16"/>
        <v>1100</v>
      </c>
      <c r="AT29" s="717">
        <f>2000+500</f>
        <v>2500</v>
      </c>
      <c r="AU29" s="1418">
        <v>13500</v>
      </c>
    </row>
    <row r="30" spans="2:47" ht="14" x14ac:dyDescent="0.25">
      <c r="B30" s="358">
        <v>5</v>
      </c>
      <c r="C30" s="359" t="s">
        <v>32</v>
      </c>
      <c r="D30" s="360" t="s">
        <v>52</v>
      </c>
      <c r="E30" s="361"/>
      <c r="F30" s="361">
        <f>$AU$29</f>
        <v>13500</v>
      </c>
      <c r="G30" s="361">
        <f t="shared" ref="G30:Q30" si="18">$AU$29</f>
        <v>13500</v>
      </c>
      <c r="H30" s="361">
        <f t="shared" si="18"/>
        <v>13500</v>
      </c>
      <c r="I30" s="361">
        <f t="shared" si="18"/>
        <v>13500</v>
      </c>
      <c r="J30" s="361">
        <f t="shared" si="18"/>
        <v>13500</v>
      </c>
      <c r="K30" s="361">
        <f t="shared" si="18"/>
        <v>13500</v>
      </c>
      <c r="L30" s="361">
        <f t="shared" si="18"/>
        <v>13500</v>
      </c>
      <c r="M30" s="361">
        <f t="shared" si="18"/>
        <v>13500</v>
      </c>
      <c r="N30" s="361">
        <f t="shared" si="18"/>
        <v>13500</v>
      </c>
      <c r="O30" s="361">
        <f t="shared" si="18"/>
        <v>13500</v>
      </c>
      <c r="P30" s="361">
        <f t="shared" si="18"/>
        <v>13500</v>
      </c>
      <c r="Q30" s="361">
        <f t="shared" si="18"/>
        <v>13500</v>
      </c>
      <c r="R30" s="361">
        <f t="shared" si="13"/>
        <v>13500</v>
      </c>
      <c r="S30" s="941"/>
      <c r="T30" s="948">
        <f t="shared" si="14"/>
        <v>15550.956072351421</v>
      </c>
      <c r="U30" s="948">
        <f t="shared" si="14"/>
        <v>17030</v>
      </c>
      <c r="V30" s="948">
        <f t="shared" si="14"/>
        <v>17306.877566811498</v>
      </c>
      <c r="W30" s="948">
        <f t="shared" si="14"/>
        <v>18571.168294515403</v>
      </c>
      <c r="X30" s="948">
        <f t="shared" si="14"/>
        <v>18561.23828692441</v>
      </c>
      <c r="Y30" s="948">
        <f t="shared" si="14"/>
        <v>18704.084950183533</v>
      </c>
      <c r="Z30" s="948">
        <f t="shared" si="14"/>
        <v>19006.941405693105</v>
      </c>
      <c r="AA30" s="948">
        <f t="shared" si="14"/>
        <v>17246.760289199483</v>
      </c>
      <c r="AB30" s="948">
        <f t="shared" si="14"/>
        <v>14013.820106852723</v>
      </c>
      <c r="AC30" s="948">
        <v>13500</v>
      </c>
      <c r="AD30" s="948">
        <v>13500</v>
      </c>
      <c r="AE30" s="948">
        <v>13500</v>
      </c>
      <c r="AF30" s="361">
        <f t="shared" ref="AF30:AF39" si="19">IFERROR(AVERAGEA(T30:AE30),0)</f>
        <v>16374.320581044296</v>
      </c>
      <c r="AG30" s="6"/>
      <c r="AH30" s="948">
        <f t="shared" si="15"/>
        <v>13372.585624706091</v>
      </c>
      <c r="AI30" s="6"/>
      <c r="AJ30" s="948">
        <f t="shared" si="15"/>
        <v>10177.678826687023</v>
      </c>
      <c r="AL30" s="945">
        <f t="shared" si="11"/>
        <v>-2874.320581044296</v>
      </c>
      <c r="AM30" s="949">
        <f t="shared" si="12"/>
        <v>-0.17553831115116603</v>
      </c>
      <c r="AN30" s="970"/>
      <c r="AO30" s="716" t="s">
        <v>1820</v>
      </c>
      <c r="AP30" s="716" t="s">
        <v>1821</v>
      </c>
      <c r="AQ30" s="720">
        <f t="shared" si="17"/>
        <v>10000</v>
      </c>
      <c r="AR30" s="1416">
        <v>0.11</v>
      </c>
      <c r="AS30" s="719">
        <f t="shared" si="16"/>
        <v>1100</v>
      </c>
      <c r="AT30" s="717">
        <f>-5000+500</f>
        <v>-4500</v>
      </c>
      <c r="AU30" s="1418">
        <v>8100</v>
      </c>
    </row>
    <row r="31" spans="2:47" ht="14" x14ac:dyDescent="0.25">
      <c r="B31" s="358">
        <v>6</v>
      </c>
      <c r="C31" s="359" t="s">
        <v>36</v>
      </c>
      <c r="D31" s="360" t="s">
        <v>52</v>
      </c>
      <c r="E31" s="361"/>
      <c r="F31" s="361">
        <f>$AU$27</f>
        <v>15000</v>
      </c>
      <c r="G31" s="361">
        <f t="shared" ref="G31:Q31" si="20">$AU$27</f>
        <v>15000</v>
      </c>
      <c r="H31" s="361">
        <f t="shared" si="20"/>
        <v>15000</v>
      </c>
      <c r="I31" s="361">
        <f t="shared" si="20"/>
        <v>15000</v>
      </c>
      <c r="J31" s="361">
        <f t="shared" si="20"/>
        <v>15000</v>
      </c>
      <c r="K31" s="361">
        <f t="shared" si="20"/>
        <v>15000</v>
      </c>
      <c r="L31" s="361">
        <f t="shared" si="20"/>
        <v>15000</v>
      </c>
      <c r="M31" s="361">
        <f t="shared" si="20"/>
        <v>15000</v>
      </c>
      <c r="N31" s="361">
        <f t="shared" si="20"/>
        <v>15000</v>
      </c>
      <c r="O31" s="361">
        <f t="shared" si="20"/>
        <v>15000</v>
      </c>
      <c r="P31" s="361">
        <f t="shared" si="20"/>
        <v>15000</v>
      </c>
      <c r="Q31" s="361">
        <f t="shared" si="20"/>
        <v>15000</v>
      </c>
      <c r="R31" s="361">
        <f t="shared" si="13"/>
        <v>15000</v>
      </c>
      <c r="S31" s="941"/>
      <c r="T31" s="948">
        <f t="shared" si="14"/>
        <v>0</v>
      </c>
      <c r="U31" s="948">
        <f t="shared" si="14"/>
        <v>17030</v>
      </c>
      <c r="V31" s="948">
        <f t="shared" si="14"/>
        <v>0</v>
      </c>
      <c r="W31" s="948">
        <f t="shared" si="14"/>
        <v>0</v>
      </c>
      <c r="X31" s="948">
        <f t="shared" si="14"/>
        <v>0</v>
      </c>
      <c r="Y31" s="948">
        <f t="shared" si="14"/>
        <v>0</v>
      </c>
      <c r="Z31" s="948">
        <f t="shared" si="14"/>
        <v>0</v>
      </c>
      <c r="AA31" s="948">
        <f t="shared" si="14"/>
        <v>0</v>
      </c>
      <c r="AB31" s="948">
        <f t="shared" si="14"/>
        <v>0</v>
      </c>
      <c r="AC31" s="948"/>
      <c r="AD31" s="948"/>
      <c r="AE31" s="948"/>
      <c r="AF31" s="361">
        <f>IFERROR(AVERAGEA(U31),0)</f>
        <v>17030</v>
      </c>
      <c r="AG31" s="6"/>
      <c r="AH31" s="948">
        <f t="shared" si="15"/>
        <v>16152.902005595177</v>
      </c>
      <c r="AI31" s="6"/>
      <c r="AJ31" s="948">
        <f t="shared" si="15"/>
        <v>15598.826739054926</v>
      </c>
      <c r="AL31" s="945">
        <f t="shared" si="11"/>
        <v>-2030</v>
      </c>
      <c r="AM31" s="949">
        <f t="shared" si="12"/>
        <v>-0.11920140927774514</v>
      </c>
      <c r="AO31" s="716" t="s">
        <v>1944</v>
      </c>
      <c r="AP31" s="716" t="s">
        <v>1945</v>
      </c>
      <c r="AQ31" s="720">
        <f t="shared" si="17"/>
        <v>10000</v>
      </c>
      <c r="AR31" s="1416">
        <v>0.11</v>
      </c>
      <c r="AS31" s="719">
        <f t="shared" ref="AS31" si="21">AQ31*AR31</f>
        <v>1100</v>
      </c>
      <c r="AT31" s="717">
        <v>-3500</v>
      </c>
      <c r="AU31" s="1418">
        <v>9000</v>
      </c>
    </row>
    <row r="32" spans="2:47" ht="12.5" x14ac:dyDescent="0.25">
      <c r="B32" s="358">
        <v>7</v>
      </c>
      <c r="C32" s="359" t="s">
        <v>34</v>
      </c>
      <c r="D32" s="360" t="s">
        <v>52</v>
      </c>
      <c r="E32" s="361"/>
      <c r="F32" s="361">
        <f>$AU$28</f>
        <v>12000</v>
      </c>
      <c r="G32" s="361">
        <f t="shared" ref="G32:Q33" si="22">$AU$28</f>
        <v>12000</v>
      </c>
      <c r="H32" s="361">
        <f t="shared" si="22"/>
        <v>12000</v>
      </c>
      <c r="I32" s="361">
        <f t="shared" si="22"/>
        <v>12000</v>
      </c>
      <c r="J32" s="361">
        <f t="shared" si="22"/>
        <v>12000</v>
      </c>
      <c r="K32" s="361">
        <f t="shared" si="22"/>
        <v>12000</v>
      </c>
      <c r="L32" s="361">
        <f t="shared" si="22"/>
        <v>12000</v>
      </c>
      <c r="M32" s="361">
        <f t="shared" si="22"/>
        <v>12000</v>
      </c>
      <c r="N32" s="361">
        <f t="shared" si="22"/>
        <v>12000</v>
      </c>
      <c r="O32" s="361">
        <f t="shared" si="22"/>
        <v>12000</v>
      </c>
      <c r="P32" s="361">
        <f t="shared" si="22"/>
        <v>12000</v>
      </c>
      <c r="Q32" s="361">
        <f t="shared" si="22"/>
        <v>12000</v>
      </c>
      <c r="R32" s="361">
        <f t="shared" si="13"/>
        <v>12000</v>
      </c>
      <c r="S32" s="941"/>
      <c r="T32" s="948">
        <f t="shared" si="14"/>
        <v>14300</v>
      </c>
      <c r="U32" s="948">
        <f t="shared" si="14"/>
        <v>17030</v>
      </c>
      <c r="V32" s="948">
        <f t="shared" si="14"/>
        <v>16390.37606837607</v>
      </c>
      <c r="W32" s="948">
        <f t="shared" si="14"/>
        <v>17906.044518357427</v>
      </c>
      <c r="X32" s="948">
        <f t="shared" si="14"/>
        <v>18686.428571428572</v>
      </c>
      <c r="Y32" s="948">
        <f t="shared" si="14"/>
        <v>18543.187772925765</v>
      </c>
      <c r="Z32" s="948">
        <f t="shared" si="14"/>
        <v>18907.349857840636</v>
      </c>
      <c r="AA32" s="948">
        <f t="shared" si="14"/>
        <v>17575.213437569142</v>
      </c>
      <c r="AB32" s="948">
        <f t="shared" si="14"/>
        <v>12575.144235316371</v>
      </c>
      <c r="AC32" s="948">
        <v>12000</v>
      </c>
      <c r="AD32" s="948">
        <v>12000</v>
      </c>
      <c r="AE32" s="948">
        <v>12000</v>
      </c>
      <c r="AF32" s="361">
        <f t="shared" si="19"/>
        <v>15659.478705151167</v>
      </c>
      <c r="AG32" s="6"/>
      <c r="AH32" s="948">
        <f t="shared" si="15"/>
        <v>13157.398713675415</v>
      </c>
      <c r="AI32" s="6"/>
      <c r="AJ32" s="948">
        <f t="shared" si="15"/>
        <v>10009.366424086262</v>
      </c>
      <c r="AL32" s="945">
        <f t="shared" si="11"/>
        <v>-3659.4787051511667</v>
      </c>
      <c r="AM32" s="949">
        <f t="shared" si="12"/>
        <v>-0.23369096596730166</v>
      </c>
      <c r="AR32" s="1417">
        <v>0.14000000000000001</v>
      </c>
    </row>
    <row r="33" spans="2:39" ht="12.5" x14ac:dyDescent="0.25">
      <c r="B33" s="358">
        <v>8</v>
      </c>
      <c r="C33" s="359" t="s">
        <v>33</v>
      </c>
      <c r="D33" s="360" t="s">
        <v>52</v>
      </c>
      <c r="E33" s="361"/>
      <c r="F33" s="361">
        <f>$AU$28</f>
        <v>12000</v>
      </c>
      <c r="G33" s="361">
        <f t="shared" si="22"/>
        <v>12000</v>
      </c>
      <c r="H33" s="361">
        <f t="shared" si="22"/>
        <v>12000</v>
      </c>
      <c r="I33" s="361">
        <f t="shared" si="22"/>
        <v>12000</v>
      </c>
      <c r="J33" s="361">
        <f t="shared" si="22"/>
        <v>12000</v>
      </c>
      <c r="K33" s="361">
        <f t="shared" si="22"/>
        <v>12000</v>
      </c>
      <c r="L33" s="361">
        <f t="shared" si="22"/>
        <v>12000</v>
      </c>
      <c r="M33" s="361">
        <f t="shared" si="22"/>
        <v>12000</v>
      </c>
      <c r="N33" s="361">
        <f t="shared" si="22"/>
        <v>12000</v>
      </c>
      <c r="O33" s="361">
        <f t="shared" si="22"/>
        <v>12000</v>
      </c>
      <c r="P33" s="361">
        <f t="shared" si="22"/>
        <v>12000</v>
      </c>
      <c r="Q33" s="361">
        <f t="shared" si="22"/>
        <v>12000</v>
      </c>
      <c r="R33" s="361">
        <f t="shared" si="13"/>
        <v>12000</v>
      </c>
      <c r="S33" s="941"/>
      <c r="T33" s="948">
        <f t="shared" si="14"/>
        <v>15611.182795698925</v>
      </c>
      <c r="U33" s="948">
        <f t="shared" si="14"/>
        <v>17030</v>
      </c>
      <c r="V33" s="948">
        <f t="shared" si="14"/>
        <v>17030</v>
      </c>
      <c r="W33" s="948">
        <f t="shared" si="14"/>
        <v>18210.018552875696</v>
      </c>
      <c r="X33" s="948">
        <f t="shared" si="14"/>
        <v>18609.056939501781</v>
      </c>
      <c r="Y33" s="948">
        <f t="shared" si="14"/>
        <v>18563.444316877154</v>
      </c>
      <c r="Z33" s="948">
        <f t="shared" si="14"/>
        <v>18855.973427968089</v>
      </c>
      <c r="AA33" s="948">
        <f t="shared" si="14"/>
        <v>17545.25124543341</v>
      </c>
      <c r="AB33" s="948">
        <f t="shared" si="14"/>
        <v>12710.160980652783</v>
      </c>
      <c r="AC33" s="948">
        <v>12000</v>
      </c>
      <c r="AD33" s="948">
        <v>12000</v>
      </c>
      <c r="AE33" s="948">
        <v>12000</v>
      </c>
      <c r="AF33" s="361">
        <f t="shared" si="19"/>
        <v>15847.090688250653</v>
      </c>
      <c r="AG33" s="6"/>
      <c r="AH33" s="948">
        <f t="shared" si="15"/>
        <v>13209.103838459614</v>
      </c>
      <c r="AI33" s="6"/>
      <c r="AJ33" s="948">
        <f t="shared" si="15"/>
        <v>10940.260161096196</v>
      </c>
      <c r="AL33" s="945">
        <f t="shared" si="11"/>
        <v>-3847.0906882506533</v>
      </c>
      <c r="AM33" s="949">
        <f t="shared" si="12"/>
        <v>-0.24276321527603562</v>
      </c>
    </row>
    <row r="34" spans="2:39" ht="12.5" x14ac:dyDescent="0.25">
      <c r="B34" s="358">
        <v>9</v>
      </c>
      <c r="C34" s="359" t="s">
        <v>37</v>
      </c>
      <c r="D34" s="360" t="s">
        <v>52</v>
      </c>
      <c r="E34" s="361"/>
      <c r="F34" s="361">
        <f>$AU$29</f>
        <v>13500</v>
      </c>
      <c r="G34" s="361">
        <f t="shared" ref="G34:Q35" si="23">$AU$29</f>
        <v>13500</v>
      </c>
      <c r="H34" s="361">
        <f t="shared" si="23"/>
        <v>13500</v>
      </c>
      <c r="I34" s="361">
        <f t="shared" si="23"/>
        <v>13500</v>
      </c>
      <c r="J34" s="361">
        <f t="shared" si="23"/>
        <v>13500</v>
      </c>
      <c r="K34" s="361">
        <f t="shared" si="23"/>
        <v>13500</v>
      </c>
      <c r="L34" s="361">
        <f t="shared" si="23"/>
        <v>13500</v>
      </c>
      <c r="M34" s="361">
        <f t="shared" si="23"/>
        <v>13500</v>
      </c>
      <c r="N34" s="361">
        <f t="shared" si="23"/>
        <v>13500</v>
      </c>
      <c r="O34" s="361">
        <f t="shared" si="23"/>
        <v>13500</v>
      </c>
      <c r="P34" s="361">
        <f t="shared" si="23"/>
        <v>13500</v>
      </c>
      <c r="Q34" s="361">
        <f t="shared" si="23"/>
        <v>13500</v>
      </c>
      <c r="R34" s="361">
        <f t="shared" si="13"/>
        <v>13500</v>
      </c>
      <c r="S34" s="941"/>
      <c r="T34" s="948">
        <f t="shared" si="14"/>
        <v>0</v>
      </c>
      <c r="U34" s="948">
        <f t="shared" si="14"/>
        <v>0</v>
      </c>
      <c r="V34" s="948">
        <f t="shared" si="14"/>
        <v>0</v>
      </c>
      <c r="W34" s="948">
        <f t="shared" si="14"/>
        <v>0</v>
      </c>
      <c r="X34" s="948">
        <f t="shared" si="14"/>
        <v>0</v>
      </c>
      <c r="Y34" s="948">
        <f t="shared" si="14"/>
        <v>0</v>
      </c>
      <c r="Z34" s="948">
        <f t="shared" si="14"/>
        <v>0</v>
      </c>
      <c r="AA34" s="948">
        <f t="shared" si="14"/>
        <v>0</v>
      </c>
      <c r="AB34" s="948">
        <f t="shared" si="14"/>
        <v>0</v>
      </c>
      <c r="AC34" s="948"/>
      <c r="AD34" s="948"/>
      <c r="AE34" s="948"/>
      <c r="AF34" s="361">
        <f t="shared" si="19"/>
        <v>0</v>
      </c>
      <c r="AG34" s="6"/>
      <c r="AH34" s="948">
        <f t="shared" si="15"/>
        <v>13000</v>
      </c>
      <c r="AI34" s="6"/>
      <c r="AJ34" s="948">
        <f t="shared" si="15"/>
        <v>0</v>
      </c>
      <c r="AL34" s="945">
        <f t="shared" si="11"/>
        <v>13500</v>
      </c>
      <c r="AM34" s="949">
        <f t="shared" si="12"/>
        <v>0</v>
      </c>
    </row>
    <row r="35" spans="2:39" ht="12.5" x14ac:dyDescent="0.25">
      <c r="B35" s="358">
        <v>10</v>
      </c>
      <c r="C35" s="359" t="s">
        <v>38</v>
      </c>
      <c r="D35" s="360" t="s">
        <v>52</v>
      </c>
      <c r="E35" s="361"/>
      <c r="F35" s="361">
        <f>$AU$29</f>
        <v>13500</v>
      </c>
      <c r="G35" s="361">
        <f t="shared" si="23"/>
        <v>13500</v>
      </c>
      <c r="H35" s="361">
        <f t="shared" si="23"/>
        <v>13500</v>
      </c>
      <c r="I35" s="361">
        <f t="shared" si="23"/>
        <v>13500</v>
      </c>
      <c r="J35" s="361">
        <f t="shared" si="23"/>
        <v>13500</v>
      </c>
      <c r="K35" s="361">
        <f t="shared" si="23"/>
        <v>13500</v>
      </c>
      <c r="L35" s="361">
        <f t="shared" si="23"/>
        <v>13500</v>
      </c>
      <c r="M35" s="361">
        <f t="shared" si="23"/>
        <v>13500</v>
      </c>
      <c r="N35" s="361">
        <f t="shared" si="23"/>
        <v>13500</v>
      </c>
      <c r="O35" s="361">
        <f t="shared" si="23"/>
        <v>13500</v>
      </c>
      <c r="P35" s="361">
        <f t="shared" si="23"/>
        <v>13500</v>
      </c>
      <c r="Q35" s="361">
        <f t="shared" si="23"/>
        <v>13500</v>
      </c>
      <c r="R35" s="361">
        <f t="shared" si="13"/>
        <v>13500</v>
      </c>
      <c r="S35" s="941"/>
      <c r="T35" s="948">
        <f t="shared" si="14"/>
        <v>13000</v>
      </c>
      <c r="U35" s="948">
        <f t="shared" si="14"/>
        <v>16842.538582677167</v>
      </c>
      <c r="V35" s="948">
        <f t="shared" si="14"/>
        <v>17030</v>
      </c>
      <c r="W35" s="948">
        <f t="shared" si="14"/>
        <v>17911.564463251183</v>
      </c>
      <c r="X35" s="948">
        <f t="shared" si="14"/>
        <v>18496.188417165708</v>
      </c>
      <c r="Y35" s="948">
        <f t="shared" si="14"/>
        <v>18724.561614665308</v>
      </c>
      <c r="Z35" s="948">
        <f t="shared" si="14"/>
        <v>19058.442945293511</v>
      </c>
      <c r="AA35" s="948">
        <f t="shared" si="14"/>
        <v>17415.845080860599</v>
      </c>
      <c r="AB35" s="948">
        <f t="shared" si="14"/>
        <v>14015.00085660442</v>
      </c>
      <c r="AC35" s="948">
        <f>AC30</f>
        <v>13500</v>
      </c>
      <c r="AD35" s="948">
        <f t="shared" ref="AD35:AE35" si="24">AD30</f>
        <v>13500</v>
      </c>
      <c r="AE35" s="948">
        <f t="shared" si="24"/>
        <v>13500</v>
      </c>
      <c r="AF35" s="361">
        <f t="shared" si="19"/>
        <v>16082.845163376493</v>
      </c>
      <c r="AG35" s="6"/>
      <c r="AH35" s="948">
        <f t="shared" si="15"/>
        <v>12714.654710374369</v>
      </c>
      <c r="AI35" s="6"/>
      <c r="AJ35" s="948">
        <f t="shared" si="15"/>
        <v>9213.7357791677114</v>
      </c>
      <c r="AL35" s="945">
        <f t="shared" si="11"/>
        <v>-2582.8451633764926</v>
      </c>
      <c r="AM35" s="949">
        <f t="shared" si="12"/>
        <v>-0.16059628362636302</v>
      </c>
    </row>
    <row r="36" spans="2:39" ht="12.5" x14ac:dyDescent="0.25">
      <c r="B36" s="358">
        <v>11</v>
      </c>
      <c r="C36" s="359" t="s">
        <v>402</v>
      </c>
      <c r="D36" s="360" t="s">
        <v>52</v>
      </c>
      <c r="E36" s="361"/>
      <c r="F36" s="361">
        <f>$AU$31</f>
        <v>9000</v>
      </c>
      <c r="G36" s="361">
        <f t="shared" ref="G36:Q37" si="25">$AU$31</f>
        <v>9000</v>
      </c>
      <c r="H36" s="361">
        <f t="shared" si="25"/>
        <v>9000</v>
      </c>
      <c r="I36" s="361">
        <f t="shared" si="25"/>
        <v>9000</v>
      </c>
      <c r="J36" s="361">
        <f t="shared" si="25"/>
        <v>9000</v>
      </c>
      <c r="K36" s="361">
        <f t="shared" si="25"/>
        <v>9000</v>
      </c>
      <c r="L36" s="361">
        <f t="shared" si="25"/>
        <v>9000</v>
      </c>
      <c r="M36" s="361">
        <f t="shared" si="25"/>
        <v>9000</v>
      </c>
      <c r="N36" s="361">
        <f t="shared" si="25"/>
        <v>9000</v>
      </c>
      <c r="O36" s="361">
        <f t="shared" si="25"/>
        <v>9000</v>
      </c>
      <c r="P36" s="361">
        <f t="shared" si="25"/>
        <v>9000</v>
      </c>
      <c r="Q36" s="361">
        <f t="shared" si="25"/>
        <v>9000</v>
      </c>
      <c r="R36" s="361">
        <f t="shared" si="13"/>
        <v>9000</v>
      </c>
      <c r="S36" s="941"/>
      <c r="T36" s="948">
        <f t="shared" si="14"/>
        <v>0</v>
      </c>
      <c r="U36" s="948">
        <f t="shared" si="14"/>
        <v>0</v>
      </c>
      <c r="V36" s="948">
        <f t="shared" si="14"/>
        <v>0</v>
      </c>
      <c r="W36" s="948">
        <f t="shared" si="14"/>
        <v>0</v>
      </c>
      <c r="X36" s="948">
        <f t="shared" si="14"/>
        <v>0</v>
      </c>
      <c r="Y36" s="948">
        <f t="shared" si="14"/>
        <v>0</v>
      </c>
      <c r="Z36" s="948">
        <f t="shared" si="14"/>
        <v>0</v>
      </c>
      <c r="AA36" s="948">
        <f t="shared" si="14"/>
        <v>0</v>
      </c>
      <c r="AB36" s="948">
        <f t="shared" si="14"/>
        <v>0</v>
      </c>
      <c r="AC36" s="948"/>
      <c r="AD36" s="948"/>
      <c r="AE36" s="948"/>
      <c r="AF36" s="361">
        <f t="shared" si="19"/>
        <v>0</v>
      </c>
      <c r="AG36" s="6"/>
      <c r="AH36" s="948">
        <f t="shared" si="15"/>
        <v>0</v>
      </c>
      <c r="AI36" s="6"/>
      <c r="AJ36" s="948">
        <f t="shared" si="15"/>
        <v>0</v>
      </c>
      <c r="AL36" s="945">
        <f t="shared" si="11"/>
        <v>9000</v>
      </c>
      <c r="AM36" s="949">
        <f t="shared" si="12"/>
        <v>0</v>
      </c>
    </row>
    <row r="37" spans="2:39" ht="12.5" x14ac:dyDescent="0.25">
      <c r="B37" s="358">
        <v>12</v>
      </c>
      <c r="C37" s="359" t="s">
        <v>311</v>
      </c>
      <c r="D37" s="360" t="s">
        <v>52</v>
      </c>
      <c r="E37" s="361"/>
      <c r="F37" s="361">
        <f>$AU$31</f>
        <v>9000</v>
      </c>
      <c r="G37" s="361">
        <f t="shared" si="25"/>
        <v>9000</v>
      </c>
      <c r="H37" s="361">
        <f t="shared" si="25"/>
        <v>9000</v>
      </c>
      <c r="I37" s="361">
        <f t="shared" si="25"/>
        <v>9000</v>
      </c>
      <c r="J37" s="361">
        <f t="shared" si="25"/>
        <v>9000</v>
      </c>
      <c r="K37" s="361">
        <f t="shared" si="25"/>
        <v>9000</v>
      </c>
      <c r="L37" s="361">
        <f t="shared" si="25"/>
        <v>9000</v>
      </c>
      <c r="M37" s="361">
        <f t="shared" si="25"/>
        <v>9000</v>
      </c>
      <c r="N37" s="361">
        <f t="shared" si="25"/>
        <v>9000</v>
      </c>
      <c r="O37" s="361">
        <f t="shared" si="25"/>
        <v>9000</v>
      </c>
      <c r="P37" s="361">
        <f t="shared" si="25"/>
        <v>9000</v>
      </c>
      <c r="Q37" s="361">
        <f t="shared" si="25"/>
        <v>9000</v>
      </c>
      <c r="R37" s="361">
        <f t="shared" si="13"/>
        <v>9000</v>
      </c>
      <c r="S37" s="941"/>
      <c r="T37" s="948">
        <f t="shared" si="14"/>
        <v>0</v>
      </c>
      <c r="U37" s="948">
        <f t="shared" si="14"/>
        <v>0</v>
      </c>
      <c r="V37" s="948">
        <f t="shared" si="14"/>
        <v>8000</v>
      </c>
      <c r="W37" s="948">
        <f t="shared" si="14"/>
        <v>0</v>
      </c>
      <c r="X37" s="948">
        <f t="shared" si="14"/>
        <v>0</v>
      </c>
      <c r="Y37" s="948">
        <f t="shared" si="14"/>
        <v>0</v>
      </c>
      <c r="Z37" s="948">
        <f t="shared" si="14"/>
        <v>0</v>
      </c>
      <c r="AA37" s="948">
        <f t="shared" si="14"/>
        <v>8000</v>
      </c>
      <c r="AB37" s="948">
        <f t="shared" si="14"/>
        <v>9000</v>
      </c>
      <c r="AC37" s="948"/>
      <c r="AD37" s="948"/>
      <c r="AE37" s="948"/>
      <c r="AF37" s="361">
        <f>IFERROR(AVERAGEA(V37,AA37,AB37),0)</f>
        <v>8333.3333333333339</v>
      </c>
      <c r="AG37" s="6"/>
      <c r="AH37" s="948">
        <f t="shared" si="15"/>
        <v>0</v>
      </c>
      <c r="AI37" s="6"/>
      <c r="AJ37" s="948">
        <f t="shared" si="15"/>
        <v>0</v>
      </c>
      <c r="AL37" s="945">
        <f t="shared" si="11"/>
        <v>666.66666666666606</v>
      </c>
      <c r="AM37" s="949">
        <f t="shared" si="12"/>
        <v>7.9999999999999849E-2</v>
      </c>
    </row>
    <row r="38" spans="2:39" ht="12.5" x14ac:dyDescent="0.25">
      <c r="B38" s="358">
        <v>13</v>
      </c>
      <c r="C38" s="362" t="s">
        <v>403</v>
      </c>
      <c r="D38" s="360" t="s">
        <v>52</v>
      </c>
      <c r="E38" s="361"/>
      <c r="F38" s="361">
        <f>$AU$30</f>
        <v>8100</v>
      </c>
      <c r="G38" s="361">
        <f t="shared" ref="G38:Q40" si="26">$AU$30</f>
        <v>8100</v>
      </c>
      <c r="H38" s="361">
        <f t="shared" si="26"/>
        <v>8100</v>
      </c>
      <c r="I38" s="361">
        <f t="shared" si="26"/>
        <v>8100</v>
      </c>
      <c r="J38" s="361">
        <f t="shared" si="26"/>
        <v>8100</v>
      </c>
      <c r="K38" s="361">
        <f t="shared" si="26"/>
        <v>8100</v>
      </c>
      <c r="L38" s="361">
        <f t="shared" si="26"/>
        <v>8100</v>
      </c>
      <c r="M38" s="361">
        <f t="shared" si="26"/>
        <v>8100</v>
      </c>
      <c r="N38" s="361">
        <f t="shared" si="26"/>
        <v>8100</v>
      </c>
      <c r="O38" s="361">
        <f t="shared" si="26"/>
        <v>8100</v>
      </c>
      <c r="P38" s="361">
        <f t="shared" si="26"/>
        <v>8100</v>
      </c>
      <c r="Q38" s="361">
        <f t="shared" si="26"/>
        <v>8100</v>
      </c>
      <c r="R38" s="361">
        <f t="shared" si="13"/>
        <v>8100</v>
      </c>
      <c r="S38" s="941"/>
      <c r="T38" s="948">
        <f t="shared" si="14"/>
        <v>0</v>
      </c>
      <c r="U38" s="948">
        <f t="shared" si="14"/>
        <v>0</v>
      </c>
      <c r="V38" s="948">
        <f t="shared" si="14"/>
        <v>0</v>
      </c>
      <c r="W38" s="948">
        <f t="shared" si="14"/>
        <v>0</v>
      </c>
      <c r="X38" s="948">
        <f t="shared" si="14"/>
        <v>0</v>
      </c>
      <c r="Y38" s="948">
        <f t="shared" si="14"/>
        <v>0</v>
      </c>
      <c r="Z38" s="948">
        <f t="shared" si="14"/>
        <v>0</v>
      </c>
      <c r="AA38" s="948">
        <f t="shared" si="14"/>
        <v>0</v>
      </c>
      <c r="AB38" s="948">
        <f t="shared" si="14"/>
        <v>0</v>
      </c>
      <c r="AC38" s="948"/>
      <c r="AD38" s="948"/>
      <c r="AE38" s="948"/>
      <c r="AF38" s="361">
        <f t="shared" si="19"/>
        <v>0</v>
      </c>
      <c r="AG38" s="6"/>
      <c r="AH38" s="948">
        <f t="shared" si="15"/>
        <v>0</v>
      </c>
      <c r="AI38" s="6"/>
      <c r="AJ38" s="948">
        <f t="shared" si="15"/>
        <v>0</v>
      </c>
      <c r="AL38" s="945">
        <f t="shared" si="11"/>
        <v>8100</v>
      </c>
      <c r="AM38" s="949">
        <f t="shared" si="12"/>
        <v>0</v>
      </c>
    </row>
    <row r="39" spans="2:39" ht="12.5" x14ac:dyDescent="0.25">
      <c r="B39" s="358">
        <v>14</v>
      </c>
      <c r="C39" s="359" t="s">
        <v>404</v>
      </c>
      <c r="D39" s="360" t="s">
        <v>52</v>
      </c>
      <c r="E39" s="361"/>
      <c r="F39" s="361">
        <f>$AU$30</f>
        <v>8100</v>
      </c>
      <c r="G39" s="361">
        <f t="shared" si="26"/>
        <v>8100</v>
      </c>
      <c r="H39" s="361">
        <f t="shared" si="26"/>
        <v>8100</v>
      </c>
      <c r="I39" s="361">
        <f t="shared" si="26"/>
        <v>8100</v>
      </c>
      <c r="J39" s="361">
        <f t="shared" si="26"/>
        <v>8100</v>
      </c>
      <c r="K39" s="361">
        <f t="shared" si="26"/>
        <v>8100</v>
      </c>
      <c r="L39" s="361">
        <f t="shared" si="26"/>
        <v>8100</v>
      </c>
      <c r="M39" s="361">
        <f t="shared" si="26"/>
        <v>8100</v>
      </c>
      <c r="N39" s="361">
        <f t="shared" si="26"/>
        <v>8100</v>
      </c>
      <c r="O39" s="361">
        <f t="shared" si="26"/>
        <v>8100</v>
      </c>
      <c r="P39" s="361">
        <f t="shared" si="26"/>
        <v>8100</v>
      </c>
      <c r="Q39" s="361">
        <f t="shared" si="26"/>
        <v>8100</v>
      </c>
      <c r="R39" s="361">
        <f t="shared" si="13"/>
        <v>8100</v>
      </c>
      <c r="S39" s="941"/>
      <c r="T39" s="948">
        <f t="shared" si="14"/>
        <v>14300</v>
      </c>
      <c r="U39" s="948">
        <f t="shared" si="14"/>
        <v>1500</v>
      </c>
      <c r="V39" s="948">
        <f t="shared" si="14"/>
        <v>3806.327900287632</v>
      </c>
      <c r="W39" s="948">
        <f t="shared" si="14"/>
        <v>10000</v>
      </c>
      <c r="X39" s="948">
        <f t="shared" si="14"/>
        <v>10000</v>
      </c>
      <c r="Y39" s="948">
        <f t="shared" si="14"/>
        <v>10000</v>
      </c>
      <c r="Z39" s="948">
        <f t="shared" si="14"/>
        <v>10000</v>
      </c>
      <c r="AA39" s="948">
        <f t="shared" si="14"/>
        <v>10070.610140360928</v>
      </c>
      <c r="AB39" s="948">
        <f t="shared" si="14"/>
        <v>7000</v>
      </c>
      <c r="AC39" s="948">
        <v>6500</v>
      </c>
      <c r="AD39" s="948">
        <v>6500</v>
      </c>
      <c r="AE39" s="948">
        <v>6500</v>
      </c>
      <c r="AF39" s="361">
        <f t="shared" si="19"/>
        <v>8014.7448367207135</v>
      </c>
      <c r="AG39" s="6"/>
      <c r="AH39" s="948">
        <f t="shared" si="15"/>
        <v>13293.252120312254</v>
      </c>
      <c r="AI39" s="6"/>
      <c r="AJ39" s="948">
        <f t="shared" si="15"/>
        <v>12710.274115139247</v>
      </c>
      <c r="AL39" s="945">
        <f t="shared" si="11"/>
        <v>85.255163279286535</v>
      </c>
      <c r="AM39" s="949">
        <f t="shared" si="12"/>
        <v>1.063728977230527E-2</v>
      </c>
    </row>
    <row r="40" spans="2:39" ht="12.5" x14ac:dyDescent="0.25">
      <c r="B40" s="358">
        <v>15</v>
      </c>
      <c r="C40" s="359" t="s">
        <v>25</v>
      </c>
      <c r="D40" s="360" t="s">
        <v>52</v>
      </c>
      <c r="E40" s="361"/>
      <c r="F40" s="361">
        <f>$AU$30</f>
        <v>8100</v>
      </c>
      <c r="G40" s="361">
        <f t="shared" si="26"/>
        <v>8100</v>
      </c>
      <c r="H40" s="361">
        <f t="shared" si="26"/>
        <v>8100</v>
      </c>
      <c r="I40" s="361">
        <f t="shared" si="26"/>
        <v>8100</v>
      </c>
      <c r="J40" s="361">
        <f t="shared" si="26"/>
        <v>8100</v>
      </c>
      <c r="K40" s="361">
        <f t="shared" si="26"/>
        <v>8100</v>
      </c>
      <c r="L40" s="361">
        <f t="shared" si="26"/>
        <v>8100</v>
      </c>
      <c r="M40" s="361">
        <f t="shared" si="26"/>
        <v>8100</v>
      </c>
      <c r="N40" s="361">
        <f t="shared" si="26"/>
        <v>8100</v>
      </c>
      <c r="O40" s="361">
        <f t="shared" si="26"/>
        <v>8100</v>
      </c>
      <c r="P40" s="361">
        <f t="shared" si="26"/>
        <v>8100</v>
      </c>
      <c r="Q40" s="361">
        <f t="shared" si="26"/>
        <v>8100</v>
      </c>
      <c r="R40" s="361">
        <f t="shared" si="13"/>
        <v>8100</v>
      </c>
      <c r="S40" s="941"/>
      <c r="T40" s="948">
        <f t="shared" si="14"/>
        <v>0</v>
      </c>
      <c r="U40" s="948">
        <f t="shared" si="14"/>
        <v>0</v>
      </c>
      <c r="V40" s="948">
        <f t="shared" si="14"/>
        <v>9071</v>
      </c>
      <c r="W40" s="948">
        <f t="shared" si="14"/>
        <v>0</v>
      </c>
      <c r="X40" s="948">
        <f t="shared" si="14"/>
        <v>0</v>
      </c>
      <c r="Y40" s="948">
        <f t="shared" si="14"/>
        <v>14200</v>
      </c>
      <c r="Z40" s="948">
        <f t="shared" si="14"/>
        <v>0</v>
      </c>
      <c r="AA40" s="948">
        <f t="shared" si="14"/>
        <v>0</v>
      </c>
      <c r="AB40" s="948">
        <f t="shared" si="14"/>
        <v>2888.1744831064043</v>
      </c>
      <c r="AC40" s="948"/>
      <c r="AD40" s="948"/>
      <c r="AE40" s="948"/>
      <c r="AF40" s="361">
        <f>IFERROR(AVERAGEA(V40,Y40,AB40),0)</f>
        <v>8719.7248277021354</v>
      </c>
      <c r="AG40" s="6"/>
      <c r="AH40" s="948">
        <f t="shared" si="15"/>
        <v>9302.9235360333951</v>
      </c>
      <c r="AI40" s="6"/>
      <c r="AJ40" s="948">
        <f t="shared" si="15"/>
        <v>12223.671217625688</v>
      </c>
      <c r="AL40" s="945">
        <f t="shared" si="11"/>
        <v>-619.72482770213537</v>
      </c>
      <c r="AM40" s="949">
        <f t="shared" si="12"/>
        <v>-7.1071603742964506E-2</v>
      </c>
    </row>
    <row r="41" spans="2:39" x14ac:dyDescent="0.25">
      <c r="B41" s="23"/>
      <c r="C41" s="24" t="s">
        <v>412</v>
      </c>
      <c r="D41" s="25"/>
      <c r="E41" s="363"/>
      <c r="F41" s="363">
        <f>F60/F22</f>
        <v>13995.784148397976</v>
      </c>
      <c r="G41" s="363">
        <f t="shared" ref="G41:T41" si="27">G60/G22</f>
        <v>13995.784148397976</v>
      </c>
      <c r="H41" s="363">
        <f t="shared" si="27"/>
        <v>13995.784148397976</v>
      </c>
      <c r="I41" s="363">
        <f t="shared" si="27"/>
        <v>13995.784148397976</v>
      </c>
      <c r="J41" s="363">
        <f t="shared" si="27"/>
        <v>13995.784148397976</v>
      </c>
      <c r="K41" s="363">
        <f t="shared" si="27"/>
        <v>13995.784148397976</v>
      </c>
      <c r="L41" s="363">
        <f t="shared" si="27"/>
        <v>13995.784148397976</v>
      </c>
      <c r="M41" s="363">
        <f t="shared" si="27"/>
        <v>13995.784148397976</v>
      </c>
      <c r="N41" s="363">
        <f t="shared" si="27"/>
        <v>13995.784148397976</v>
      </c>
      <c r="O41" s="363">
        <f t="shared" si="27"/>
        <v>13995.784148397976</v>
      </c>
      <c r="P41" s="363">
        <f t="shared" si="27"/>
        <v>13995.784148397976</v>
      </c>
      <c r="Q41" s="363">
        <f t="shared" si="27"/>
        <v>13995.784148397976</v>
      </c>
      <c r="R41" s="363">
        <f t="shared" si="27"/>
        <v>13995.784148397976</v>
      </c>
      <c r="S41" s="956"/>
      <c r="T41" s="363">
        <f t="shared" si="27"/>
        <v>15680.472740191179</v>
      </c>
      <c r="U41" s="363">
        <f t="shared" ref="U41:AE41" si="28">U60/U22</f>
        <v>16140.037528212162</v>
      </c>
      <c r="V41" s="363">
        <f t="shared" si="28"/>
        <v>16990.470514951037</v>
      </c>
      <c r="W41" s="363">
        <f t="shared" si="28"/>
        <v>18646.911662367787</v>
      </c>
      <c r="X41" s="363">
        <f t="shared" si="28"/>
        <v>17948.521264303872</v>
      </c>
      <c r="Y41" s="363">
        <f t="shared" si="28"/>
        <v>18641.789162185196</v>
      </c>
      <c r="Z41" s="363">
        <f t="shared" si="28"/>
        <v>18905.640783342838</v>
      </c>
      <c r="AA41" s="363">
        <f t="shared" si="28"/>
        <v>17453.531521050332</v>
      </c>
      <c r="AB41" s="363">
        <f t="shared" si="28"/>
        <v>14722.358836527501</v>
      </c>
      <c r="AC41" s="363">
        <f t="shared" si="28"/>
        <v>13898.924122310305</v>
      </c>
      <c r="AD41" s="363">
        <f t="shared" si="28"/>
        <v>13898.924122310305</v>
      </c>
      <c r="AE41" s="363">
        <f t="shared" si="28"/>
        <v>13898.924122310305</v>
      </c>
      <c r="AF41" s="363">
        <f>AF60/AF22</f>
        <v>16620.62209915679</v>
      </c>
      <c r="AG41" s="6"/>
      <c r="AH41" s="363">
        <f>AH60/AH22</f>
        <v>15224.274557374492</v>
      </c>
      <c r="AI41" s="6"/>
      <c r="AJ41" s="363">
        <f>AJ60/AJ22</f>
        <v>13960.52878301003</v>
      </c>
      <c r="AL41" s="370">
        <f>IFERROR(R41-AF41,0)</f>
        <v>-2624.8379507588143</v>
      </c>
      <c r="AM41" s="906">
        <f t="shared" si="12"/>
        <v>-0.15792657670087928</v>
      </c>
    </row>
    <row r="42" spans="2:39" ht="12.5" x14ac:dyDescent="0.25">
      <c r="B42" s="184"/>
      <c r="C42" s="185"/>
      <c r="D42" s="186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941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</row>
    <row r="43" spans="2:39" x14ac:dyDescent="0.3">
      <c r="B43" s="5" t="s">
        <v>300</v>
      </c>
      <c r="R43" s="204"/>
      <c r="S43" s="958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204"/>
      <c r="AG43" s="6"/>
      <c r="AH43" s="204"/>
      <c r="AI43" s="6"/>
      <c r="AJ43" s="204"/>
      <c r="AL43" s="204"/>
      <c r="AM43" s="204"/>
    </row>
    <row r="44" spans="2:39" ht="25.5" customHeight="1" x14ac:dyDescent="0.25">
      <c r="B44" s="141" t="s">
        <v>0</v>
      </c>
      <c r="C44" s="141" t="s">
        <v>81</v>
      </c>
      <c r="D44" s="141" t="s">
        <v>11</v>
      </c>
      <c r="E44" s="269" t="s">
        <v>1814</v>
      </c>
      <c r="F44" s="7" t="s">
        <v>56</v>
      </c>
      <c r="G44" s="7" t="s">
        <v>57</v>
      </c>
      <c r="H44" s="7" t="s">
        <v>58</v>
      </c>
      <c r="I44" s="7" t="s">
        <v>59</v>
      </c>
      <c r="J44" s="7" t="s">
        <v>60</v>
      </c>
      <c r="K44" s="7" t="s">
        <v>61</v>
      </c>
      <c r="L44" s="7" t="s">
        <v>62</v>
      </c>
      <c r="M44" s="7" t="s">
        <v>63</v>
      </c>
      <c r="N44" s="7" t="s">
        <v>64</v>
      </c>
      <c r="O44" s="7" t="s">
        <v>65</v>
      </c>
      <c r="P44" s="7" t="s">
        <v>66</v>
      </c>
      <c r="Q44" s="7" t="s">
        <v>67</v>
      </c>
      <c r="R44" s="7" t="s">
        <v>2246</v>
      </c>
      <c r="S44" s="196"/>
      <c r="T44" s="942" t="s">
        <v>56</v>
      </c>
      <c r="U44" s="942" t="s">
        <v>57</v>
      </c>
      <c r="V44" s="942" t="s">
        <v>58</v>
      </c>
      <c r="W44" s="942" t="s">
        <v>59</v>
      </c>
      <c r="X44" s="942" t="s">
        <v>60</v>
      </c>
      <c r="Y44" s="942" t="s">
        <v>61</v>
      </c>
      <c r="Z44" s="942" t="s">
        <v>62</v>
      </c>
      <c r="AA44" s="942" t="s">
        <v>63</v>
      </c>
      <c r="AB44" s="942" t="s">
        <v>64</v>
      </c>
      <c r="AC44" s="942" t="s">
        <v>65</v>
      </c>
      <c r="AD44" s="942" t="s">
        <v>66</v>
      </c>
      <c r="AE44" s="942" t="s">
        <v>67</v>
      </c>
      <c r="AF44" s="942" t="s">
        <v>405</v>
      </c>
      <c r="AG44" s="36"/>
      <c r="AH44" s="942" t="s">
        <v>1942</v>
      </c>
      <c r="AI44" s="36"/>
      <c r="AJ44" s="942" t="s">
        <v>1943</v>
      </c>
      <c r="AK44" s="36"/>
      <c r="AL44" s="943" t="s">
        <v>749</v>
      </c>
      <c r="AM44" s="944" t="s">
        <v>750</v>
      </c>
    </row>
    <row r="45" spans="2:39" x14ac:dyDescent="0.25">
      <c r="B45" s="8">
        <v>1</v>
      </c>
      <c r="C45" s="9" t="s">
        <v>35</v>
      </c>
      <c r="D45" s="10" t="s">
        <v>234</v>
      </c>
      <c r="E45" s="995">
        <f>R45/$R$60</f>
        <v>0.56991385023194163</v>
      </c>
      <c r="F45" s="26">
        <f t="shared" ref="F45" si="29">F7*F26</f>
        <v>4257000000</v>
      </c>
      <c r="G45" s="26">
        <f>G7*G26</f>
        <v>3192750000</v>
      </c>
      <c r="H45" s="26">
        <f t="shared" ref="H45:K45" si="30">H7*H26</f>
        <v>4611750000</v>
      </c>
      <c r="I45" s="26">
        <f t="shared" si="30"/>
        <v>4966500000</v>
      </c>
      <c r="J45" s="26">
        <f t="shared" si="30"/>
        <v>4966500000</v>
      </c>
      <c r="K45" s="26">
        <f t="shared" si="30"/>
        <v>4966500000</v>
      </c>
      <c r="L45" s="26">
        <f t="shared" ref="L45:Q45" si="31">L7*L26</f>
        <v>4966500000</v>
      </c>
      <c r="M45" s="26">
        <f t="shared" ref="M45:M53" si="32">M7*M26</f>
        <v>4966500000</v>
      </c>
      <c r="N45" s="26">
        <f t="shared" si="31"/>
        <v>4966500000</v>
      </c>
      <c r="O45" s="26">
        <f t="shared" si="31"/>
        <v>4966500000</v>
      </c>
      <c r="P45" s="26">
        <f t="shared" si="31"/>
        <v>4966500000</v>
      </c>
      <c r="Q45" s="26">
        <f t="shared" si="31"/>
        <v>4966500000</v>
      </c>
      <c r="R45" s="205">
        <f>SUM(F45:Q45)</f>
        <v>56760000000</v>
      </c>
      <c r="S45" s="959"/>
      <c r="T45" s="355">
        <v>2126567480</v>
      </c>
      <c r="U45" s="355">
        <v>1618330982</v>
      </c>
      <c r="V45" s="355">
        <v>1834486565</v>
      </c>
      <c r="W45" s="355">
        <v>73941400</v>
      </c>
      <c r="X45" s="355">
        <v>2400072512</v>
      </c>
      <c r="Y45" s="355">
        <v>6078883751</v>
      </c>
      <c r="Z45" s="355">
        <v>8954206262</v>
      </c>
      <c r="AA45" s="355">
        <v>7845338365</v>
      </c>
      <c r="AB45" s="355">
        <v>5479567900</v>
      </c>
      <c r="AC45" s="355">
        <f>AC7*AC26</f>
        <v>3423750000</v>
      </c>
      <c r="AD45" s="355">
        <f t="shared" ref="AD45:AE45" si="33">AD7*AD26</f>
        <v>3423750000</v>
      </c>
      <c r="AE45" s="355">
        <f t="shared" si="33"/>
        <v>3423750000</v>
      </c>
      <c r="AF45" s="950">
        <f>SUM(T45:AE45)</f>
        <v>46682645217</v>
      </c>
      <c r="AG45" s="6"/>
      <c r="AH45" s="980">
        <f>32687184700+159248000</f>
        <v>32846432700</v>
      </c>
      <c r="AI45" s="6"/>
      <c r="AJ45" s="950">
        <f>44166623800+3559610000</f>
        <v>47726233800</v>
      </c>
      <c r="AL45" s="355">
        <f t="shared" ref="AL45:AL60" si="34">IFERROR(R45-AF45,0)</f>
        <v>10077354783</v>
      </c>
      <c r="AM45" s="949">
        <f t="shared" ref="AM45:AM60" si="35">IFERROR((R45/AF45)-1,0)</f>
        <v>0.21586940363289919</v>
      </c>
    </row>
    <row r="46" spans="2:39" x14ac:dyDescent="0.25">
      <c r="B46" s="8">
        <v>2</v>
      </c>
      <c r="C46" s="9" t="s">
        <v>401</v>
      </c>
      <c r="D46" s="10" t="s">
        <v>234</v>
      </c>
      <c r="E46" s="995">
        <f t="shared" ref="E46:E59" si="36">R46/$R$60</f>
        <v>0</v>
      </c>
      <c r="F46" s="26">
        <f t="shared" ref="F46:K46" si="37">F8*F27</f>
        <v>0</v>
      </c>
      <c r="G46" s="26">
        <f t="shared" si="37"/>
        <v>0</v>
      </c>
      <c r="H46" s="26">
        <f t="shared" si="37"/>
        <v>0</v>
      </c>
      <c r="I46" s="26">
        <f t="shared" si="37"/>
        <v>0</v>
      </c>
      <c r="J46" s="26">
        <f t="shared" si="37"/>
        <v>0</v>
      </c>
      <c r="K46" s="26">
        <f t="shared" si="37"/>
        <v>0</v>
      </c>
      <c r="L46" s="26">
        <f t="shared" ref="L46:L53" si="38">L8*L27</f>
        <v>0</v>
      </c>
      <c r="M46" s="26">
        <f t="shared" si="32"/>
        <v>0</v>
      </c>
      <c r="N46" s="26">
        <f t="shared" ref="N46:Q53" si="39">N8*N27</f>
        <v>0</v>
      </c>
      <c r="O46" s="26">
        <f t="shared" si="39"/>
        <v>0</v>
      </c>
      <c r="P46" s="26">
        <f t="shared" si="39"/>
        <v>0</v>
      </c>
      <c r="Q46" s="26">
        <f t="shared" si="39"/>
        <v>0</v>
      </c>
      <c r="R46" s="205">
        <f t="shared" ref="R46:R59" si="40">SUM(F46:Q46)</f>
        <v>0</v>
      </c>
      <c r="S46" s="959"/>
      <c r="T46" s="355"/>
      <c r="U46" s="355"/>
      <c r="V46" s="355"/>
      <c r="W46" s="355"/>
      <c r="X46" s="355"/>
      <c r="Y46" s="355"/>
      <c r="Z46" s="355"/>
      <c r="AA46" s="355"/>
      <c r="AB46" s="355">
        <v>323475000</v>
      </c>
      <c r="AC46" s="355">
        <f t="shared" ref="AC46:AE59" si="41">AC8*AC27</f>
        <v>0</v>
      </c>
      <c r="AD46" s="355">
        <f t="shared" si="41"/>
        <v>0</v>
      </c>
      <c r="AE46" s="355">
        <f t="shared" si="41"/>
        <v>0</v>
      </c>
      <c r="AF46" s="950">
        <f t="shared" ref="AF46:AF52" si="42">SUM(T46:AE46)</f>
        <v>323475000</v>
      </c>
      <c r="AG46" s="6"/>
      <c r="AH46" s="980">
        <v>12230348500</v>
      </c>
      <c r="AI46" s="6"/>
      <c r="AJ46" s="950"/>
      <c r="AL46" s="355">
        <f t="shared" si="34"/>
        <v>-323475000</v>
      </c>
      <c r="AM46" s="949">
        <f t="shared" si="35"/>
        <v>-1</v>
      </c>
    </row>
    <row r="47" spans="2:39" x14ac:dyDescent="0.25">
      <c r="B47" s="8">
        <v>3</v>
      </c>
      <c r="C47" s="9" t="s">
        <v>42</v>
      </c>
      <c r="D47" s="10" t="s">
        <v>234</v>
      </c>
      <c r="E47" s="995">
        <f t="shared" si="36"/>
        <v>0</v>
      </c>
      <c r="F47" s="26">
        <f t="shared" ref="F47:J47" si="43">F9*F28</f>
        <v>0</v>
      </c>
      <c r="G47" s="26">
        <f t="shared" si="43"/>
        <v>0</v>
      </c>
      <c r="H47" s="26">
        <f t="shared" si="43"/>
        <v>0</v>
      </c>
      <c r="I47" s="26">
        <f t="shared" si="43"/>
        <v>0</v>
      </c>
      <c r="J47" s="26">
        <f t="shared" si="43"/>
        <v>0</v>
      </c>
      <c r="K47" s="26">
        <f>K9*K28</f>
        <v>0</v>
      </c>
      <c r="L47" s="26">
        <f t="shared" si="38"/>
        <v>0</v>
      </c>
      <c r="M47" s="26">
        <f t="shared" si="32"/>
        <v>0</v>
      </c>
      <c r="N47" s="26">
        <f t="shared" si="39"/>
        <v>0</v>
      </c>
      <c r="O47" s="26">
        <f t="shared" si="39"/>
        <v>0</v>
      </c>
      <c r="P47" s="26">
        <f t="shared" si="39"/>
        <v>0</v>
      </c>
      <c r="Q47" s="26">
        <f t="shared" si="39"/>
        <v>0</v>
      </c>
      <c r="R47" s="205">
        <f t="shared" si="40"/>
        <v>0</v>
      </c>
      <c r="S47" s="959"/>
      <c r="T47" s="355"/>
      <c r="U47" s="355">
        <v>1946188400</v>
      </c>
      <c r="V47" s="355">
        <v>3574611014</v>
      </c>
      <c r="W47" s="355">
        <v>4877913934</v>
      </c>
      <c r="X47" s="355">
        <v>2233436740</v>
      </c>
      <c r="Y47" s="355"/>
      <c r="Z47" s="355"/>
      <c r="AA47" s="355"/>
      <c r="AB47" s="355"/>
      <c r="AC47" s="355">
        <f t="shared" si="41"/>
        <v>0</v>
      </c>
      <c r="AD47" s="355">
        <f t="shared" si="41"/>
        <v>0</v>
      </c>
      <c r="AE47" s="355">
        <f t="shared" si="41"/>
        <v>0</v>
      </c>
      <c r="AF47" s="950">
        <f t="shared" si="42"/>
        <v>12632150088</v>
      </c>
      <c r="AG47" s="6"/>
      <c r="AH47" s="980"/>
      <c r="AI47" s="6"/>
      <c r="AJ47" s="950"/>
      <c r="AL47" s="355">
        <f t="shared" si="34"/>
        <v>-12632150088</v>
      </c>
      <c r="AM47" s="949">
        <f t="shared" si="35"/>
        <v>-1</v>
      </c>
    </row>
    <row r="48" spans="2:39" x14ac:dyDescent="0.25">
      <c r="B48" s="8">
        <v>4</v>
      </c>
      <c r="C48" s="9" t="s">
        <v>39</v>
      </c>
      <c r="D48" s="10" t="s">
        <v>234</v>
      </c>
      <c r="E48" s="995">
        <f t="shared" si="36"/>
        <v>0</v>
      </c>
      <c r="F48" s="26">
        <f t="shared" ref="F48:K48" si="44">F10*F29</f>
        <v>0</v>
      </c>
      <c r="G48" s="26">
        <f t="shared" si="44"/>
        <v>0</v>
      </c>
      <c r="H48" s="26">
        <f t="shared" si="44"/>
        <v>0</v>
      </c>
      <c r="I48" s="26">
        <f t="shared" si="44"/>
        <v>0</v>
      </c>
      <c r="J48" s="26">
        <f t="shared" si="44"/>
        <v>0</v>
      </c>
      <c r="K48" s="26">
        <f t="shared" si="44"/>
        <v>0</v>
      </c>
      <c r="L48" s="26">
        <f t="shared" si="38"/>
        <v>0</v>
      </c>
      <c r="M48" s="26">
        <f t="shared" si="32"/>
        <v>0</v>
      </c>
      <c r="N48" s="26">
        <f t="shared" si="39"/>
        <v>0</v>
      </c>
      <c r="O48" s="26">
        <f t="shared" si="39"/>
        <v>0</v>
      </c>
      <c r="P48" s="26">
        <f t="shared" si="39"/>
        <v>0</v>
      </c>
      <c r="Q48" s="26">
        <f t="shared" si="39"/>
        <v>0</v>
      </c>
      <c r="R48" s="205">
        <f t="shared" si="40"/>
        <v>0</v>
      </c>
      <c r="S48" s="959"/>
      <c r="T48" s="355"/>
      <c r="U48" s="355">
        <v>1393490</v>
      </c>
      <c r="V48" s="355"/>
      <c r="W48" s="355"/>
      <c r="X48" s="355"/>
      <c r="Y48" s="355"/>
      <c r="Z48" s="355"/>
      <c r="AA48" s="355"/>
      <c r="AB48" s="355"/>
      <c r="AC48" s="355">
        <f t="shared" si="41"/>
        <v>0</v>
      </c>
      <c r="AD48" s="355">
        <f t="shared" si="41"/>
        <v>0</v>
      </c>
      <c r="AE48" s="355">
        <f t="shared" si="41"/>
        <v>0</v>
      </c>
      <c r="AF48" s="950">
        <f t="shared" si="42"/>
        <v>1393490</v>
      </c>
      <c r="AG48" s="6"/>
      <c r="AH48" s="980"/>
      <c r="AI48" s="6"/>
      <c r="AJ48" s="950">
        <v>1447316750</v>
      </c>
      <c r="AL48" s="355">
        <f t="shared" si="34"/>
        <v>-1393490</v>
      </c>
      <c r="AM48" s="949">
        <f t="shared" si="35"/>
        <v>-1</v>
      </c>
    </row>
    <row r="49" spans="2:40" x14ac:dyDescent="0.25">
      <c r="B49" s="8">
        <v>5</v>
      </c>
      <c r="C49" s="9" t="s">
        <v>32</v>
      </c>
      <c r="D49" s="10" t="s">
        <v>234</v>
      </c>
      <c r="E49" s="995">
        <f t="shared" si="36"/>
        <v>0.11006687149828302</v>
      </c>
      <c r="F49" s="26">
        <f t="shared" ref="F49:K49" si="45">F11*F30</f>
        <v>822150000</v>
      </c>
      <c r="G49" s="26">
        <f t="shared" si="45"/>
        <v>616612500</v>
      </c>
      <c r="H49" s="26">
        <f t="shared" si="45"/>
        <v>890662500</v>
      </c>
      <c r="I49" s="26">
        <f t="shared" si="45"/>
        <v>959175000</v>
      </c>
      <c r="J49" s="26">
        <f t="shared" si="45"/>
        <v>959175000</v>
      </c>
      <c r="K49" s="26">
        <f t="shared" si="45"/>
        <v>959175000</v>
      </c>
      <c r="L49" s="26">
        <f t="shared" si="38"/>
        <v>959175000</v>
      </c>
      <c r="M49" s="26">
        <f t="shared" si="32"/>
        <v>959175000</v>
      </c>
      <c r="N49" s="26">
        <f t="shared" si="39"/>
        <v>959175000</v>
      </c>
      <c r="O49" s="26">
        <f t="shared" si="39"/>
        <v>959175000</v>
      </c>
      <c r="P49" s="26">
        <f t="shared" si="39"/>
        <v>959175000</v>
      </c>
      <c r="Q49" s="26">
        <f t="shared" si="39"/>
        <v>959175000</v>
      </c>
      <c r="R49" s="205">
        <f t="shared" si="40"/>
        <v>10962000000</v>
      </c>
      <c r="S49" s="959"/>
      <c r="T49" s="355">
        <v>451366500</v>
      </c>
      <c r="U49" s="355">
        <v>771663360</v>
      </c>
      <c r="V49" s="355">
        <v>872318550</v>
      </c>
      <c r="W49" s="355">
        <v>593237400</v>
      </c>
      <c r="X49" s="355">
        <v>1060533472</v>
      </c>
      <c r="Y49" s="355">
        <v>1070060700</v>
      </c>
      <c r="Z49" s="355">
        <v>799926136</v>
      </c>
      <c r="AA49" s="355">
        <v>892157663</v>
      </c>
      <c r="AB49" s="355">
        <v>574440500</v>
      </c>
      <c r="AC49" s="355">
        <f t="shared" si="41"/>
        <v>752625000</v>
      </c>
      <c r="AD49" s="355">
        <f t="shared" si="41"/>
        <v>752625000</v>
      </c>
      <c r="AE49" s="355">
        <f t="shared" si="41"/>
        <v>752625000</v>
      </c>
      <c r="AF49" s="950">
        <f t="shared" si="42"/>
        <v>9343579281</v>
      </c>
      <c r="AG49" s="6"/>
      <c r="AH49" s="980">
        <v>8502651000</v>
      </c>
      <c r="AI49" s="6"/>
      <c r="AJ49" s="950">
        <v>5760087865</v>
      </c>
      <c r="AL49" s="355">
        <f t="shared" si="34"/>
        <v>1618420719</v>
      </c>
      <c r="AM49" s="949">
        <f t="shared" si="35"/>
        <v>0.17321207112685699</v>
      </c>
    </row>
    <row r="50" spans="2:40" x14ac:dyDescent="0.25">
      <c r="B50" s="8">
        <v>6</v>
      </c>
      <c r="C50" s="9" t="s">
        <v>36</v>
      </c>
      <c r="D50" s="10" t="s">
        <v>234</v>
      </c>
      <c r="E50" s="995">
        <f t="shared" si="36"/>
        <v>0</v>
      </c>
      <c r="F50" s="26">
        <f t="shared" ref="F50:K50" si="46">F12*F31</f>
        <v>0</v>
      </c>
      <c r="G50" s="26">
        <f t="shared" si="46"/>
        <v>0</v>
      </c>
      <c r="H50" s="26">
        <f t="shared" si="46"/>
        <v>0</v>
      </c>
      <c r="I50" s="26">
        <f t="shared" si="46"/>
        <v>0</v>
      </c>
      <c r="J50" s="26">
        <f t="shared" si="46"/>
        <v>0</v>
      </c>
      <c r="K50" s="26">
        <f t="shared" si="46"/>
        <v>0</v>
      </c>
      <c r="L50" s="26">
        <f t="shared" si="38"/>
        <v>0</v>
      </c>
      <c r="M50" s="26">
        <f t="shared" si="32"/>
        <v>0</v>
      </c>
      <c r="N50" s="26">
        <f t="shared" si="39"/>
        <v>0</v>
      </c>
      <c r="O50" s="26">
        <f t="shared" si="39"/>
        <v>0</v>
      </c>
      <c r="P50" s="26">
        <f t="shared" si="39"/>
        <v>0</v>
      </c>
      <c r="Q50" s="26">
        <f t="shared" si="39"/>
        <v>0</v>
      </c>
      <c r="R50" s="205">
        <f t="shared" si="40"/>
        <v>0</v>
      </c>
      <c r="S50" s="959"/>
      <c r="T50" s="355"/>
      <c r="U50" s="355">
        <v>267524270</v>
      </c>
      <c r="V50" s="355"/>
      <c r="W50" s="355"/>
      <c r="X50" s="355"/>
      <c r="Y50" s="355"/>
      <c r="Z50" s="355"/>
      <c r="AA50" s="355"/>
      <c r="AB50" s="355"/>
      <c r="AC50" s="355">
        <f t="shared" si="41"/>
        <v>0</v>
      </c>
      <c r="AD50" s="355">
        <f t="shared" si="41"/>
        <v>0</v>
      </c>
      <c r="AE50" s="355">
        <f t="shared" si="41"/>
        <v>0</v>
      </c>
      <c r="AF50" s="950">
        <f t="shared" si="42"/>
        <v>267524270</v>
      </c>
      <c r="AG50" s="6"/>
      <c r="AH50" s="980">
        <v>819889000</v>
      </c>
      <c r="AI50" s="6"/>
      <c r="AJ50" s="950">
        <v>9722834500</v>
      </c>
      <c r="AL50" s="355">
        <f t="shared" si="34"/>
        <v>-267524270</v>
      </c>
      <c r="AM50" s="949">
        <f t="shared" si="35"/>
        <v>-1</v>
      </c>
    </row>
    <row r="51" spans="2:40" x14ac:dyDescent="0.25">
      <c r="B51" s="8">
        <v>7</v>
      </c>
      <c r="C51" s="9" t="s">
        <v>34</v>
      </c>
      <c r="D51" s="10" t="s">
        <v>234</v>
      </c>
      <c r="E51" s="995">
        <f t="shared" si="36"/>
        <v>1.4458702331465751E-2</v>
      </c>
      <c r="F51" s="26">
        <f t="shared" ref="F51:K51" si="47">F13*F32</f>
        <v>108000000</v>
      </c>
      <c r="G51" s="26">
        <f t="shared" si="47"/>
        <v>81000000</v>
      </c>
      <c r="H51" s="26">
        <f t="shared" si="47"/>
        <v>117000000</v>
      </c>
      <c r="I51" s="26">
        <f t="shared" si="47"/>
        <v>126000000</v>
      </c>
      <c r="J51" s="26">
        <f t="shared" si="47"/>
        <v>126000000</v>
      </c>
      <c r="K51" s="26">
        <f t="shared" si="47"/>
        <v>126000000</v>
      </c>
      <c r="L51" s="26">
        <f t="shared" si="38"/>
        <v>126000000</v>
      </c>
      <c r="M51" s="26">
        <f t="shared" si="32"/>
        <v>126000000</v>
      </c>
      <c r="N51" s="26">
        <f t="shared" si="39"/>
        <v>126000000</v>
      </c>
      <c r="O51" s="26">
        <f t="shared" si="39"/>
        <v>126000000</v>
      </c>
      <c r="P51" s="26">
        <f t="shared" si="39"/>
        <v>126000000</v>
      </c>
      <c r="Q51" s="26">
        <f t="shared" si="39"/>
        <v>126000000</v>
      </c>
      <c r="R51" s="205">
        <f t="shared" si="40"/>
        <v>1440000000</v>
      </c>
      <c r="S51" s="959"/>
      <c r="T51" s="355">
        <v>54411500</v>
      </c>
      <c r="U51" s="355">
        <v>111410260</v>
      </c>
      <c r="V51" s="355">
        <v>95883700</v>
      </c>
      <c r="W51" s="355">
        <v>139971550</v>
      </c>
      <c r="X51" s="355">
        <v>230740020</v>
      </c>
      <c r="Y51" s="355">
        <v>127391700</v>
      </c>
      <c r="Z51" s="355">
        <v>259352118</v>
      </c>
      <c r="AA51" s="355">
        <v>238302319</v>
      </c>
      <c r="AB51" s="355">
        <v>132957000</v>
      </c>
      <c r="AC51" s="355">
        <f t="shared" si="41"/>
        <v>90000000</v>
      </c>
      <c r="AD51" s="355">
        <f t="shared" si="41"/>
        <v>90000000</v>
      </c>
      <c r="AE51" s="355">
        <f t="shared" si="41"/>
        <v>90000000</v>
      </c>
      <c r="AF51" s="950">
        <f t="shared" si="42"/>
        <v>1660420167</v>
      </c>
      <c r="AG51" s="6"/>
      <c r="AH51" s="980">
        <v>1121063000</v>
      </c>
      <c r="AI51" s="6"/>
      <c r="AJ51" s="950">
        <v>862376983</v>
      </c>
      <c r="AL51" s="355">
        <f t="shared" si="34"/>
        <v>-220420167</v>
      </c>
      <c r="AM51" s="949">
        <f t="shared" si="35"/>
        <v>-0.13274963252117622</v>
      </c>
    </row>
    <row r="52" spans="2:40" x14ac:dyDescent="0.25">
      <c r="B52" s="8">
        <v>8</v>
      </c>
      <c r="C52" s="9" t="s">
        <v>33</v>
      </c>
      <c r="D52" s="10" t="s">
        <v>234</v>
      </c>
      <c r="E52" s="995">
        <f t="shared" si="36"/>
        <v>1.9278269775287668E-2</v>
      </c>
      <c r="F52" s="26">
        <f t="shared" ref="F52:K52" si="48">F14*F33</f>
        <v>144000000</v>
      </c>
      <c r="G52" s="26">
        <f t="shared" si="48"/>
        <v>108000000</v>
      </c>
      <c r="H52" s="26">
        <f t="shared" si="48"/>
        <v>156000000</v>
      </c>
      <c r="I52" s="26">
        <f t="shared" si="48"/>
        <v>168000000</v>
      </c>
      <c r="J52" s="26">
        <f t="shared" si="48"/>
        <v>168000000</v>
      </c>
      <c r="K52" s="26">
        <f t="shared" si="48"/>
        <v>168000000</v>
      </c>
      <c r="L52" s="26">
        <f t="shared" si="38"/>
        <v>168000000</v>
      </c>
      <c r="M52" s="26">
        <f t="shared" si="32"/>
        <v>168000000</v>
      </c>
      <c r="N52" s="26">
        <f t="shared" si="39"/>
        <v>168000000</v>
      </c>
      <c r="O52" s="26">
        <f t="shared" si="39"/>
        <v>168000000</v>
      </c>
      <c r="P52" s="26">
        <f t="shared" si="39"/>
        <v>168000000</v>
      </c>
      <c r="Q52" s="26">
        <f t="shared" si="39"/>
        <v>168000000</v>
      </c>
      <c r="R52" s="205">
        <f t="shared" si="40"/>
        <v>1920000000</v>
      </c>
      <c r="S52" s="959"/>
      <c r="T52" s="355">
        <v>108888000</v>
      </c>
      <c r="U52" s="355">
        <v>149165770</v>
      </c>
      <c r="V52" s="355">
        <v>83617300</v>
      </c>
      <c r="W52" s="355">
        <v>274825600</v>
      </c>
      <c r="X52" s="355">
        <v>209165800</v>
      </c>
      <c r="Y52" s="355">
        <v>161687600</v>
      </c>
      <c r="Z52" s="355">
        <v>321456635</v>
      </c>
      <c r="AA52" s="355">
        <v>316972509</v>
      </c>
      <c r="AB52" s="355">
        <v>172121000</v>
      </c>
      <c r="AC52" s="355">
        <f t="shared" si="41"/>
        <v>120000000</v>
      </c>
      <c r="AD52" s="355">
        <f t="shared" si="41"/>
        <v>120000000</v>
      </c>
      <c r="AE52" s="355">
        <f t="shared" si="41"/>
        <v>120000000</v>
      </c>
      <c r="AF52" s="950">
        <f t="shared" si="42"/>
        <v>2157900214</v>
      </c>
      <c r="AG52" s="6"/>
      <c r="AH52" s="980">
        <v>1690342600</v>
      </c>
      <c r="AI52" s="6"/>
      <c r="AJ52" s="950">
        <v>1654320500</v>
      </c>
      <c r="AL52" s="355">
        <f t="shared" si="34"/>
        <v>-237900214</v>
      </c>
      <c r="AM52" s="949">
        <f t="shared" si="35"/>
        <v>-0.11024616080787875</v>
      </c>
    </row>
    <row r="53" spans="2:40" x14ac:dyDescent="0.25">
      <c r="B53" s="8">
        <v>9</v>
      </c>
      <c r="C53" s="9" t="s">
        <v>37</v>
      </c>
      <c r="D53" s="10" t="s">
        <v>234</v>
      </c>
      <c r="E53" s="995">
        <f t="shared" si="36"/>
        <v>0</v>
      </c>
      <c r="F53" s="26">
        <f t="shared" ref="F53:K53" si="49">F15*F34</f>
        <v>0</v>
      </c>
      <c r="G53" s="26">
        <f t="shared" si="49"/>
        <v>0</v>
      </c>
      <c r="H53" s="26">
        <f t="shared" si="49"/>
        <v>0</v>
      </c>
      <c r="I53" s="26">
        <f t="shared" si="49"/>
        <v>0</v>
      </c>
      <c r="J53" s="26">
        <f t="shared" si="49"/>
        <v>0</v>
      </c>
      <c r="K53" s="26">
        <f t="shared" si="49"/>
        <v>0</v>
      </c>
      <c r="L53" s="26">
        <f t="shared" si="38"/>
        <v>0</v>
      </c>
      <c r="M53" s="26">
        <f t="shared" si="32"/>
        <v>0</v>
      </c>
      <c r="N53" s="26">
        <f t="shared" si="39"/>
        <v>0</v>
      </c>
      <c r="O53" s="26">
        <f t="shared" si="39"/>
        <v>0</v>
      </c>
      <c r="P53" s="26">
        <f t="shared" si="39"/>
        <v>0</v>
      </c>
      <c r="Q53" s="26">
        <f t="shared" si="39"/>
        <v>0</v>
      </c>
      <c r="R53" s="205">
        <f>SUM(F53:Q53)</f>
        <v>0</v>
      </c>
      <c r="S53" s="959"/>
      <c r="T53" s="355"/>
      <c r="U53" s="355"/>
      <c r="V53" s="355"/>
      <c r="W53" s="355"/>
      <c r="X53" s="355"/>
      <c r="Y53" s="355"/>
      <c r="Z53" s="355"/>
      <c r="AA53" s="355"/>
      <c r="AB53" s="355"/>
      <c r="AC53" s="355">
        <f t="shared" si="41"/>
        <v>0</v>
      </c>
      <c r="AD53" s="355">
        <f t="shared" si="41"/>
        <v>0</v>
      </c>
      <c r="AE53" s="355">
        <f t="shared" si="41"/>
        <v>0</v>
      </c>
      <c r="AF53" s="950">
        <f>SUM(T53:AE53)</f>
        <v>0</v>
      </c>
      <c r="AG53" s="6"/>
      <c r="AH53" s="980">
        <v>153088000</v>
      </c>
      <c r="AI53" s="6"/>
      <c r="AJ53" s="950"/>
      <c r="AL53" s="355">
        <f t="shared" si="34"/>
        <v>0</v>
      </c>
      <c r="AM53" s="949">
        <f t="shared" si="35"/>
        <v>0</v>
      </c>
    </row>
    <row r="54" spans="2:40" x14ac:dyDescent="0.25">
      <c r="B54" s="8">
        <v>10</v>
      </c>
      <c r="C54" s="9" t="s">
        <v>38</v>
      </c>
      <c r="D54" s="10" t="s">
        <v>234</v>
      </c>
      <c r="E54" s="995">
        <f t="shared" si="36"/>
        <v>0.26025664196638354</v>
      </c>
      <c r="F54" s="26">
        <f t="shared" ref="F54:K54" si="50">F16*F35</f>
        <v>1944000000</v>
      </c>
      <c r="G54" s="26">
        <f t="shared" si="50"/>
        <v>1458000000</v>
      </c>
      <c r="H54" s="26">
        <f t="shared" si="50"/>
        <v>2106000000</v>
      </c>
      <c r="I54" s="26">
        <f t="shared" si="50"/>
        <v>2268000000</v>
      </c>
      <c r="J54" s="26">
        <f t="shared" si="50"/>
        <v>2268000000</v>
      </c>
      <c r="K54" s="26">
        <f t="shared" si="50"/>
        <v>2268000000</v>
      </c>
      <c r="L54" s="26">
        <f t="shared" ref="L54:Q54" si="51">L16*L35</f>
        <v>2268000000</v>
      </c>
      <c r="M54" s="26">
        <f t="shared" si="51"/>
        <v>2268000000</v>
      </c>
      <c r="N54" s="26">
        <f t="shared" si="51"/>
        <v>2268000000</v>
      </c>
      <c r="O54" s="26">
        <f t="shared" si="51"/>
        <v>2268000000</v>
      </c>
      <c r="P54" s="26">
        <f t="shared" si="51"/>
        <v>2268000000</v>
      </c>
      <c r="Q54" s="26">
        <f t="shared" si="51"/>
        <v>2268000000</v>
      </c>
      <c r="R54" s="205">
        <f t="shared" ref="R54" si="52">SUM(F54:Q54)</f>
        <v>25920000000</v>
      </c>
      <c r="S54" s="959"/>
      <c r="T54" s="355">
        <v>954421000</v>
      </c>
      <c r="U54" s="355">
        <v>128340144</v>
      </c>
      <c r="V54" s="355">
        <v>1500853900</v>
      </c>
      <c r="W54" s="355">
        <v>3589495430</v>
      </c>
      <c r="X54" s="355">
        <v>1933480560</v>
      </c>
      <c r="Y54" s="355">
        <v>2022439900</v>
      </c>
      <c r="Z54" s="355">
        <v>3128767403</v>
      </c>
      <c r="AA54" s="355">
        <v>3031489074</v>
      </c>
      <c r="AB54" s="355">
        <v>2045139000</v>
      </c>
      <c r="AC54" s="355">
        <f t="shared" si="41"/>
        <v>1620000000</v>
      </c>
      <c r="AD54" s="355">
        <f t="shared" si="41"/>
        <v>1620000000</v>
      </c>
      <c r="AE54" s="355">
        <f t="shared" si="41"/>
        <v>1620000000</v>
      </c>
      <c r="AF54" s="950">
        <f t="shared" ref="AF54:AF59" si="53">SUM(T54:AE54)</f>
        <v>23194426411</v>
      </c>
      <c r="AG54" s="6"/>
      <c r="AH54" s="980">
        <v>14637021500</v>
      </c>
      <c r="AI54" s="6"/>
      <c r="AJ54" s="950">
        <v>9041825897</v>
      </c>
      <c r="AL54" s="355">
        <f t="shared" si="34"/>
        <v>2725573589</v>
      </c>
      <c r="AM54" s="949">
        <f t="shared" si="35"/>
        <v>0.11750985088846133</v>
      </c>
    </row>
    <row r="55" spans="2:40" x14ac:dyDescent="0.25">
      <c r="B55" s="8">
        <v>11</v>
      </c>
      <c r="C55" s="9" t="s">
        <v>402</v>
      </c>
      <c r="D55" s="10" t="s">
        <v>234</v>
      </c>
      <c r="E55" s="995">
        <f t="shared" si="36"/>
        <v>0</v>
      </c>
      <c r="F55" s="26">
        <f t="shared" ref="F55:K55" si="54">F17*F36</f>
        <v>0</v>
      </c>
      <c r="G55" s="26">
        <f t="shared" si="54"/>
        <v>0</v>
      </c>
      <c r="H55" s="26">
        <f t="shared" si="54"/>
        <v>0</v>
      </c>
      <c r="I55" s="26">
        <f t="shared" si="54"/>
        <v>0</v>
      </c>
      <c r="J55" s="26">
        <f t="shared" si="54"/>
        <v>0</v>
      </c>
      <c r="K55" s="26">
        <f t="shared" si="54"/>
        <v>0</v>
      </c>
      <c r="L55" s="26">
        <f t="shared" ref="L55:Q55" si="55">L17*L36</f>
        <v>0</v>
      </c>
      <c r="M55" s="26">
        <f t="shared" si="55"/>
        <v>0</v>
      </c>
      <c r="N55" s="26">
        <f t="shared" si="55"/>
        <v>0</v>
      </c>
      <c r="O55" s="26">
        <f t="shared" si="55"/>
        <v>0</v>
      </c>
      <c r="P55" s="26">
        <f t="shared" si="55"/>
        <v>0</v>
      </c>
      <c r="Q55" s="26">
        <f t="shared" si="55"/>
        <v>0</v>
      </c>
      <c r="R55" s="205">
        <f t="shared" ref="R55" si="56">SUM(F55:Q55)</f>
        <v>0</v>
      </c>
      <c r="S55" s="959"/>
      <c r="T55" s="355"/>
      <c r="U55" s="355"/>
      <c r="V55" s="355"/>
      <c r="W55" s="355"/>
      <c r="X55" s="355"/>
      <c r="Y55" s="355"/>
      <c r="Z55" s="355"/>
      <c r="AA55" s="355"/>
      <c r="AB55" s="355"/>
      <c r="AC55" s="355">
        <f t="shared" si="41"/>
        <v>0</v>
      </c>
      <c r="AD55" s="355">
        <f t="shared" si="41"/>
        <v>0</v>
      </c>
      <c r="AE55" s="355">
        <f t="shared" si="41"/>
        <v>0</v>
      </c>
      <c r="AF55" s="950">
        <f t="shared" si="53"/>
        <v>0</v>
      </c>
      <c r="AG55" s="6"/>
      <c r="AH55" s="980"/>
      <c r="AI55" s="6"/>
      <c r="AJ55" s="950"/>
      <c r="AL55" s="355">
        <f t="shared" si="34"/>
        <v>0</v>
      </c>
      <c r="AM55" s="949">
        <f t="shared" si="35"/>
        <v>0</v>
      </c>
    </row>
    <row r="56" spans="2:40" x14ac:dyDescent="0.25">
      <c r="B56" s="8">
        <v>12</v>
      </c>
      <c r="C56" s="9" t="s">
        <v>311</v>
      </c>
      <c r="D56" s="10" t="s">
        <v>234</v>
      </c>
      <c r="E56" s="995">
        <f t="shared" si="36"/>
        <v>0</v>
      </c>
      <c r="F56" s="26">
        <f t="shared" ref="F56:K56" si="57">F18*F37</f>
        <v>0</v>
      </c>
      <c r="G56" s="26">
        <f t="shared" si="57"/>
        <v>0</v>
      </c>
      <c r="H56" s="26">
        <f t="shared" si="57"/>
        <v>0</v>
      </c>
      <c r="I56" s="26">
        <f t="shared" si="57"/>
        <v>0</v>
      </c>
      <c r="J56" s="26">
        <f t="shared" si="57"/>
        <v>0</v>
      </c>
      <c r="K56" s="26">
        <f t="shared" si="57"/>
        <v>0</v>
      </c>
      <c r="L56" s="26">
        <f t="shared" ref="L56:Q56" si="58">L18*L37</f>
        <v>0</v>
      </c>
      <c r="M56" s="26">
        <f t="shared" si="58"/>
        <v>0</v>
      </c>
      <c r="N56" s="26">
        <f t="shared" si="58"/>
        <v>0</v>
      </c>
      <c r="O56" s="26">
        <f t="shared" si="58"/>
        <v>0</v>
      </c>
      <c r="P56" s="26">
        <f t="shared" si="58"/>
        <v>0</v>
      </c>
      <c r="Q56" s="26">
        <f t="shared" si="58"/>
        <v>0</v>
      </c>
      <c r="R56" s="205">
        <f t="shared" si="40"/>
        <v>0</v>
      </c>
      <c r="S56" s="959"/>
      <c r="T56" s="355"/>
      <c r="U56" s="355"/>
      <c r="V56" s="355">
        <v>29200000</v>
      </c>
      <c r="W56" s="355"/>
      <c r="X56" s="355"/>
      <c r="Y56" s="355"/>
      <c r="Z56" s="355"/>
      <c r="AA56" s="355">
        <v>27088000</v>
      </c>
      <c r="AB56" s="355">
        <v>12276000</v>
      </c>
      <c r="AC56" s="355">
        <f t="shared" si="41"/>
        <v>0</v>
      </c>
      <c r="AD56" s="355">
        <f t="shared" si="41"/>
        <v>0</v>
      </c>
      <c r="AE56" s="355">
        <f t="shared" si="41"/>
        <v>0</v>
      </c>
      <c r="AF56" s="950">
        <f t="shared" si="53"/>
        <v>68564000</v>
      </c>
      <c r="AG56" s="6"/>
      <c r="AH56" s="980"/>
      <c r="AI56" s="6"/>
      <c r="AJ56" s="950"/>
      <c r="AL56" s="355">
        <f t="shared" si="34"/>
        <v>-68564000</v>
      </c>
      <c r="AM56" s="949">
        <f t="shared" si="35"/>
        <v>-1</v>
      </c>
    </row>
    <row r="57" spans="2:40" x14ac:dyDescent="0.25">
      <c r="B57" s="8">
        <v>13</v>
      </c>
      <c r="C57" s="22" t="s">
        <v>403</v>
      </c>
      <c r="D57" s="10" t="s">
        <v>234</v>
      </c>
      <c r="E57" s="995">
        <f t="shared" si="36"/>
        <v>6.506416049159588E-3</v>
      </c>
      <c r="F57" s="26">
        <f t="shared" ref="F57:K57" si="59">F19*F38</f>
        <v>48600000</v>
      </c>
      <c r="G57" s="26">
        <f t="shared" si="59"/>
        <v>36450000</v>
      </c>
      <c r="H57" s="26">
        <f t="shared" si="59"/>
        <v>52650000</v>
      </c>
      <c r="I57" s="26">
        <f t="shared" si="59"/>
        <v>56700000</v>
      </c>
      <c r="J57" s="26">
        <f t="shared" si="59"/>
        <v>56700000</v>
      </c>
      <c r="K57" s="26">
        <f t="shared" si="59"/>
        <v>56700000</v>
      </c>
      <c r="L57" s="26">
        <f t="shared" ref="L57:Q59" si="60">L19*L38</f>
        <v>56700000</v>
      </c>
      <c r="M57" s="26">
        <f t="shared" si="60"/>
        <v>56700000</v>
      </c>
      <c r="N57" s="26">
        <f t="shared" si="60"/>
        <v>56700000</v>
      </c>
      <c r="O57" s="26">
        <f t="shared" si="60"/>
        <v>56700000</v>
      </c>
      <c r="P57" s="26">
        <f t="shared" si="60"/>
        <v>56700000</v>
      </c>
      <c r="Q57" s="26">
        <f t="shared" si="60"/>
        <v>56700000</v>
      </c>
      <c r="R57" s="205">
        <f t="shared" si="40"/>
        <v>648000000</v>
      </c>
      <c r="S57" s="959"/>
      <c r="T57" s="355"/>
      <c r="U57" s="355"/>
      <c r="V57" s="355"/>
      <c r="W57" s="355"/>
      <c r="X57" s="355"/>
      <c r="Y57" s="355"/>
      <c r="Z57" s="355"/>
      <c r="AA57" s="355"/>
      <c r="AB57" s="355"/>
      <c r="AC57" s="355">
        <f t="shared" si="41"/>
        <v>0</v>
      </c>
      <c r="AD57" s="355">
        <f t="shared" si="41"/>
        <v>0</v>
      </c>
      <c r="AE57" s="355">
        <f t="shared" si="41"/>
        <v>0</v>
      </c>
      <c r="AF57" s="950">
        <f t="shared" si="53"/>
        <v>0</v>
      </c>
      <c r="AG57" s="6"/>
      <c r="AH57" s="980"/>
      <c r="AI57" s="6"/>
      <c r="AJ57" s="950"/>
      <c r="AL57" s="355">
        <f t="shared" si="34"/>
        <v>648000000</v>
      </c>
      <c r="AM57" s="949">
        <f t="shared" si="35"/>
        <v>0</v>
      </c>
    </row>
    <row r="58" spans="2:40" x14ac:dyDescent="0.25">
      <c r="B58" s="8">
        <v>14</v>
      </c>
      <c r="C58" s="9" t="s">
        <v>404</v>
      </c>
      <c r="D58" s="10" t="s">
        <v>234</v>
      </c>
      <c r="E58" s="995">
        <f t="shared" si="36"/>
        <v>1.9519248147478765E-2</v>
      </c>
      <c r="F58" s="26">
        <f t="shared" ref="F58:K59" si="61">F20*F39</f>
        <v>145800000</v>
      </c>
      <c r="G58" s="26">
        <f t="shared" si="61"/>
        <v>109350000</v>
      </c>
      <c r="H58" s="26">
        <f t="shared" si="61"/>
        <v>157950000</v>
      </c>
      <c r="I58" s="26">
        <f t="shared" si="61"/>
        <v>170100000</v>
      </c>
      <c r="J58" s="26">
        <f t="shared" si="61"/>
        <v>170100000</v>
      </c>
      <c r="K58" s="26">
        <f t="shared" si="61"/>
        <v>170100000</v>
      </c>
      <c r="L58" s="26">
        <f t="shared" si="60"/>
        <v>170100000</v>
      </c>
      <c r="M58" s="26">
        <f t="shared" si="60"/>
        <v>170100000</v>
      </c>
      <c r="N58" s="26">
        <f t="shared" si="60"/>
        <v>170100000</v>
      </c>
      <c r="O58" s="26">
        <f t="shared" si="60"/>
        <v>170100000</v>
      </c>
      <c r="P58" s="26">
        <f t="shared" si="60"/>
        <v>170100000</v>
      </c>
      <c r="Q58" s="26">
        <f t="shared" si="60"/>
        <v>170100000</v>
      </c>
      <c r="R58" s="205">
        <f t="shared" ref="R58" si="62">SUM(F58:Q58)</f>
        <v>1944000000</v>
      </c>
      <c r="S58" s="959"/>
      <c r="T58" s="355">
        <v>100243000</v>
      </c>
      <c r="U58" s="355">
        <v>18966000</v>
      </c>
      <c r="V58" s="355">
        <v>79400000</v>
      </c>
      <c r="W58" s="355">
        <v>145200000</v>
      </c>
      <c r="X58" s="355">
        <v>320920000</v>
      </c>
      <c r="Y58" s="355">
        <v>33800000</v>
      </c>
      <c r="Z58" s="355">
        <v>128880000</v>
      </c>
      <c r="AA58" s="355">
        <v>70313000</v>
      </c>
      <c r="AB58" s="355">
        <v>45178000</v>
      </c>
      <c r="AC58" s="355">
        <f t="shared" si="41"/>
        <v>130000000</v>
      </c>
      <c r="AD58" s="355">
        <f t="shared" si="41"/>
        <v>130000000</v>
      </c>
      <c r="AE58" s="355">
        <f t="shared" si="41"/>
        <v>130000000</v>
      </c>
      <c r="AF58" s="950">
        <f t="shared" si="53"/>
        <v>1332900000</v>
      </c>
      <c r="AG58" s="6"/>
      <c r="AH58" s="980">
        <v>2363593400</v>
      </c>
      <c r="AI58" s="6"/>
      <c r="AJ58" s="950">
        <v>1657623109</v>
      </c>
      <c r="AL58" s="355">
        <f t="shared" si="34"/>
        <v>611100000</v>
      </c>
      <c r="AM58" s="949">
        <f t="shared" si="35"/>
        <v>0.45847400405131666</v>
      </c>
    </row>
    <row r="59" spans="2:40" x14ac:dyDescent="0.25">
      <c r="B59" s="8">
        <v>15</v>
      </c>
      <c r="C59" s="9" t="s">
        <v>25</v>
      </c>
      <c r="D59" s="10" t="s">
        <v>234</v>
      </c>
      <c r="E59" s="995">
        <f t="shared" si="36"/>
        <v>0</v>
      </c>
      <c r="F59" s="26">
        <f t="shared" si="61"/>
        <v>0</v>
      </c>
      <c r="G59" s="26">
        <f t="shared" si="61"/>
        <v>0</v>
      </c>
      <c r="H59" s="26">
        <f t="shared" si="61"/>
        <v>0</v>
      </c>
      <c r="I59" s="26">
        <f t="shared" si="61"/>
        <v>0</v>
      </c>
      <c r="J59" s="26">
        <f t="shared" si="61"/>
        <v>0</v>
      </c>
      <c r="K59" s="26">
        <f t="shared" si="61"/>
        <v>0</v>
      </c>
      <c r="L59" s="26">
        <f t="shared" si="60"/>
        <v>0</v>
      </c>
      <c r="M59" s="26">
        <f t="shared" si="60"/>
        <v>0</v>
      </c>
      <c r="N59" s="26">
        <f t="shared" si="60"/>
        <v>0</v>
      </c>
      <c r="O59" s="26">
        <f t="shared" si="60"/>
        <v>0</v>
      </c>
      <c r="P59" s="26">
        <f t="shared" si="60"/>
        <v>0</v>
      </c>
      <c r="Q59" s="26">
        <f t="shared" si="60"/>
        <v>0</v>
      </c>
      <c r="R59" s="205">
        <f t="shared" si="40"/>
        <v>0</v>
      </c>
      <c r="S59" s="959"/>
      <c r="T59" s="355"/>
      <c r="U59" s="355"/>
      <c r="V59" s="355">
        <v>16872060</v>
      </c>
      <c r="W59" s="355"/>
      <c r="X59" s="355"/>
      <c r="Y59" s="355">
        <v>21158000</v>
      </c>
      <c r="Z59" s="355"/>
      <c r="AA59" s="355"/>
      <c r="AB59" s="355">
        <v>22909000</v>
      </c>
      <c r="AC59" s="355">
        <f t="shared" si="41"/>
        <v>0</v>
      </c>
      <c r="AD59" s="355">
        <f t="shared" si="41"/>
        <v>0</v>
      </c>
      <c r="AE59" s="355">
        <f t="shared" si="41"/>
        <v>0</v>
      </c>
      <c r="AF59" s="950">
        <f t="shared" si="53"/>
        <v>60939060</v>
      </c>
      <c r="AG59" s="6"/>
      <c r="AH59" s="980">
        <f>320056785-159248000-2134400</f>
        <v>158674385</v>
      </c>
      <c r="AI59" s="6"/>
      <c r="AJ59" s="950">
        <f>4602655865-3559610000</f>
        <v>1043045865</v>
      </c>
      <c r="AL59" s="355">
        <f t="shared" si="34"/>
        <v>-60939060</v>
      </c>
      <c r="AM59" s="949">
        <f t="shared" si="35"/>
        <v>-1</v>
      </c>
    </row>
    <row r="60" spans="2:40" ht="12.65" customHeight="1" x14ac:dyDescent="0.25">
      <c r="B60" s="23"/>
      <c r="C60" s="24" t="s">
        <v>41</v>
      </c>
      <c r="D60" s="25"/>
      <c r="E60" s="996">
        <f>SUM(E45:E59)</f>
        <v>0.99999999999999989</v>
      </c>
      <c r="F60" s="27">
        <f>SUM(F45:F59)</f>
        <v>7469550000</v>
      </c>
      <c r="G60" s="27">
        <f t="shared" ref="G60:Q60" si="63">SUM(G45:G59)</f>
        <v>5602162500</v>
      </c>
      <c r="H60" s="27">
        <f t="shared" si="63"/>
        <v>8092012500</v>
      </c>
      <c r="I60" s="27">
        <f t="shared" si="63"/>
        <v>8714475000</v>
      </c>
      <c r="J60" s="27">
        <f t="shared" si="63"/>
        <v>8714475000</v>
      </c>
      <c r="K60" s="27">
        <f t="shared" si="63"/>
        <v>8714475000</v>
      </c>
      <c r="L60" s="27">
        <f t="shared" si="63"/>
        <v>8714475000</v>
      </c>
      <c r="M60" s="27">
        <f t="shared" si="63"/>
        <v>8714475000</v>
      </c>
      <c r="N60" s="27">
        <f t="shared" si="63"/>
        <v>8714475000</v>
      </c>
      <c r="O60" s="27">
        <f t="shared" si="63"/>
        <v>8714475000</v>
      </c>
      <c r="P60" s="27">
        <f t="shared" si="63"/>
        <v>8714475000</v>
      </c>
      <c r="Q60" s="27">
        <f t="shared" si="63"/>
        <v>8714475000</v>
      </c>
      <c r="R60" s="27">
        <f>SUM(F60:Q60)</f>
        <v>99594000000</v>
      </c>
      <c r="S60" s="959"/>
      <c r="T60" s="951">
        <f>SUM(T45:T59)</f>
        <v>3795897480</v>
      </c>
      <c r="U60" s="951">
        <f t="shared" ref="U60:AE60" si="64">SUM(U45:U59)</f>
        <v>5012982676</v>
      </c>
      <c r="V60" s="951">
        <f t="shared" si="64"/>
        <v>8087243089</v>
      </c>
      <c r="W60" s="951">
        <f t="shared" si="64"/>
        <v>9694585314</v>
      </c>
      <c r="X60" s="951">
        <f t="shared" si="64"/>
        <v>8388349104</v>
      </c>
      <c r="Y60" s="951">
        <f t="shared" si="64"/>
        <v>9515421651</v>
      </c>
      <c r="Z60" s="951">
        <f t="shared" si="64"/>
        <v>13592588554</v>
      </c>
      <c r="AA60" s="951">
        <f t="shared" si="64"/>
        <v>12421660930</v>
      </c>
      <c r="AB60" s="951">
        <f t="shared" si="64"/>
        <v>8808063400</v>
      </c>
      <c r="AC60" s="951">
        <f t="shared" si="64"/>
        <v>6136375000</v>
      </c>
      <c r="AD60" s="951">
        <f t="shared" si="64"/>
        <v>6136375000</v>
      </c>
      <c r="AE60" s="951">
        <f t="shared" si="64"/>
        <v>6136375000</v>
      </c>
      <c r="AF60" s="951">
        <f>SUM(T60:AE60)</f>
        <v>97725917198</v>
      </c>
      <c r="AG60" s="6"/>
      <c r="AH60" s="951">
        <f>SUM(AH45:AH59)</f>
        <v>74523104085</v>
      </c>
      <c r="AI60" s="6"/>
      <c r="AJ60" s="951">
        <f>SUM(AJ45:AJ59)</f>
        <v>78915665269</v>
      </c>
      <c r="AL60" s="951">
        <f t="shared" si="34"/>
        <v>1868082802</v>
      </c>
      <c r="AM60" s="906">
        <f t="shared" si="35"/>
        <v>1.9115531023516708E-2</v>
      </c>
    </row>
    <row r="61" spans="2:40" x14ac:dyDescent="0.3"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G61" s="6"/>
      <c r="AI61" s="6"/>
      <c r="AJ61" s="5"/>
      <c r="AL61" s="5"/>
      <c r="AM61" s="5"/>
    </row>
    <row r="62" spans="2:40" x14ac:dyDescent="0.3">
      <c r="B62" s="138" t="s">
        <v>1618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G62" s="6"/>
      <c r="AH62" s="1353"/>
      <c r="AI62" s="6"/>
      <c r="AJ62" s="5"/>
      <c r="AL62" s="5"/>
      <c r="AM62" s="5"/>
    </row>
    <row r="63" spans="2:40" x14ac:dyDescent="0.3">
      <c r="B63" s="5" t="s">
        <v>301</v>
      </c>
      <c r="R63" s="204"/>
      <c r="S63" s="958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204"/>
      <c r="AG63" s="6"/>
      <c r="AH63" s="204"/>
      <c r="AI63" s="6"/>
      <c r="AJ63" s="204"/>
      <c r="AL63" s="204"/>
      <c r="AM63" s="204"/>
    </row>
    <row r="64" spans="2:40" ht="25.5" customHeight="1" x14ac:dyDescent="0.25">
      <c r="B64" s="141" t="s">
        <v>0</v>
      </c>
      <c r="C64" s="141" t="s">
        <v>1790</v>
      </c>
      <c r="D64" s="141" t="s">
        <v>11</v>
      </c>
      <c r="E64" s="269" t="s">
        <v>1814</v>
      </c>
      <c r="F64" s="7" t="s">
        <v>56</v>
      </c>
      <c r="G64" s="7" t="s">
        <v>57</v>
      </c>
      <c r="H64" s="7" t="s">
        <v>58</v>
      </c>
      <c r="I64" s="7" t="s">
        <v>59</v>
      </c>
      <c r="J64" s="7" t="s">
        <v>60</v>
      </c>
      <c r="K64" s="7" t="s">
        <v>61</v>
      </c>
      <c r="L64" s="7" t="s">
        <v>62</v>
      </c>
      <c r="M64" s="7" t="s">
        <v>63</v>
      </c>
      <c r="N64" s="7" t="s">
        <v>64</v>
      </c>
      <c r="O64" s="7" t="s">
        <v>65</v>
      </c>
      <c r="P64" s="7" t="s">
        <v>66</v>
      </c>
      <c r="Q64" s="7" t="s">
        <v>67</v>
      </c>
      <c r="R64" s="7" t="s">
        <v>2246</v>
      </c>
      <c r="S64" s="196"/>
      <c r="T64" s="942" t="s">
        <v>56</v>
      </c>
      <c r="U64" s="942" t="s">
        <v>57</v>
      </c>
      <c r="V64" s="942" t="s">
        <v>58</v>
      </c>
      <c r="W64" s="942" t="s">
        <v>59</v>
      </c>
      <c r="X64" s="942" t="s">
        <v>60</v>
      </c>
      <c r="Y64" s="942" t="s">
        <v>61</v>
      </c>
      <c r="Z64" s="942" t="s">
        <v>62</v>
      </c>
      <c r="AA64" s="942" t="s">
        <v>63</v>
      </c>
      <c r="AB64" s="942" t="s">
        <v>64</v>
      </c>
      <c r="AC64" s="942" t="s">
        <v>65</v>
      </c>
      <c r="AD64" s="942" t="s">
        <v>66</v>
      </c>
      <c r="AE64" s="942" t="s">
        <v>67</v>
      </c>
      <c r="AF64" s="942" t="s">
        <v>405</v>
      </c>
      <c r="AG64" s="36"/>
      <c r="AH64" s="942" t="s">
        <v>1942</v>
      </c>
      <c r="AI64" s="36"/>
      <c r="AJ64" s="942" t="s">
        <v>1943</v>
      </c>
      <c r="AK64" s="36"/>
      <c r="AL64" s="943" t="s">
        <v>749</v>
      </c>
      <c r="AM64" s="944" t="s">
        <v>750</v>
      </c>
      <c r="AN64" s="963"/>
    </row>
    <row r="65" spans="2:40" x14ac:dyDescent="0.25">
      <c r="B65" s="8">
        <v>1</v>
      </c>
      <c r="C65" s="9" t="s">
        <v>406</v>
      </c>
      <c r="D65" s="10" t="s">
        <v>22</v>
      </c>
      <c r="E65" s="26"/>
      <c r="F65" s="28">
        <f>'3.Thanh pham'!H121</f>
        <v>0</v>
      </c>
      <c r="G65" s="28">
        <f>'3.Thanh pham'!I121</f>
        <v>0</v>
      </c>
      <c r="H65" s="28">
        <f>'3.Thanh pham'!J121</f>
        <v>0</v>
      </c>
      <c r="I65" s="28">
        <f>'3.Thanh pham'!K121</f>
        <v>0</v>
      </c>
      <c r="J65" s="28">
        <f>'3.Thanh pham'!L121</f>
        <v>0</v>
      </c>
      <c r="K65" s="28">
        <f>'3.Thanh pham'!M121</f>
        <v>0</v>
      </c>
      <c r="L65" s="28">
        <f>'3.Thanh pham'!N121</f>
        <v>0</v>
      </c>
      <c r="M65" s="28">
        <f>'3.Thanh pham'!O121</f>
        <v>0</v>
      </c>
      <c r="N65" s="28">
        <f>'3.Thanh pham'!P121</f>
        <v>0</v>
      </c>
      <c r="O65" s="28">
        <f>'3.Thanh pham'!Q121</f>
        <v>0</v>
      </c>
      <c r="P65" s="28">
        <f>'3.Thanh pham'!R121</f>
        <v>0</v>
      </c>
      <c r="Q65" s="28">
        <f>'3.Thanh pham'!S121</f>
        <v>0</v>
      </c>
      <c r="R65" s="203">
        <f>SUM(F65:Q65)</f>
        <v>0</v>
      </c>
      <c r="S65" s="956"/>
      <c r="T65" s="945"/>
      <c r="U65" s="945"/>
      <c r="V65" s="945"/>
      <c r="W65" s="945"/>
      <c r="X65" s="945"/>
      <c r="Y65" s="945"/>
      <c r="Z65" s="945"/>
      <c r="AA65" s="945"/>
      <c r="AB65" s="945"/>
      <c r="AC65" s="945"/>
      <c r="AD65" s="945"/>
      <c r="AE65" s="945"/>
      <c r="AF65" s="354"/>
      <c r="AG65" s="6"/>
      <c r="AH65" s="354"/>
      <c r="AI65" s="6"/>
      <c r="AJ65" s="354"/>
      <c r="AL65" s="355">
        <f t="shared" ref="AL65:AL80" si="65">IFERROR(R65-AF65,0)</f>
        <v>0</v>
      </c>
      <c r="AM65" s="949">
        <f t="shared" ref="AM65:AM80" si="66">IFERROR((R65/AF65)-1,0)</f>
        <v>0</v>
      </c>
      <c r="AN65" s="123"/>
    </row>
    <row r="66" spans="2:40" x14ac:dyDescent="0.25">
      <c r="B66" s="8">
        <v>2</v>
      </c>
      <c r="C66" s="9" t="s">
        <v>407</v>
      </c>
      <c r="D66" s="10" t="s">
        <v>22</v>
      </c>
      <c r="E66" s="26"/>
      <c r="F66" s="28">
        <f>'3.Thanh pham'!H122</f>
        <v>0</v>
      </c>
      <c r="G66" s="28">
        <f>'3.Thanh pham'!I122</f>
        <v>0</v>
      </c>
      <c r="H66" s="28">
        <f>'3.Thanh pham'!J122</f>
        <v>0</v>
      </c>
      <c r="I66" s="28">
        <f>'3.Thanh pham'!K122</f>
        <v>0</v>
      </c>
      <c r="J66" s="28">
        <f>'3.Thanh pham'!L122</f>
        <v>0</v>
      </c>
      <c r="K66" s="28">
        <f>'3.Thanh pham'!M122</f>
        <v>0</v>
      </c>
      <c r="L66" s="28">
        <f>'3.Thanh pham'!N122</f>
        <v>0</v>
      </c>
      <c r="M66" s="28">
        <f>'3.Thanh pham'!O122</f>
        <v>0</v>
      </c>
      <c r="N66" s="28">
        <f>'3.Thanh pham'!P122</f>
        <v>0</v>
      </c>
      <c r="O66" s="28">
        <f>'3.Thanh pham'!Q122</f>
        <v>0</v>
      </c>
      <c r="P66" s="28">
        <f>'3.Thanh pham'!R122</f>
        <v>0</v>
      </c>
      <c r="Q66" s="28">
        <f>'3.Thanh pham'!S122</f>
        <v>0</v>
      </c>
      <c r="R66" s="203">
        <f t="shared" ref="R66:R80" si="67">SUM(F66:Q66)</f>
        <v>0</v>
      </c>
      <c r="S66" s="956"/>
      <c r="T66" s="945"/>
      <c r="U66" s="945"/>
      <c r="V66" s="945"/>
      <c r="W66" s="945"/>
      <c r="X66" s="945"/>
      <c r="Y66" s="945"/>
      <c r="Z66" s="945"/>
      <c r="AA66" s="945"/>
      <c r="AB66" s="945"/>
      <c r="AC66" s="945"/>
      <c r="AD66" s="945"/>
      <c r="AE66" s="945"/>
      <c r="AF66" s="354"/>
      <c r="AG66" s="6"/>
      <c r="AH66" s="354"/>
      <c r="AI66" s="6"/>
      <c r="AJ66" s="354"/>
      <c r="AL66" s="355">
        <f t="shared" si="65"/>
        <v>0</v>
      </c>
      <c r="AM66" s="949">
        <f t="shared" si="66"/>
        <v>0</v>
      </c>
      <c r="AN66" s="964"/>
    </row>
    <row r="67" spans="2:40" x14ac:dyDescent="0.25">
      <c r="B67" s="8">
        <v>3</v>
      </c>
      <c r="C67" s="9" t="s">
        <v>302</v>
      </c>
      <c r="D67" s="10" t="s">
        <v>22</v>
      </c>
      <c r="E67" s="26"/>
      <c r="F67" s="28">
        <f>'3.Thanh pham'!H123</f>
        <v>0</v>
      </c>
      <c r="G67" s="28">
        <f>'3.Thanh pham'!I123</f>
        <v>0</v>
      </c>
      <c r="H67" s="28">
        <f>'3.Thanh pham'!J123</f>
        <v>0</v>
      </c>
      <c r="I67" s="28">
        <f>'3.Thanh pham'!K123</f>
        <v>0</v>
      </c>
      <c r="J67" s="28">
        <f>'3.Thanh pham'!L123</f>
        <v>0</v>
      </c>
      <c r="K67" s="28">
        <f>'3.Thanh pham'!M123</f>
        <v>0</v>
      </c>
      <c r="L67" s="28">
        <f>'3.Thanh pham'!N123</f>
        <v>0</v>
      </c>
      <c r="M67" s="28">
        <f>'3.Thanh pham'!O123</f>
        <v>0</v>
      </c>
      <c r="N67" s="28">
        <f>'3.Thanh pham'!P123</f>
        <v>0</v>
      </c>
      <c r="O67" s="28">
        <f>'3.Thanh pham'!Q123</f>
        <v>0</v>
      </c>
      <c r="P67" s="28">
        <f>'3.Thanh pham'!R123</f>
        <v>0</v>
      </c>
      <c r="Q67" s="28">
        <f>'3.Thanh pham'!S123</f>
        <v>0</v>
      </c>
      <c r="R67" s="203">
        <f t="shared" si="67"/>
        <v>0</v>
      </c>
      <c r="S67" s="956"/>
      <c r="T67" s="945"/>
      <c r="U67" s="945"/>
      <c r="V67" s="945"/>
      <c r="W67" s="945"/>
      <c r="X67" s="945"/>
      <c r="Y67" s="945"/>
      <c r="Z67" s="945"/>
      <c r="AA67" s="945"/>
      <c r="AB67" s="945"/>
      <c r="AC67" s="945"/>
      <c r="AD67" s="945"/>
      <c r="AE67" s="945"/>
      <c r="AF67" s="354"/>
      <c r="AG67" s="6"/>
      <c r="AH67" s="354"/>
      <c r="AI67" s="6"/>
      <c r="AJ67" s="354"/>
      <c r="AL67" s="355">
        <f t="shared" si="65"/>
        <v>0</v>
      </c>
      <c r="AM67" s="949">
        <f t="shared" si="66"/>
        <v>0</v>
      </c>
      <c r="AN67" s="964"/>
    </row>
    <row r="68" spans="2:40" x14ac:dyDescent="0.25">
      <c r="B68" s="8">
        <v>4</v>
      </c>
      <c r="C68" s="9" t="s">
        <v>312</v>
      </c>
      <c r="D68" s="10" t="s">
        <v>22</v>
      </c>
      <c r="E68" s="26"/>
      <c r="F68" s="28">
        <f>'3.Thanh pham'!H124</f>
        <v>0</v>
      </c>
      <c r="G68" s="28">
        <f>'3.Thanh pham'!I124</f>
        <v>0</v>
      </c>
      <c r="H68" s="28">
        <f>'3.Thanh pham'!J124</f>
        <v>0</v>
      </c>
      <c r="I68" s="28">
        <f>'3.Thanh pham'!K124</f>
        <v>0</v>
      </c>
      <c r="J68" s="28">
        <f>'3.Thanh pham'!L124</f>
        <v>0</v>
      </c>
      <c r="K68" s="28">
        <f>'3.Thanh pham'!M124</f>
        <v>0</v>
      </c>
      <c r="L68" s="28">
        <f>'3.Thanh pham'!N124</f>
        <v>0</v>
      </c>
      <c r="M68" s="28">
        <f>'3.Thanh pham'!O124</f>
        <v>0</v>
      </c>
      <c r="N68" s="28">
        <f>'3.Thanh pham'!P124</f>
        <v>0</v>
      </c>
      <c r="O68" s="28">
        <f>'3.Thanh pham'!Q124</f>
        <v>0</v>
      </c>
      <c r="P68" s="28">
        <f>'3.Thanh pham'!R124</f>
        <v>0</v>
      </c>
      <c r="Q68" s="28">
        <f>'3.Thanh pham'!S124</f>
        <v>0</v>
      </c>
      <c r="R68" s="203">
        <f t="shared" si="67"/>
        <v>0</v>
      </c>
      <c r="S68" s="956"/>
      <c r="T68" s="945"/>
      <c r="U68" s="945"/>
      <c r="V68" s="945"/>
      <c r="W68" s="945"/>
      <c r="X68" s="945"/>
      <c r="Y68" s="945"/>
      <c r="Z68" s="945"/>
      <c r="AA68" s="945"/>
      <c r="AB68" s="945"/>
      <c r="AC68" s="945"/>
      <c r="AD68" s="945"/>
      <c r="AE68" s="945"/>
      <c r="AF68" s="354"/>
      <c r="AG68" s="6"/>
      <c r="AH68" s="354"/>
      <c r="AI68" s="6"/>
      <c r="AJ68" s="354"/>
      <c r="AL68" s="355">
        <f t="shared" si="65"/>
        <v>0</v>
      </c>
      <c r="AM68" s="949">
        <f t="shared" si="66"/>
        <v>0</v>
      </c>
      <c r="AN68" s="964"/>
    </row>
    <row r="69" spans="2:40" x14ac:dyDescent="0.25">
      <c r="B69" s="8">
        <v>5</v>
      </c>
      <c r="C69" s="9" t="s">
        <v>55</v>
      </c>
      <c r="D69" s="10" t="s">
        <v>22</v>
      </c>
      <c r="E69" s="26"/>
      <c r="F69" s="28">
        <f>'3.Thanh pham'!H125</f>
        <v>0</v>
      </c>
      <c r="G69" s="28">
        <f>'3.Thanh pham'!I125</f>
        <v>0</v>
      </c>
      <c r="H69" s="28">
        <f>'3.Thanh pham'!J125</f>
        <v>0</v>
      </c>
      <c r="I69" s="28">
        <f>'3.Thanh pham'!K125</f>
        <v>0</v>
      </c>
      <c r="J69" s="28">
        <f>'3.Thanh pham'!L125</f>
        <v>0</v>
      </c>
      <c r="K69" s="28">
        <f>'3.Thanh pham'!M125</f>
        <v>0</v>
      </c>
      <c r="L69" s="28">
        <f>'3.Thanh pham'!N125</f>
        <v>0</v>
      </c>
      <c r="M69" s="28">
        <f>'3.Thanh pham'!O125</f>
        <v>0</v>
      </c>
      <c r="N69" s="28">
        <f>'3.Thanh pham'!P125</f>
        <v>0</v>
      </c>
      <c r="O69" s="28">
        <f>'3.Thanh pham'!Q125</f>
        <v>0</v>
      </c>
      <c r="P69" s="28">
        <f>'3.Thanh pham'!R125</f>
        <v>0</v>
      </c>
      <c r="Q69" s="28">
        <f>'3.Thanh pham'!S125</f>
        <v>0</v>
      </c>
      <c r="R69" s="203">
        <f t="shared" si="67"/>
        <v>0</v>
      </c>
      <c r="S69" s="956"/>
      <c r="T69" s="945"/>
      <c r="U69" s="945"/>
      <c r="V69" s="945"/>
      <c r="W69" s="945"/>
      <c r="X69" s="945"/>
      <c r="Y69" s="945"/>
      <c r="Z69" s="945"/>
      <c r="AA69" s="945"/>
      <c r="AB69" s="945"/>
      <c r="AC69" s="945"/>
      <c r="AD69" s="945"/>
      <c r="AE69" s="945"/>
      <c r="AF69" s="354"/>
      <c r="AG69" s="6"/>
      <c r="AH69" s="354"/>
      <c r="AI69" s="6"/>
      <c r="AJ69" s="354"/>
      <c r="AL69" s="355">
        <f t="shared" si="65"/>
        <v>0</v>
      </c>
      <c r="AM69" s="949">
        <f t="shared" si="66"/>
        <v>0</v>
      </c>
      <c r="AN69" s="964"/>
    </row>
    <row r="70" spans="2:40" x14ac:dyDescent="0.25">
      <c r="B70" s="8">
        <v>6</v>
      </c>
      <c r="C70" s="9" t="s">
        <v>313</v>
      </c>
      <c r="D70" s="10" t="s">
        <v>22</v>
      </c>
      <c r="E70" s="26"/>
      <c r="F70" s="28">
        <f>'3.Thanh pham'!H126</f>
        <v>0</v>
      </c>
      <c r="G70" s="28">
        <f>'3.Thanh pham'!I126</f>
        <v>0</v>
      </c>
      <c r="H70" s="28">
        <f>'3.Thanh pham'!J126</f>
        <v>0</v>
      </c>
      <c r="I70" s="28">
        <f>'3.Thanh pham'!K126</f>
        <v>0</v>
      </c>
      <c r="J70" s="28">
        <f>'3.Thanh pham'!L126</f>
        <v>0</v>
      </c>
      <c r="K70" s="28">
        <f>'3.Thanh pham'!M126</f>
        <v>0</v>
      </c>
      <c r="L70" s="28">
        <f>'3.Thanh pham'!N126</f>
        <v>0</v>
      </c>
      <c r="M70" s="28">
        <f>'3.Thanh pham'!O126</f>
        <v>0</v>
      </c>
      <c r="N70" s="28">
        <f>'3.Thanh pham'!P126</f>
        <v>0</v>
      </c>
      <c r="O70" s="28">
        <f>'3.Thanh pham'!Q126</f>
        <v>0</v>
      </c>
      <c r="P70" s="28">
        <f>'3.Thanh pham'!R126</f>
        <v>0</v>
      </c>
      <c r="Q70" s="28">
        <f>'3.Thanh pham'!S126</f>
        <v>0</v>
      </c>
      <c r="R70" s="203">
        <f t="shared" si="67"/>
        <v>0</v>
      </c>
      <c r="S70" s="956"/>
      <c r="T70" s="945"/>
      <c r="U70" s="945"/>
      <c r="V70" s="945"/>
      <c r="W70" s="945"/>
      <c r="X70" s="945"/>
      <c r="Y70" s="945"/>
      <c r="Z70" s="945"/>
      <c r="AA70" s="945"/>
      <c r="AB70" s="945"/>
      <c r="AC70" s="945"/>
      <c r="AD70" s="945"/>
      <c r="AE70" s="945"/>
      <c r="AF70" s="354"/>
      <c r="AG70" s="6"/>
      <c r="AH70" s="354"/>
      <c r="AI70" s="6"/>
      <c r="AJ70" s="354"/>
      <c r="AL70" s="355">
        <f t="shared" si="65"/>
        <v>0</v>
      </c>
      <c r="AM70" s="949">
        <f t="shared" si="66"/>
        <v>0</v>
      </c>
      <c r="AN70" s="964"/>
    </row>
    <row r="71" spans="2:40" x14ac:dyDescent="0.25">
      <c r="B71" s="8">
        <v>7</v>
      </c>
      <c r="C71" s="9" t="s">
        <v>53</v>
      </c>
      <c r="D71" s="10" t="s">
        <v>22</v>
      </c>
      <c r="E71" s="26"/>
      <c r="F71" s="28">
        <f>'3.Thanh pham'!H127</f>
        <v>0</v>
      </c>
      <c r="G71" s="28">
        <f>'3.Thanh pham'!I127</f>
        <v>0</v>
      </c>
      <c r="H71" s="28">
        <f>'3.Thanh pham'!J127</f>
        <v>0</v>
      </c>
      <c r="I71" s="28">
        <f>'3.Thanh pham'!K127</f>
        <v>0</v>
      </c>
      <c r="J71" s="28">
        <f>'3.Thanh pham'!L127</f>
        <v>0</v>
      </c>
      <c r="K71" s="28">
        <f>'3.Thanh pham'!M127</f>
        <v>0</v>
      </c>
      <c r="L71" s="28">
        <f>'3.Thanh pham'!N127</f>
        <v>0</v>
      </c>
      <c r="M71" s="28">
        <f>'3.Thanh pham'!O127</f>
        <v>0</v>
      </c>
      <c r="N71" s="28">
        <f>'3.Thanh pham'!P127</f>
        <v>0</v>
      </c>
      <c r="O71" s="28">
        <f>'3.Thanh pham'!Q127</f>
        <v>0</v>
      </c>
      <c r="P71" s="28">
        <f>'3.Thanh pham'!R127</f>
        <v>0</v>
      </c>
      <c r="Q71" s="28">
        <f>'3.Thanh pham'!S127</f>
        <v>0</v>
      </c>
      <c r="R71" s="203">
        <f t="shared" si="67"/>
        <v>0</v>
      </c>
      <c r="S71" s="956"/>
      <c r="T71" s="945"/>
      <c r="U71" s="945"/>
      <c r="V71" s="945"/>
      <c r="W71" s="945"/>
      <c r="X71" s="945"/>
      <c r="Y71" s="945"/>
      <c r="Z71" s="945"/>
      <c r="AA71" s="945"/>
      <c r="AB71" s="945"/>
      <c r="AC71" s="945"/>
      <c r="AD71" s="945"/>
      <c r="AE71" s="945"/>
      <c r="AF71" s="354"/>
      <c r="AG71" s="6"/>
      <c r="AH71" s="354"/>
      <c r="AI71" s="6"/>
      <c r="AJ71" s="354"/>
      <c r="AL71" s="355">
        <f t="shared" si="65"/>
        <v>0</v>
      </c>
      <c r="AM71" s="949">
        <f t="shared" si="66"/>
        <v>0</v>
      </c>
      <c r="AN71" s="964"/>
    </row>
    <row r="72" spans="2:40" x14ac:dyDescent="0.25">
      <c r="B72" s="8">
        <v>8</v>
      </c>
      <c r="C72" s="9" t="s">
        <v>54</v>
      </c>
      <c r="D72" s="10" t="s">
        <v>22</v>
      </c>
      <c r="E72" s="26"/>
      <c r="F72" s="28">
        <f>'3.Thanh pham'!H128</f>
        <v>0</v>
      </c>
      <c r="G72" s="28">
        <f>'3.Thanh pham'!I128</f>
        <v>0</v>
      </c>
      <c r="H72" s="28">
        <f>'3.Thanh pham'!J128</f>
        <v>0</v>
      </c>
      <c r="I72" s="28">
        <f>'3.Thanh pham'!K128</f>
        <v>0</v>
      </c>
      <c r="J72" s="28">
        <f>'3.Thanh pham'!L128</f>
        <v>0</v>
      </c>
      <c r="K72" s="28">
        <f>'3.Thanh pham'!M128</f>
        <v>0</v>
      </c>
      <c r="L72" s="28">
        <f>'3.Thanh pham'!N128</f>
        <v>0</v>
      </c>
      <c r="M72" s="28">
        <f>'3.Thanh pham'!O128</f>
        <v>0</v>
      </c>
      <c r="N72" s="28">
        <f>'3.Thanh pham'!P128</f>
        <v>0</v>
      </c>
      <c r="O72" s="28">
        <f>'3.Thanh pham'!Q128</f>
        <v>0</v>
      </c>
      <c r="P72" s="28">
        <f>'3.Thanh pham'!R128</f>
        <v>0</v>
      </c>
      <c r="Q72" s="28">
        <f>'3.Thanh pham'!S128</f>
        <v>0</v>
      </c>
      <c r="R72" s="203">
        <f t="shared" si="67"/>
        <v>0</v>
      </c>
      <c r="S72" s="956"/>
      <c r="T72" s="945"/>
      <c r="U72" s="945"/>
      <c r="V72" s="945"/>
      <c r="W72" s="945"/>
      <c r="X72" s="945"/>
      <c r="Y72" s="945"/>
      <c r="Z72" s="945"/>
      <c r="AA72" s="945"/>
      <c r="AB72" s="945"/>
      <c r="AC72" s="945"/>
      <c r="AD72" s="945"/>
      <c r="AE72" s="945"/>
      <c r="AF72" s="354"/>
      <c r="AG72" s="6"/>
      <c r="AH72" s="354"/>
      <c r="AI72" s="6"/>
      <c r="AJ72" s="354"/>
      <c r="AL72" s="355">
        <f t="shared" si="65"/>
        <v>0</v>
      </c>
      <c r="AM72" s="949">
        <f t="shared" si="66"/>
        <v>0</v>
      </c>
      <c r="AN72" s="964"/>
    </row>
    <row r="73" spans="2:40" x14ac:dyDescent="0.25">
      <c r="B73" s="8">
        <v>9</v>
      </c>
      <c r="C73" s="9" t="s">
        <v>408</v>
      </c>
      <c r="D73" s="10" t="s">
        <v>22</v>
      </c>
      <c r="E73" s="26"/>
      <c r="F73" s="28">
        <f>'3.Thanh pham'!H129</f>
        <v>0</v>
      </c>
      <c r="G73" s="28">
        <f>'3.Thanh pham'!I129</f>
        <v>0</v>
      </c>
      <c r="H73" s="28">
        <f>'3.Thanh pham'!J129</f>
        <v>0</v>
      </c>
      <c r="I73" s="28">
        <f>'3.Thanh pham'!K129</f>
        <v>0</v>
      </c>
      <c r="J73" s="28">
        <f>'3.Thanh pham'!L129</f>
        <v>0</v>
      </c>
      <c r="K73" s="28">
        <f>'3.Thanh pham'!M129</f>
        <v>0</v>
      </c>
      <c r="L73" s="28">
        <f>'3.Thanh pham'!N129</f>
        <v>0</v>
      </c>
      <c r="M73" s="28">
        <f>'3.Thanh pham'!O129</f>
        <v>0</v>
      </c>
      <c r="N73" s="28">
        <f>'3.Thanh pham'!P129</f>
        <v>0</v>
      </c>
      <c r="O73" s="28">
        <f>'3.Thanh pham'!Q129</f>
        <v>0</v>
      </c>
      <c r="P73" s="28">
        <f>'3.Thanh pham'!R129</f>
        <v>0</v>
      </c>
      <c r="Q73" s="28">
        <f>'3.Thanh pham'!S129</f>
        <v>0</v>
      </c>
      <c r="R73" s="203">
        <f t="shared" si="67"/>
        <v>0</v>
      </c>
      <c r="S73" s="956"/>
      <c r="T73" s="945"/>
      <c r="U73" s="945"/>
      <c r="V73" s="945"/>
      <c r="W73" s="945"/>
      <c r="X73" s="945"/>
      <c r="Y73" s="945"/>
      <c r="Z73" s="945"/>
      <c r="AA73" s="945"/>
      <c r="AB73" s="945"/>
      <c r="AC73" s="945"/>
      <c r="AD73" s="945"/>
      <c r="AE73" s="945"/>
      <c r="AF73" s="354"/>
      <c r="AG73" s="6"/>
      <c r="AH73" s="354"/>
      <c r="AI73" s="6"/>
      <c r="AJ73" s="354"/>
      <c r="AL73" s="355">
        <f t="shared" si="65"/>
        <v>0</v>
      </c>
      <c r="AM73" s="949">
        <f t="shared" si="66"/>
        <v>0</v>
      </c>
      <c r="AN73" s="964"/>
    </row>
    <row r="74" spans="2:40" x14ac:dyDescent="0.25">
      <c r="B74" s="8">
        <v>10</v>
      </c>
      <c r="C74" s="282" t="s">
        <v>303</v>
      </c>
      <c r="D74" s="10" t="s">
        <v>22</v>
      </c>
      <c r="E74" s="26"/>
      <c r="F74" s="28">
        <f>'3.Thanh pham'!H130</f>
        <v>0</v>
      </c>
      <c r="G74" s="28">
        <f>'3.Thanh pham'!I130</f>
        <v>0</v>
      </c>
      <c r="H74" s="28">
        <f>'3.Thanh pham'!J130</f>
        <v>0</v>
      </c>
      <c r="I74" s="28">
        <f>'3.Thanh pham'!K130</f>
        <v>0</v>
      </c>
      <c r="J74" s="28">
        <f>'3.Thanh pham'!L130</f>
        <v>0</v>
      </c>
      <c r="K74" s="28">
        <f>'3.Thanh pham'!M130</f>
        <v>0</v>
      </c>
      <c r="L74" s="28">
        <f>'3.Thanh pham'!N130</f>
        <v>0</v>
      </c>
      <c r="M74" s="28">
        <f>'3.Thanh pham'!O130</f>
        <v>0</v>
      </c>
      <c r="N74" s="28">
        <f>'3.Thanh pham'!P130</f>
        <v>0</v>
      </c>
      <c r="O74" s="28">
        <f>'3.Thanh pham'!Q130</f>
        <v>0</v>
      </c>
      <c r="P74" s="28">
        <f>'3.Thanh pham'!R130</f>
        <v>0</v>
      </c>
      <c r="Q74" s="28">
        <f>'3.Thanh pham'!S130</f>
        <v>0</v>
      </c>
      <c r="R74" s="729"/>
      <c r="S74" s="960"/>
      <c r="T74" s="945"/>
      <c r="U74" s="945"/>
      <c r="V74" s="945"/>
      <c r="W74" s="945"/>
      <c r="X74" s="945"/>
      <c r="Y74" s="945"/>
      <c r="Z74" s="945"/>
      <c r="AA74" s="945"/>
      <c r="AB74" s="945"/>
      <c r="AC74" s="945"/>
      <c r="AD74" s="945"/>
      <c r="AE74" s="945"/>
      <c r="AF74" s="952"/>
      <c r="AG74" s="6"/>
      <c r="AH74" s="952"/>
      <c r="AI74" s="6"/>
      <c r="AJ74" s="952"/>
      <c r="AL74" s="355">
        <f t="shared" si="65"/>
        <v>0</v>
      </c>
      <c r="AM74" s="949">
        <f t="shared" si="66"/>
        <v>0</v>
      </c>
      <c r="AN74" s="964"/>
    </row>
    <row r="75" spans="2:40" x14ac:dyDescent="0.25">
      <c r="B75" s="8">
        <v>11</v>
      </c>
      <c r="C75" s="282" t="s">
        <v>409</v>
      </c>
      <c r="D75" s="10" t="s">
        <v>22</v>
      </c>
      <c r="E75" s="26"/>
      <c r="F75" s="28">
        <f>'3.Thanh pham'!H131</f>
        <v>0</v>
      </c>
      <c r="G75" s="28">
        <f>'3.Thanh pham'!I131</f>
        <v>0</v>
      </c>
      <c r="H75" s="28">
        <f>'3.Thanh pham'!J131</f>
        <v>0</v>
      </c>
      <c r="I75" s="28">
        <f>'3.Thanh pham'!K131</f>
        <v>0</v>
      </c>
      <c r="J75" s="28">
        <f>'3.Thanh pham'!L131</f>
        <v>0</v>
      </c>
      <c r="K75" s="28">
        <f>'3.Thanh pham'!M131</f>
        <v>0</v>
      </c>
      <c r="L75" s="28">
        <f>'3.Thanh pham'!N131</f>
        <v>0</v>
      </c>
      <c r="M75" s="28">
        <f>'3.Thanh pham'!O131</f>
        <v>0</v>
      </c>
      <c r="N75" s="28">
        <f>'3.Thanh pham'!P131</f>
        <v>0</v>
      </c>
      <c r="O75" s="28">
        <f>'3.Thanh pham'!Q131</f>
        <v>0</v>
      </c>
      <c r="P75" s="28">
        <f>'3.Thanh pham'!R131</f>
        <v>0</v>
      </c>
      <c r="Q75" s="28">
        <f>'3.Thanh pham'!S131</f>
        <v>0</v>
      </c>
      <c r="R75" s="354"/>
      <c r="S75" s="956"/>
      <c r="T75" s="945"/>
      <c r="U75" s="945"/>
      <c r="V75" s="945"/>
      <c r="W75" s="945"/>
      <c r="X75" s="945"/>
      <c r="Y75" s="945"/>
      <c r="Z75" s="945"/>
      <c r="AA75" s="945"/>
      <c r="AB75" s="945"/>
      <c r="AC75" s="945"/>
      <c r="AD75" s="945"/>
      <c r="AE75" s="945"/>
      <c r="AF75" s="354"/>
      <c r="AG75" s="6"/>
      <c r="AH75" s="354"/>
      <c r="AI75" s="6"/>
      <c r="AJ75" s="354"/>
      <c r="AL75" s="355">
        <f t="shared" si="65"/>
        <v>0</v>
      </c>
      <c r="AM75" s="949">
        <f t="shared" si="66"/>
        <v>0</v>
      </c>
      <c r="AN75" s="964"/>
    </row>
    <row r="76" spans="2:40" x14ac:dyDescent="0.25">
      <c r="B76" s="8">
        <v>12</v>
      </c>
      <c r="C76" s="9" t="s">
        <v>314</v>
      </c>
      <c r="D76" s="10" t="s">
        <v>22</v>
      </c>
      <c r="E76" s="26"/>
      <c r="F76" s="28">
        <f>'3.Thanh pham'!H132</f>
        <v>0</v>
      </c>
      <c r="G76" s="28">
        <f>'3.Thanh pham'!I132</f>
        <v>0</v>
      </c>
      <c r="H76" s="28">
        <f>'3.Thanh pham'!J132</f>
        <v>0</v>
      </c>
      <c r="I76" s="28">
        <f>'3.Thanh pham'!K132</f>
        <v>0</v>
      </c>
      <c r="J76" s="28">
        <f>'3.Thanh pham'!L132</f>
        <v>0</v>
      </c>
      <c r="K76" s="28">
        <f>'3.Thanh pham'!M132</f>
        <v>0</v>
      </c>
      <c r="L76" s="28">
        <f>'3.Thanh pham'!N132</f>
        <v>0</v>
      </c>
      <c r="M76" s="28">
        <f>'3.Thanh pham'!O132</f>
        <v>0</v>
      </c>
      <c r="N76" s="28">
        <f>'3.Thanh pham'!P132</f>
        <v>0</v>
      </c>
      <c r="O76" s="28">
        <f>'3.Thanh pham'!Q132</f>
        <v>0</v>
      </c>
      <c r="P76" s="28">
        <f>'3.Thanh pham'!R132</f>
        <v>0</v>
      </c>
      <c r="Q76" s="28">
        <f>'3.Thanh pham'!S132</f>
        <v>0</v>
      </c>
      <c r="R76" s="203">
        <f t="shared" si="67"/>
        <v>0</v>
      </c>
      <c r="S76" s="956"/>
      <c r="T76" s="945"/>
      <c r="U76" s="945"/>
      <c r="V76" s="945"/>
      <c r="W76" s="945"/>
      <c r="X76" s="945"/>
      <c r="Y76" s="945"/>
      <c r="Z76" s="945"/>
      <c r="AA76" s="945"/>
      <c r="AB76" s="945"/>
      <c r="AC76" s="945"/>
      <c r="AD76" s="945"/>
      <c r="AE76" s="945"/>
      <c r="AF76" s="354"/>
      <c r="AG76" s="6"/>
      <c r="AH76" s="354"/>
      <c r="AI76" s="6"/>
      <c r="AJ76" s="354"/>
      <c r="AL76" s="355">
        <f t="shared" si="65"/>
        <v>0</v>
      </c>
      <c r="AM76" s="949">
        <f t="shared" si="66"/>
        <v>0</v>
      </c>
      <c r="AN76" s="964"/>
    </row>
    <row r="77" spans="2:40" x14ac:dyDescent="0.25">
      <c r="B77" s="8">
        <v>13</v>
      </c>
      <c r="C77" s="22" t="s">
        <v>410</v>
      </c>
      <c r="D77" s="10" t="s">
        <v>22</v>
      </c>
      <c r="E77" s="26"/>
      <c r="F77" s="28">
        <f>'3.Thanh pham'!H133</f>
        <v>0</v>
      </c>
      <c r="G77" s="28">
        <f>'3.Thanh pham'!I133</f>
        <v>0</v>
      </c>
      <c r="H77" s="28">
        <f>'3.Thanh pham'!J133</f>
        <v>0</v>
      </c>
      <c r="I77" s="28">
        <f>'3.Thanh pham'!K133</f>
        <v>0</v>
      </c>
      <c r="J77" s="28">
        <f>'3.Thanh pham'!L133</f>
        <v>0</v>
      </c>
      <c r="K77" s="28">
        <f>'3.Thanh pham'!M133</f>
        <v>0</v>
      </c>
      <c r="L77" s="28">
        <f>'3.Thanh pham'!N133</f>
        <v>0</v>
      </c>
      <c r="M77" s="28">
        <f>'3.Thanh pham'!O133</f>
        <v>0</v>
      </c>
      <c r="N77" s="28">
        <f>'3.Thanh pham'!P133</f>
        <v>0</v>
      </c>
      <c r="O77" s="28">
        <f>'3.Thanh pham'!Q133</f>
        <v>0</v>
      </c>
      <c r="P77" s="28">
        <f>'3.Thanh pham'!R133</f>
        <v>0</v>
      </c>
      <c r="Q77" s="28">
        <f>'3.Thanh pham'!S133</f>
        <v>0</v>
      </c>
      <c r="R77" s="203">
        <f t="shared" si="67"/>
        <v>0</v>
      </c>
      <c r="S77" s="956"/>
      <c r="T77" s="945"/>
      <c r="U77" s="945"/>
      <c r="V77" s="945"/>
      <c r="W77" s="945"/>
      <c r="X77" s="945"/>
      <c r="Y77" s="945"/>
      <c r="Z77" s="945"/>
      <c r="AA77" s="945"/>
      <c r="AB77" s="945"/>
      <c r="AC77" s="945"/>
      <c r="AD77" s="945"/>
      <c r="AE77" s="945"/>
      <c r="AF77" s="354"/>
      <c r="AG77" s="6"/>
      <c r="AH77" s="354"/>
      <c r="AI77" s="6"/>
      <c r="AJ77" s="354"/>
      <c r="AL77" s="355">
        <f t="shared" si="65"/>
        <v>0</v>
      </c>
      <c r="AM77" s="949">
        <f t="shared" si="66"/>
        <v>0</v>
      </c>
      <c r="AN77" s="964"/>
    </row>
    <row r="78" spans="2:40" x14ac:dyDescent="0.25">
      <c r="B78" s="8">
        <v>14</v>
      </c>
      <c r="C78" s="9" t="s">
        <v>411</v>
      </c>
      <c r="D78" s="10" t="s">
        <v>22</v>
      </c>
      <c r="E78" s="26"/>
      <c r="F78" s="28">
        <f>'3.Thanh pham'!H134</f>
        <v>0</v>
      </c>
      <c r="G78" s="28">
        <f>'3.Thanh pham'!I134</f>
        <v>0</v>
      </c>
      <c r="H78" s="28">
        <f>'3.Thanh pham'!J134</f>
        <v>0</v>
      </c>
      <c r="I78" s="28">
        <f>'3.Thanh pham'!K134</f>
        <v>0</v>
      </c>
      <c r="J78" s="28">
        <f>'3.Thanh pham'!L134</f>
        <v>0</v>
      </c>
      <c r="K78" s="28">
        <f>'3.Thanh pham'!M134</f>
        <v>0</v>
      </c>
      <c r="L78" s="28">
        <f>'3.Thanh pham'!N134</f>
        <v>0</v>
      </c>
      <c r="M78" s="28">
        <f>'3.Thanh pham'!O134</f>
        <v>0</v>
      </c>
      <c r="N78" s="28">
        <f>'3.Thanh pham'!P134</f>
        <v>0</v>
      </c>
      <c r="O78" s="28">
        <f>'3.Thanh pham'!Q134</f>
        <v>0</v>
      </c>
      <c r="P78" s="28">
        <f>'3.Thanh pham'!R134</f>
        <v>0</v>
      </c>
      <c r="Q78" s="28">
        <f>'3.Thanh pham'!S134</f>
        <v>0</v>
      </c>
      <c r="R78" s="203">
        <f t="shared" ref="R78" si="68">SUM(F78:Q78)</f>
        <v>0</v>
      </c>
      <c r="S78" s="956"/>
      <c r="T78" s="945"/>
      <c r="U78" s="945"/>
      <c r="V78" s="945"/>
      <c r="W78" s="945"/>
      <c r="X78" s="945"/>
      <c r="Y78" s="945"/>
      <c r="Z78" s="945"/>
      <c r="AA78" s="945"/>
      <c r="AB78" s="945"/>
      <c r="AC78" s="945"/>
      <c r="AD78" s="945"/>
      <c r="AE78" s="945"/>
      <c r="AF78" s="354"/>
      <c r="AG78" s="6"/>
      <c r="AH78" s="354"/>
      <c r="AI78" s="6"/>
      <c r="AJ78" s="354"/>
      <c r="AL78" s="355">
        <f t="shared" si="65"/>
        <v>0</v>
      </c>
      <c r="AM78" s="949">
        <f t="shared" si="66"/>
        <v>0</v>
      </c>
      <c r="AN78" s="964"/>
    </row>
    <row r="79" spans="2:40" x14ac:dyDescent="0.25">
      <c r="B79" s="8">
        <v>15</v>
      </c>
      <c r="C79" s="9" t="s">
        <v>25</v>
      </c>
      <c r="D79" s="10" t="s">
        <v>22</v>
      </c>
      <c r="E79" s="26"/>
      <c r="F79" s="28">
        <f>'3.Thanh pham'!H135</f>
        <v>0</v>
      </c>
      <c r="G79" s="28">
        <f>'3.Thanh pham'!I135</f>
        <v>0</v>
      </c>
      <c r="H79" s="28">
        <f>'3.Thanh pham'!J135</f>
        <v>0</v>
      </c>
      <c r="I79" s="28">
        <f>'3.Thanh pham'!K135</f>
        <v>0</v>
      </c>
      <c r="J79" s="28">
        <f>'3.Thanh pham'!L135</f>
        <v>0</v>
      </c>
      <c r="K79" s="28">
        <f>'3.Thanh pham'!M135</f>
        <v>0</v>
      </c>
      <c r="L79" s="28">
        <f>'3.Thanh pham'!N135</f>
        <v>0</v>
      </c>
      <c r="M79" s="28">
        <f>'3.Thanh pham'!O135</f>
        <v>0</v>
      </c>
      <c r="N79" s="28">
        <f>'3.Thanh pham'!P135</f>
        <v>0</v>
      </c>
      <c r="O79" s="28">
        <f>'3.Thanh pham'!Q135</f>
        <v>0</v>
      </c>
      <c r="P79" s="28">
        <f>'3.Thanh pham'!R135</f>
        <v>0</v>
      </c>
      <c r="Q79" s="28">
        <f>'3.Thanh pham'!S135</f>
        <v>0</v>
      </c>
      <c r="R79" s="203">
        <f t="shared" si="67"/>
        <v>0</v>
      </c>
      <c r="S79" s="956"/>
      <c r="T79" s="945"/>
      <c r="U79" s="945"/>
      <c r="V79" s="945"/>
      <c r="W79" s="945"/>
      <c r="X79" s="945"/>
      <c r="Y79" s="945"/>
      <c r="Z79" s="945"/>
      <c r="AA79" s="945"/>
      <c r="AB79" s="945"/>
      <c r="AC79" s="945"/>
      <c r="AD79" s="945"/>
      <c r="AE79" s="945"/>
      <c r="AF79" s="354"/>
      <c r="AG79" s="6"/>
      <c r="AH79" s="354"/>
      <c r="AI79" s="6"/>
      <c r="AJ79" s="354"/>
      <c r="AL79" s="355">
        <f t="shared" si="65"/>
        <v>0</v>
      </c>
      <c r="AM79" s="949">
        <f t="shared" si="66"/>
        <v>0</v>
      </c>
      <c r="AN79" s="964"/>
    </row>
    <row r="80" spans="2:40" x14ac:dyDescent="0.25">
      <c r="B80" s="23"/>
      <c r="C80" s="24" t="s">
        <v>41</v>
      </c>
      <c r="D80" s="25"/>
      <c r="E80" s="27">
        <f>SUM(E65:E79)</f>
        <v>0</v>
      </c>
      <c r="F80" s="29">
        <f>SUM(F65:F79)</f>
        <v>0</v>
      </c>
      <c r="G80" s="29">
        <f t="shared" ref="G80:Q80" si="69">SUM(G65:G79)</f>
        <v>0</v>
      </c>
      <c r="H80" s="29">
        <f t="shared" si="69"/>
        <v>0</v>
      </c>
      <c r="I80" s="29">
        <f t="shared" si="69"/>
        <v>0</v>
      </c>
      <c r="J80" s="29">
        <f t="shared" si="69"/>
        <v>0</v>
      </c>
      <c r="K80" s="29">
        <f t="shared" si="69"/>
        <v>0</v>
      </c>
      <c r="L80" s="29">
        <f t="shared" si="69"/>
        <v>0</v>
      </c>
      <c r="M80" s="29">
        <f t="shared" si="69"/>
        <v>0</v>
      </c>
      <c r="N80" s="29">
        <f t="shared" si="69"/>
        <v>0</v>
      </c>
      <c r="O80" s="29">
        <f t="shared" si="69"/>
        <v>0</v>
      </c>
      <c r="P80" s="29">
        <f t="shared" si="69"/>
        <v>0</v>
      </c>
      <c r="Q80" s="29">
        <f t="shared" si="69"/>
        <v>0</v>
      </c>
      <c r="R80" s="29">
        <f t="shared" si="67"/>
        <v>0</v>
      </c>
      <c r="S80" s="956"/>
      <c r="T80" s="370">
        <f>SUM(T65:T79)</f>
        <v>0</v>
      </c>
      <c r="U80" s="370">
        <f t="shared" ref="U80:AE80" si="70">SUM(U65:U79)</f>
        <v>0</v>
      </c>
      <c r="V80" s="370">
        <f t="shared" si="70"/>
        <v>0</v>
      </c>
      <c r="W80" s="370">
        <f t="shared" si="70"/>
        <v>0</v>
      </c>
      <c r="X80" s="370">
        <f t="shared" si="70"/>
        <v>0</v>
      </c>
      <c r="Y80" s="370">
        <f t="shared" si="70"/>
        <v>0</v>
      </c>
      <c r="Z80" s="370">
        <f t="shared" si="70"/>
        <v>0</v>
      </c>
      <c r="AA80" s="370">
        <f t="shared" si="70"/>
        <v>0</v>
      </c>
      <c r="AB80" s="370">
        <f t="shared" si="70"/>
        <v>0</v>
      </c>
      <c r="AC80" s="370">
        <f t="shared" si="70"/>
        <v>0</v>
      </c>
      <c r="AD80" s="370">
        <f t="shared" si="70"/>
        <v>0</v>
      </c>
      <c r="AE80" s="370">
        <f t="shared" si="70"/>
        <v>0</v>
      </c>
      <c r="AF80" s="370">
        <f t="shared" ref="AF80" si="71">SUM(T80:AE80)</f>
        <v>0</v>
      </c>
      <c r="AG80" s="6"/>
      <c r="AH80" s="370">
        <f>SUM(AH65:AH79)</f>
        <v>0</v>
      </c>
      <c r="AI80" s="6"/>
      <c r="AJ80" s="370">
        <f>SUM(AJ65:AJ79)</f>
        <v>0</v>
      </c>
      <c r="AL80" s="370">
        <f t="shared" si="65"/>
        <v>0</v>
      </c>
      <c r="AM80" s="906">
        <f t="shared" si="66"/>
        <v>0</v>
      </c>
      <c r="AN80" s="964"/>
    </row>
    <row r="81" spans="2:48" x14ac:dyDescent="0.3"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G81" s="6"/>
      <c r="AI81" s="6"/>
      <c r="AJ81" s="5"/>
      <c r="AL81" s="5"/>
      <c r="AM81" s="5"/>
      <c r="AN81" s="966"/>
    </row>
    <row r="82" spans="2:48" x14ac:dyDescent="0.3">
      <c r="B82" s="5" t="s">
        <v>304</v>
      </c>
      <c r="R82" s="204"/>
      <c r="S82" s="958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204"/>
      <c r="AG82" s="6"/>
      <c r="AH82" s="204"/>
      <c r="AI82" s="6"/>
      <c r="AJ82" s="204"/>
      <c r="AL82" s="204"/>
      <c r="AM82" s="204"/>
      <c r="AN82" s="5"/>
    </row>
    <row r="83" spans="2:48" ht="25.5" customHeight="1" x14ac:dyDescent="0.25">
      <c r="B83" s="141" t="s">
        <v>0</v>
      </c>
      <c r="C83" s="141" t="s">
        <v>1790</v>
      </c>
      <c r="D83" s="141" t="s">
        <v>11</v>
      </c>
      <c r="E83" s="269" t="s">
        <v>1814</v>
      </c>
      <c r="F83" s="7" t="s">
        <v>56</v>
      </c>
      <c r="G83" s="7" t="s">
        <v>57</v>
      </c>
      <c r="H83" s="7" t="s">
        <v>58</v>
      </c>
      <c r="I83" s="7" t="s">
        <v>59</v>
      </c>
      <c r="J83" s="7" t="s">
        <v>60</v>
      </c>
      <c r="K83" s="7" t="s">
        <v>61</v>
      </c>
      <c r="L83" s="7" t="s">
        <v>62</v>
      </c>
      <c r="M83" s="7" t="s">
        <v>63</v>
      </c>
      <c r="N83" s="7" t="s">
        <v>64</v>
      </c>
      <c r="O83" s="7" t="s">
        <v>65</v>
      </c>
      <c r="P83" s="7" t="s">
        <v>66</v>
      </c>
      <c r="Q83" s="7" t="s">
        <v>67</v>
      </c>
      <c r="R83" s="7" t="s">
        <v>2246</v>
      </c>
      <c r="S83" s="196"/>
      <c r="T83" s="942" t="s">
        <v>56</v>
      </c>
      <c r="U83" s="942" t="s">
        <v>57</v>
      </c>
      <c r="V83" s="942" t="s">
        <v>58</v>
      </c>
      <c r="W83" s="942" t="s">
        <v>59</v>
      </c>
      <c r="X83" s="942" t="s">
        <v>60</v>
      </c>
      <c r="Y83" s="942" t="s">
        <v>61</v>
      </c>
      <c r="Z83" s="942" t="s">
        <v>62</v>
      </c>
      <c r="AA83" s="942" t="s">
        <v>63</v>
      </c>
      <c r="AB83" s="942" t="s">
        <v>64</v>
      </c>
      <c r="AC83" s="942" t="s">
        <v>65</v>
      </c>
      <c r="AD83" s="942" t="s">
        <v>66</v>
      </c>
      <c r="AE83" s="942" t="s">
        <v>67</v>
      </c>
      <c r="AF83" s="942" t="s">
        <v>405</v>
      </c>
      <c r="AG83" s="36"/>
      <c r="AH83" s="942" t="s">
        <v>1942</v>
      </c>
      <c r="AI83" s="36"/>
      <c r="AJ83" s="942" t="s">
        <v>1943</v>
      </c>
      <c r="AK83" s="36"/>
      <c r="AL83" s="943" t="s">
        <v>749</v>
      </c>
      <c r="AM83" s="944" t="s">
        <v>750</v>
      </c>
      <c r="AN83" s="971"/>
      <c r="AO83" s="1452" t="s">
        <v>1839</v>
      </c>
      <c r="AP83" s="1452" t="s">
        <v>1840</v>
      </c>
      <c r="AQ83" s="1451" t="s">
        <v>1841</v>
      </c>
      <c r="AR83" s="1452" t="s">
        <v>6</v>
      </c>
      <c r="AS83" s="1452"/>
      <c r="AT83" s="1451" t="s">
        <v>1813</v>
      </c>
      <c r="AU83" s="1451" t="s">
        <v>1824</v>
      </c>
    </row>
    <row r="84" spans="2:48" x14ac:dyDescent="0.25">
      <c r="B84" s="8">
        <v>1</v>
      </c>
      <c r="C84" s="1415" t="s">
        <v>406</v>
      </c>
      <c r="D84" s="1412" t="s">
        <v>52</v>
      </c>
      <c r="E84" s="1413"/>
      <c r="F84" s="1413">
        <f>$AU$85</f>
        <v>16500</v>
      </c>
      <c r="G84" s="1413">
        <f t="shared" ref="G84:Q89" si="72">$AU$85</f>
        <v>16500</v>
      </c>
      <c r="H84" s="1413">
        <f t="shared" si="72"/>
        <v>16500</v>
      </c>
      <c r="I84" s="1413">
        <f t="shared" si="72"/>
        <v>16500</v>
      </c>
      <c r="J84" s="1413">
        <f t="shared" si="72"/>
        <v>16500</v>
      </c>
      <c r="K84" s="1413">
        <f t="shared" si="72"/>
        <v>16500</v>
      </c>
      <c r="L84" s="1413">
        <f t="shared" si="72"/>
        <v>16500</v>
      </c>
      <c r="M84" s="1413">
        <f t="shared" si="72"/>
        <v>16500</v>
      </c>
      <c r="N84" s="1413">
        <f t="shared" si="72"/>
        <v>16500</v>
      </c>
      <c r="O84" s="1413">
        <f t="shared" si="72"/>
        <v>16500</v>
      </c>
      <c r="P84" s="1413">
        <f t="shared" si="72"/>
        <v>16500</v>
      </c>
      <c r="Q84" s="1413">
        <f t="shared" si="72"/>
        <v>16500</v>
      </c>
      <c r="R84" s="1414">
        <f t="shared" ref="R84:R99" si="73">IFERROR(AVERAGEA(F84:Q84),0)</f>
        <v>16500</v>
      </c>
      <c r="S84" s="961"/>
      <c r="T84" s="953"/>
      <c r="U84" s="953"/>
      <c r="V84" s="953"/>
      <c r="W84" s="953"/>
      <c r="X84" s="953"/>
      <c r="Y84" s="953"/>
      <c r="Z84" s="953"/>
      <c r="AA84" s="953"/>
      <c r="AB84" s="953"/>
      <c r="AC84" s="953"/>
      <c r="AD84" s="953"/>
      <c r="AE84" s="953"/>
      <c r="AF84" s="954"/>
      <c r="AG84" s="6"/>
      <c r="AH84" s="954"/>
      <c r="AI84" s="6"/>
      <c r="AJ84" s="954"/>
      <c r="AL84" s="355">
        <f t="shared" ref="AL84:AL100" si="74">IFERROR(R84-AF84,0)</f>
        <v>16500</v>
      </c>
      <c r="AM84" s="949">
        <f t="shared" ref="AM84:AM100" si="75">IFERROR((R84/AF84)-1,0)</f>
        <v>0</v>
      </c>
      <c r="AN84" s="972"/>
      <c r="AO84" s="1452"/>
      <c r="AP84" s="1452"/>
      <c r="AQ84" s="1451"/>
      <c r="AR84" s="715" t="s">
        <v>1814</v>
      </c>
      <c r="AS84" s="715" t="s">
        <v>1815</v>
      </c>
      <c r="AT84" s="1451"/>
      <c r="AU84" s="1451"/>
    </row>
    <row r="85" spans="2:48" ht="14" x14ac:dyDescent="0.25">
      <c r="B85" s="8">
        <v>2</v>
      </c>
      <c r="C85" s="9" t="s">
        <v>407</v>
      </c>
      <c r="D85" s="10" t="s">
        <v>52</v>
      </c>
      <c r="E85" s="188"/>
      <c r="F85" s="188">
        <f t="shared" ref="F85:F87" si="76">$AU$85</f>
        <v>16500</v>
      </c>
      <c r="G85" s="188">
        <f t="shared" si="72"/>
        <v>16500</v>
      </c>
      <c r="H85" s="188">
        <f t="shared" si="72"/>
        <v>16500</v>
      </c>
      <c r="I85" s="188">
        <f t="shared" si="72"/>
        <v>16500</v>
      </c>
      <c r="J85" s="188">
        <f t="shared" si="72"/>
        <v>16500</v>
      </c>
      <c r="K85" s="188">
        <f t="shared" si="72"/>
        <v>16500</v>
      </c>
      <c r="L85" s="188">
        <f t="shared" si="72"/>
        <v>16500</v>
      </c>
      <c r="M85" s="188">
        <f t="shared" si="72"/>
        <v>16500</v>
      </c>
      <c r="N85" s="188">
        <f t="shared" si="72"/>
        <v>16500</v>
      </c>
      <c r="O85" s="188">
        <f t="shared" si="72"/>
        <v>16500</v>
      </c>
      <c r="P85" s="188">
        <f t="shared" si="72"/>
        <v>16500</v>
      </c>
      <c r="Q85" s="188">
        <f t="shared" si="72"/>
        <v>16500</v>
      </c>
      <c r="R85" s="361">
        <f t="shared" si="73"/>
        <v>16500</v>
      </c>
      <c r="S85" s="961"/>
      <c r="T85" s="953"/>
      <c r="U85" s="953"/>
      <c r="V85" s="953"/>
      <c r="W85" s="953"/>
      <c r="X85" s="953"/>
      <c r="Y85" s="953"/>
      <c r="Z85" s="953"/>
      <c r="AA85" s="953"/>
      <c r="AB85" s="953"/>
      <c r="AC85" s="953"/>
      <c r="AD85" s="953"/>
      <c r="AE85" s="953"/>
      <c r="AF85" s="954"/>
      <c r="AG85" s="6"/>
      <c r="AH85" s="954"/>
      <c r="AI85" s="6"/>
      <c r="AJ85" s="954"/>
      <c r="AL85" s="355">
        <f t="shared" si="74"/>
        <v>16500</v>
      </c>
      <c r="AM85" s="949">
        <f t="shared" si="75"/>
        <v>0</v>
      </c>
      <c r="AN85" s="972"/>
      <c r="AO85" s="716" t="s">
        <v>1816</v>
      </c>
      <c r="AP85" s="716" t="s">
        <v>1822</v>
      </c>
      <c r="AQ85" s="717">
        <f>$AU27</f>
        <v>15000</v>
      </c>
      <c r="AR85" s="718"/>
      <c r="AS85" s="719"/>
      <c r="AT85" s="717">
        <v>2000</v>
      </c>
      <c r="AU85" s="1418">
        <v>16500</v>
      </c>
      <c r="AV85" s="719">
        <f>ROUND(AQ85+AS85+AT85,-2)</f>
        <v>17000</v>
      </c>
    </row>
    <row r="86" spans="2:48" ht="14" x14ac:dyDescent="0.25">
      <c r="B86" s="8">
        <v>3</v>
      </c>
      <c r="C86" s="9" t="s">
        <v>302</v>
      </c>
      <c r="D86" s="10" t="s">
        <v>52</v>
      </c>
      <c r="E86" s="188"/>
      <c r="F86" s="188">
        <f t="shared" si="76"/>
        <v>16500</v>
      </c>
      <c r="G86" s="188">
        <f t="shared" si="72"/>
        <v>16500</v>
      </c>
      <c r="H86" s="188">
        <f t="shared" si="72"/>
        <v>16500</v>
      </c>
      <c r="I86" s="188">
        <f t="shared" si="72"/>
        <v>16500</v>
      </c>
      <c r="J86" s="188">
        <f t="shared" si="72"/>
        <v>16500</v>
      </c>
      <c r="K86" s="188">
        <f t="shared" si="72"/>
        <v>16500</v>
      </c>
      <c r="L86" s="188">
        <f t="shared" si="72"/>
        <v>16500</v>
      </c>
      <c r="M86" s="188">
        <f t="shared" si="72"/>
        <v>16500</v>
      </c>
      <c r="N86" s="188">
        <f t="shared" si="72"/>
        <v>16500</v>
      </c>
      <c r="O86" s="188">
        <f t="shared" si="72"/>
        <v>16500</v>
      </c>
      <c r="P86" s="188">
        <f t="shared" si="72"/>
        <v>16500</v>
      </c>
      <c r="Q86" s="188">
        <f t="shared" si="72"/>
        <v>16500</v>
      </c>
      <c r="R86" s="361">
        <f t="shared" si="73"/>
        <v>16500</v>
      </c>
      <c r="S86" s="961"/>
      <c r="T86" s="953"/>
      <c r="U86" s="953"/>
      <c r="V86" s="953"/>
      <c r="W86" s="953"/>
      <c r="X86" s="953"/>
      <c r="Y86" s="953"/>
      <c r="Z86" s="953"/>
      <c r="AA86" s="953"/>
      <c r="AB86" s="953"/>
      <c r="AC86" s="953"/>
      <c r="AD86" s="953"/>
      <c r="AE86" s="953"/>
      <c r="AF86" s="954"/>
      <c r="AG86" s="6"/>
      <c r="AH86" s="954"/>
      <c r="AI86" s="6"/>
      <c r="AJ86" s="954"/>
      <c r="AL86" s="355">
        <f t="shared" si="74"/>
        <v>16500</v>
      </c>
      <c r="AM86" s="949">
        <f t="shared" si="75"/>
        <v>0</v>
      </c>
      <c r="AN86" s="972"/>
      <c r="AO86" s="716" t="s">
        <v>1817</v>
      </c>
      <c r="AP86" s="716" t="s">
        <v>1818</v>
      </c>
      <c r="AQ86" s="717">
        <f t="shared" ref="AQ86:AQ88" si="77">$AU28</f>
        <v>12000</v>
      </c>
      <c r="AR86" s="718"/>
      <c r="AS86" s="719"/>
      <c r="AT86" s="717">
        <v>2000</v>
      </c>
      <c r="AU86" s="1418">
        <v>15500</v>
      </c>
      <c r="AV86" s="719">
        <f>ROUND(AQ86+AS86+AT86,-2)</f>
        <v>14000</v>
      </c>
    </row>
    <row r="87" spans="2:48" ht="14" x14ac:dyDescent="0.25">
      <c r="B87" s="8">
        <v>4</v>
      </c>
      <c r="C87" s="9" t="s">
        <v>312</v>
      </c>
      <c r="D87" s="10" t="s">
        <v>52</v>
      </c>
      <c r="E87" s="188"/>
      <c r="F87" s="188">
        <f t="shared" si="76"/>
        <v>16500</v>
      </c>
      <c r="G87" s="188">
        <f t="shared" si="72"/>
        <v>16500</v>
      </c>
      <c r="H87" s="188">
        <f t="shared" si="72"/>
        <v>16500</v>
      </c>
      <c r="I87" s="188">
        <f t="shared" si="72"/>
        <v>16500</v>
      </c>
      <c r="J87" s="188">
        <f t="shared" si="72"/>
        <v>16500</v>
      </c>
      <c r="K87" s="188">
        <f t="shared" si="72"/>
        <v>16500</v>
      </c>
      <c r="L87" s="188">
        <f t="shared" si="72"/>
        <v>16500</v>
      </c>
      <c r="M87" s="188">
        <f t="shared" si="72"/>
        <v>16500</v>
      </c>
      <c r="N87" s="188">
        <f t="shared" si="72"/>
        <v>16500</v>
      </c>
      <c r="O87" s="188">
        <f t="shared" si="72"/>
        <v>16500</v>
      </c>
      <c r="P87" s="188">
        <f t="shared" si="72"/>
        <v>16500</v>
      </c>
      <c r="Q87" s="188">
        <f t="shared" si="72"/>
        <v>16500</v>
      </c>
      <c r="R87" s="361">
        <f t="shared" si="73"/>
        <v>16500</v>
      </c>
      <c r="S87" s="961"/>
      <c r="T87" s="953"/>
      <c r="U87" s="953"/>
      <c r="V87" s="953"/>
      <c r="W87" s="953"/>
      <c r="X87" s="953"/>
      <c r="Y87" s="953"/>
      <c r="Z87" s="953"/>
      <c r="AA87" s="953"/>
      <c r="AB87" s="953"/>
      <c r="AC87" s="953"/>
      <c r="AD87" s="953"/>
      <c r="AE87" s="953"/>
      <c r="AF87" s="954"/>
      <c r="AG87" s="6"/>
      <c r="AH87" s="954"/>
      <c r="AI87" s="6"/>
      <c r="AJ87" s="954"/>
      <c r="AL87" s="355">
        <f t="shared" si="74"/>
        <v>16500</v>
      </c>
      <c r="AM87" s="949">
        <f t="shared" si="75"/>
        <v>0</v>
      </c>
      <c r="AN87" s="972"/>
      <c r="AO87" s="716" t="s">
        <v>1819</v>
      </c>
      <c r="AP87" s="716" t="s">
        <v>1823</v>
      </c>
      <c r="AQ87" s="717">
        <f t="shared" si="77"/>
        <v>13500</v>
      </c>
      <c r="AR87" s="718"/>
      <c r="AS87" s="719"/>
      <c r="AT87" s="717">
        <v>2000</v>
      </c>
      <c r="AU87" s="1418">
        <f t="shared" ref="AU87:AV88" si="78">ROUND(AQ87+AS87+AT87,-2)</f>
        <v>15500</v>
      </c>
      <c r="AV87" s="719">
        <f>ROUND(AQ87+AS87+AT87,-2)</f>
        <v>15500</v>
      </c>
    </row>
    <row r="88" spans="2:48" ht="14" x14ac:dyDescent="0.25">
      <c r="B88" s="8">
        <v>5</v>
      </c>
      <c r="C88" s="9" t="s">
        <v>55</v>
      </c>
      <c r="D88" s="10" t="s">
        <v>52</v>
      </c>
      <c r="E88" s="188"/>
      <c r="F88" s="188">
        <f t="shared" ref="F88:Q88" si="79">$AU$85</f>
        <v>16500</v>
      </c>
      <c r="G88" s="188">
        <f t="shared" si="79"/>
        <v>16500</v>
      </c>
      <c r="H88" s="188">
        <f t="shared" si="79"/>
        <v>16500</v>
      </c>
      <c r="I88" s="188">
        <f t="shared" si="79"/>
        <v>16500</v>
      </c>
      <c r="J88" s="188">
        <f t="shared" si="79"/>
        <v>16500</v>
      </c>
      <c r="K88" s="188">
        <f t="shared" si="79"/>
        <v>16500</v>
      </c>
      <c r="L88" s="188">
        <f t="shared" si="79"/>
        <v>16500</v>
      </c>
      <c r="M88" s="188">
        <f t="shared" si="79"/>
        <v>16500</v>
      </c>
      <c r="N88" s="188">
        <f t="shared" si="79"/>
        <v>16500</v>
      </c>
      <c r="O88" s="188">
        <f t="shared" si="79"/>
        <v>16500</v>
      </c>
      <c r="P88" s="188">
        <f t="shared" si="79"/>
        <v>16500</v>
      </c>
      <c r="Q88" s="188">
        <f t="shared" si="79"/>
        <v>16500</v>
      </c>
      <c r="R88" s="361">
        <f t="shared" si="73"/>
        <v>16500</v>
      </c>
      <c r="S88" s="961"/>
      <c r="T88" s="953"/>
      <c r="U88" s="953"/>
      <c r="V88" s="953"/>
      <c r="W88" s="953"/>
      <c r="X88" s="953"/>
      <c r="Y88" s="953"/>
      <c r="Z88" s="953"/>
      <c r="AA88" s="953"/>
      <c r="AB88" s="953"/>
      <c r="AC88" s="953"/>
      <c r="AD88" s="953"/>
      <c r="AE88" s="953"/>
      <c r="AF88" s="954"/>
      <c r="AG88" s="6"/>
      <c r="AH88" s="954"/>
      <c r="AI88" s="6"/>
      <c r="AJ88" s="954"/>
      <c r="AL88" s="355">
        <f t="shared" si="74"/>
        <v>16500</v>
      </c>
      <c r="AM88" s="949">
        <f t="shared" si="75"/>
        <v>0</v>
      </c>
      <c r="AN88" s="972"/>
      <c r="AO88" s="716" t="s">
        <v>1820</v>
      </c>
      <c r="AP88" s="716" t="s">
        <v>1821</v>
      </c>
      <c r="AQ88" s="717">
        <f t="shared" si="77"/>
        <v>8100</v>
      </c>
      <c r="AR88" s="718"/>
      <c r="AS88" s="719"/>
      <c r="AT88" s="717">
        <v>2000</v>
      </c>
      <c r="AU88" s="1418">
        <v>10000</v>
      </c>
      <c r="AV88" s="719">
        <f t="shared" si="78"/>
        <v>12000</v>
      </c>
    </row>
    <row r="89" spans="2:48" ht="14" x14ac:dyDescent="0.25">
      <c r="B89" s="8">
        <v>6</v>
      </c>
      <c r="C89" s="9" t="s">
        <v>313</v>
      </c>
      <c r="D89" s="10" t="s">
        <v>52</v>
      </c>
      <c r="E89" s="188"/>
      <c r="F89" s="188">
        <f>$AU$85</f>
        <v>16500</v>
      </c>
      <c r="G89" s="188">
        <f t="shared" si="72"/>
        <v>16500</v>
      </c>
      <c r="H89" s="188">
        <f t="shared" si="72"/>
        <v>16500</v>
      </c>
      <c r="I89" s="188">
        <f t="shared" si="72"/>
        <v>16500</v>
      </c>
      <c r="J89" s="188">
        <f t="shared" si="72"/>
        <v>16500</v>
      </c>
      <c r="K89" s="188">
        <f t="shared" si="72"/>
        <v>16500</v>
      </c>
      <c r="L89" s="188">
        <f t="shared" si="72"/>
        <v>16500</v>
      </c>
      <c r="M89" s="188">
        <f t="shared" si="72"/>
        <v>16500</v>
      </c>
      <c r="N89" s="188">
        <f t="shared" si="72"/>
        <v>16500</v>
      </c>
      <c r="O89" s="188">
        <f t="shared" si="72"/>
        <v>16500</v>
      </c>
      <c r="P89" s="188">
        <f t="shared" si="72"/>
        <v>16500</v>
      </c>
      <c r="Q89" s="188">
        <f t="shared" si="72"/>
        <v>16500</v>
      </c>
      <c r="R89" s="361">
        <f t="shared" si="73"/>
        <v>16500</v>
      </c>
      <c r="S89" s="961"/>
      <c r="T89" s="953"/>
      <c r="U89" s="953"/>
      <c r="V89" s="953"/>
      <c r="W89" s="953"/>
      <c r="X89" s="953"/>
      <c r="Y89" s="953"/>
      <c r="Z89" s="953"/>
      <c r="AA89" s="953"/>
      <c r="AB89" s="953"/>
      <c r="AC89" s="953"/>
      <c r="AD89" s="953"/>
      <c r="AE89" s="953"/>
      <c r="AF89" s="954"/>
      <c r="AG89" s="6"/>
      <c r="AH89" s="954"/>
      <c r="AI89" s="6"/>
      <c r="AJ89" s="954"/>
      <c r="AL89" s="355">
        <f t="shared" si="74"/>
        <v>16500</v>
      </c>
      <c r="AM89" s="949">
        <f t="shared" si="75"/>
        <v>0</v>
      </c>
      <c r="AN89" s="965"/>
      <c r="AQ89" s="6">
        <v>11000</v>
      </c>
      <c r="AU89" s="719">
        <v>17000</v>
      </c>
    </row>
    <row r="90" spans="2:48" x14ac:dyDescent="0.25">
      <c r="B90" s="8">
        <v>7</v>
      </c>
      <c r="C90" s="9" t="s">
        <v>53</v>
      </c>
      <c r="D90" s="10" t="s">
        <v>52</v>
      </c>
      <c r="E90" s="188"/>
      <c r="F90" s="188">
        <f>$AU$85</f>
        <v>16500</v>
      </c>
      <c r="G90" s="188">
        <f t="shared" ref="G90:Q91" si="80">$AU$85</f>
        <v>16500</v>
      </c>
      <c r="H90" s="188">
        <f t="shared" si="80"/>
        <v>16500</v>
      </c>
      <c r="I90" s="188">
        <f t="shared" si="80"/>
        <v>16500</v>
      </c>
      <c r="J90" s="188">
        <f t="shared" si="80"/>
        <v>16500</v>
      </c>
      <c r="K90" s="188">
        <f t="shared" si="80"/>
        <v>16500</v>
      </c>
      <c r="L90" s="188">
        <f t="shared" si="80"/>
        <v>16500</v>
      </c>
      <c r="M90" s="188">
        <f t="shared" si="80"/>
        <v>16500</v>
      </c>
      <c r="N90" s="188">
        <f t="shared" si="80"/>
        <v>16500</v>
      </c>
      <c r="O90" s="188">
        <f t="shared" si="80"/>
        <v>16500</v>
      </c>
      <c r="P90" s="188">
        <f t="shared" si="80"/>
        <v>16500</v>
      </c>
      <c r="Q90" s="188">
        <f t="shared" si="80"/>
        <v>16500</v>
      </c>
      <c r="R90" s="361">
        <f t="shared" si="73"/>
        <v>16500</v>
      </c>
      <c r="S90" s="961"/>
      <c r="T90" s="953"/>
      <c r="U90" s="953"/>
      <c r="V90" s="953"/>
      <c r="W90" s="953"/>
      <c r="X90" s="953"/>
      <c r="Y90" s="953"/>
      <c r="Z90" s="953"/>
      <c r="AA90" s="953"/>
      <c r="AB90" s="953"/>
      <c r="AC90" s="953"/>
      <c r="AD90" s="953"/>
      <c r="AE90" s="953"/>
      <c r="AF90" s="954"/>
      <c r="AG90" s="6"/>
      <c r="AH90" s="954"/>
      <c r="AI90" s="6"/>
      <c r="AJ90" s="954"/>
      <c r="AL90" s="355">
        <f t="shared" si="74"/>
        <v>16500</v>
      </c>
      <c r="AM90" s="949">
        <f t="shared" si="75"/>
        <v>0</v>
      </c>
      <c r="AN90" s="965"/>
    </row>
    <row r="91" spans="2:48" x14ac:dyDescent="0.25">
      <c r="B91" s="8">
        <v>8</v>
      </c>
      <c r="C91" s="9" t="s">
        <v>54</v>
      </c>
      <c r="D91" s="10" t="s">
        <v>52</v>
      </c>
      <c r="E91" s="188"/>
      <c r="F91" s="188">
        <f>$AU$85</f>
        <v>16500</v>
      </c>
      <c r="G91" s="188">
        <f t="shared" si="80"/>
        <v>16500</v>
      </c>
      <c r="H91" s="188">
        <f t="shared" si="80"/>
        <v>16500</v>
      </c>
      <c r="I91" s="188">
        <f t="shared" si="80"/>
        <v>16500</v>
      </c>
      <c r="J91" s="188">
        <f t="shared" si="80"/>
        <v>16500</v>
      </c>
      <c r="K91" s="188">
        <f t="shared" si="80"/>
        <v>16500</v>
      </c>
      <c r="L91" s="188">
        <f t="shared" si="80"/>
        <v>16500</v>
      </c>
      <c r="M91" s="188">
        <f t="shared" si="80"/>
        <v>16500</v>
      </c>
      <c r="N91" s="188">
        <f t="shared" si="80"/>
        <v>16500</v>
      </c>
      <c r="O91" s="188">
        <f t="shared" si="80"/>
        <v>16500</v>
      </c>
      <c r="P91" s="188">
        <f t="shared" si="80"/>
        <v>16500</v>
      </c>
      <c r="Q91" s="188">
        <f t="shared" si="80"/>
        <v>16500</v>
      </c>
      <c r="R91" s="361">
        <f t="shared" si="73"/>
        <v>16500</v>
      </c>
      <c r="S91" s="961"/>
      <c r="T91" s="953"/>
      <c r="U91" s="953"/>
      <c r="V91" s="953"/>
      <c r="W91" s="953"/>
      <c r="X91" s="953"/>
      <c r="Y91" s="953"/>
      <c r="Z91" s="953"/>
      <c r="AA91" s="953"/>
      <c r="AB91" s="953"/>
      <c r="AC91" s="953"/>
      <c r="AD91" s="953"/>
      <c r="AE91" s="953"/>
      <c r="AF91" s="954"/>
      <c r="AG91" s="6"/>
      <c r="AH91" s="954"/>
      <c r="AI91" s="6"/>
      <c r="AJ91" s="954"/>
      <c r="AL91" s="355">
        <f t="shared" si="74"/>
        <v>16500</v>
      </c>
      <c r="AM91" s="949">
        <f t="shared" si="75"/>
        <v>0</v>
      </c>
      <c r="AN91" s="965"/>
    </row>
    <row r="92" spans="2:48" x14ac:dyDescent="0.25">
      <c r="B92" s="8">
        <v>9</v>
      </c>
      <c r="C92" s="9" t="s">
        <v>408</v>
      </c>
      <c r="D92" s="10" t="s">
        <v>52</v>
      </c>
      <c r="E92" s="188"/>
      <c r="F92" s="188">
        <f>$AU$87</f>
        <v>15500</v>
      </c>
      <c r="G92" s="188">
        <f t="shared" ref="G92:Q93" si="81">$AU$87</f>
        <v>15500</v>
      </c>
      <c r="H92" s="188">
        <f t="shared" si="81"/>
        <v>15500</v>
      </c>
      <c r="I92" s="188">
        <f t="shared" si="81"/>
        <v>15500</v>
      </c>
      <c r="J92" s="188">
        <f t="shared" si="81"/>
        <v>15500</v>
      </c>
      <c r="K92" s="188">
        <f t="shared" si="81"/>
        <v>15500</v>
      </c>
      <c r="L92" s="188">
        <f t="shared" si="81"/>
        <v>15500</v>
      </c>
      <c r="M92" s="188">
        <f t="shared" si="81"/>
        <v>15500</v>
      </c>
      <c r="N92" s="188">
        <f t="shared" si="81"/>
        <v>15500</v>
      </c>
      <c r="O92" s="188">
        <f t="shared" si="81"/>
        <v>15500</v>
      </c>
      <c r="P92" s="188">
        <f t="shared" si="81"/>
        <v>15500</v>
      </c>
      <c r="Q92" s="188">
        <f t="shared" si="81"/>
        <v>15500</v>
      </c>
      <c r="R92" s="361">
        <f t="shared" si="73"/>
        <v>15500</v>
      </c>
      <c r="S92" s="961"/>
      <c r="T92" s="953"/>
      <c r="U92" s="953"/>
      <c r="V92" s="953"/>
      <c r="W92" s="953"/>
      <c r="X92" s="953"/>
      <c r="Y92" s="953"/>
      <c r="Z92" s="953"/>
      <c r="AA92" s="953"/>
      <c r="AB92" s="953"/>
      <c r="AC92" s="953"/>
      <c r="AD92" s="953"/>
      <c r="AE92" s="953"/>
      <c r="AF92" s="954"/>
      <c r="AG92" s="6"/>
      <c r="AH92" s="954"/>
      <c r="AI92" s="6"/>
      <c r="AJ92" s="954"/>
      <c r="AL92" s="355">
        <f t="shared" si="74"/>
        <v>15500</v>
      </c>
      <c r="AM92" s="949">
        <f t="shared" si="75"/>
        <v>0</v>
      </c>
      <c r="AN92" s="965"/>
    </row>
    <row r="93" spans="2:48" x14ac:dyDescent="0.25">
      <c r="B93" s="8">
        <v>10</v>
      </c>
      <c r="C93" s="1411" t="s">
        <v>303</v>
      </c>
      <c r="D93" s="1412" t="s">
        <v>52</v>
      </c>
      <c r="E93" s="1413"/>
      <c r="F93" s="1413">
        <f>$AU$87</f>
        <v>15500</v>
      </c>
      <c r="G93" s="1413">
        <f t="shared" si="81"/>
        <v>15500</v>
      </c>
      <c r="H93" s="1413">
        <f t="shared" si="81"/>
        <v>15500</v>
      </c>
      <c r="I93" s="1413">
        <f t="shared" si="81"/>
        <v>15500</v>
      </c>
      <c r="J93" s="1413">
        <f t="shared" si="81"/>
        <v>15500</v>
      </c>
      <c r="K93" s="1413">
        <f t="shared" si="81"/>
        <v>15500</v>
      </c>
      <c r="L93" s="1413">
        <f t="shared" si="81"/>
        <v>15500</v>
      </c>
      <c r="M93" s="1413">
        <f t="shared" si="81"/>
        <v>15500</v>
      </c>
      <c r="N93" s="1413">
        <f t="shared" si="81"/>
        <v>15500</v>
      </c>
      <c r="O93" s="1413">
        <f t="shared" si="81"/>
        <v>15500</v>
      </c>
      <c r="P93" s="1413">
        <f t="shared" si="81"/>
        <v>15500</v>
      </c>
      <c r="Q93" s="1413">
        <f t="shared" si="81"/>
        <v>15500</v>
      </c>
      <c r="R93" s="1414">
        <f t="shared" si="73"/>
        <v>15500</v>
      </c>
      <c r="S93" s="961"/>
      <c r="T93" s="953"/>
      <c r="U93" s="953"/>
      <c r="V93" s="953"/>
      <c r="W93" s="953"/>
      <c r="X93" s="953"/>
      <c r="Y93" s="953"/>
      <c r="Z93" s="953"/>
      <c r="AA93" s="953"/>
      <c r="AB93" s="953"/>
      <c r="AC93" s="953"/>
      <c r="AD93" s="953"/>
      <c r="AE93" s="953"/>
      <c r="AF93" s="954"/>
      <c r="AG93" s="6"/>
      <c r="AH93" s="954"/>
      <c r="AI93" s="6"/>
      <c r="AJ93" s="954"/>
      <c r="AL93" s="355">
        <f t="shared" si="74"/>
        <v>15500</v>
      </c>
      <c r="AM93" s="949">
        <f t="shared" si="75"/>
        <v>0</v>
      </c>
      <c r="AN93" s="965"/>
    </row>
    <row r="94" spans="2:48" x14ac:dyDescent="0.25">
      <c r="B94" s="8">
        <v>11</v>
      </c>
      <c r="C94" s="282" t="s">
        <v>409</v>
      </c>
      <c r="D94" s="10" t="s">
        <v>52</v>
      </c>
      <c r="E94" s="188"/>
      <c r="F94" s="188">
        <f t="shared" ref="F94:Q95" si="82">$AU$85</f>
        <v>16500</v>
      </c>
      <c r="G94" s="188">
        <f t="shared" si="82"/>
        <v>16500</v>
      </c>
      <c r="H94" s="188">
        <f t="shared" si="82"/>
        <v>16500</v>
      </c>
      <c r="I94" s="188">
        <f t="shared" si="82"/>
        <v>16500</v>
      </c>
      <c r="J94" s="188">
        <f t="shared" si="82"/>
        <v>16500</v>
      </c>
      <c r="K94" s="188">
        <f t="shared" si="82"/>
        <v>16500</v>
      </c>
      <c r="L94" s="188">
        <f t="shared" si="82"/>
        <v>16500</v>
      </c>
      <c r="M94" s="188">
        <f t="shared" si="82"/>
        <v>16500</v>
      </c>
      <c r="N94" s="188">
        <f t="shared" si="82"/>
        <v>16500</v>
      </c>
      <c r="O94" s="188">
        <f t="shared" si="82"/>
        <v>16500</v>
      </c>
      <c r="P94" s="188">
        <f t="shared" si="82"/>
        <v>16500</v>
      </c>
      <c r="Q94" s="188">
        <f t="shared" si="82"/>
        <v>16500</v>
      </c>
      <c r="R94" s="361">
        <f t="shared" si="73"/>
        <v>16500</v>
      </c>
      <c r="S94" s="961"/>
      <c r="T94" s="953"/>
      <c r="U94" s="953"/>
      <c r="V94" s="953"/>
      <c r="W94" s="953"/>
      <c r="X94" s="953"/>
      <c r="Y94" s="953"/>
      <c r="Z94" s="953"/>
      <c r="AA94" s="953"/>
      <c r="AB94" s="953"/>
      <c r="AC94" s="953"/>
      <c r="AD94" s="953"/>
      <c r="AE94" s="953"/>
      <c r="AF94" s="954"/>
      <c r="AG94" s="6"/>
      <c r="AH94" s="954"/>
      <c r="AI94" s="6"/>
      <c r="AJ94" s="954"/>
      <c r="AL94" s="355">
        <f t="shared" si="74"/>
        <v>16500</v>
      </c>
      <c r="AM94" s="949">
        <f t="shared" si="75"/>
        <v>0</v>
      </c>
      <c r="AN94" s="965"/>
    </row>
    <row r="95" spans="2:48" x14ac:dyDescent="0.25">
      <c r="B95" s="8">
        <v>12</v>
      </c>
      <c r="C95" s="9" t="s">
        <v>314</v>
      </c>
      <c r="D95" s="10" t="s">
        <v>52</v>
      </c>
      <c r="E95" s="188"/>
      <c r="F95" s="188">
        <f t="shared" si="82"/>
        <v>16500</v>
      </c>
      <c r="G95" s="188">
        <f t="shared" si="82"/>
        <v>16500</v>
      </c>
      <c r="H95" s="188">
        <f t="shared" si="82"/>
        <v>16500</v>
      </c>
      <c r="I95" s="188">
        <f t="shared" si="82"/>
        <v>16500</v>
      </c>
      <c r="J95" s="188">
        <f t="shared" si="82"/>
        <v>16500</v>
      </c>
      <c r="K95" s="188">
        <f t="shared" si="82"/>
        <v>16500</v>
      </c>
      <c r="L95" s="188">
        <f t="shared" si="82"/>
        <v>16500</v>
      </c>
      <c r="M95" s="188">
        <f t="shared" si="82"/>
        <v>16500</v>
      </c>
      <c r="N95" s="188">
        <f t="shared" si="82"/>
        <v>16500</v>
      </c>
      <c r="O95" s="188">
        <f t="shared" si="82"/>
        <v>16500</v>
      </c>
      <c r="P95" s="188">
        <f t="shared" si="82"/>
        <v>16500</v>
      </c>
      <c r="Q95" s="188">
        <f t="shared" si="82"/>
        <v>16500</v>
      </c>
      <c r="R95" s="361">
        <f t="shared" si="73"/>
        <v>16500</v>
      </c>
      <c r="S95" s="961"/>
      <c r="T95" s="953"/>
      <c r="U95" s="953"/>
      <c r="V95" s="953"/>
      <c r="W95" s="953"/>
      <c r="X95" s="953"/>
      <c r="Y95" s="953"/>
      <c r="Z95" s="953"/>
      <c r="AA95" s="953"/>
      <c r="AB95" s="953"/>
      <c r="AC95" s="953"/>
      <c r="AD95" s="953"/>
      <c r="AE95" s="953"/>
      <c r="AF95" s="954"/>
      <c r="AG95" s="6"/>
      <c r="AH95" s="954"/>
      <c r="AI95" s="6"/>
      <c r="AJ95" s="954"/>
      <c r="AL95" s="355">
        <f t="shared" si="74"/>
        <v>16500</v>
      </c>
      <c r="AM95" s="949">
        <f t="shared" si="75"/>
        <v>0</v>
      </c>
      <c r="AN95" s="965"/>
    </row>
    <row r="96" spans="2:48" x14ac:dyDescent="0.25">
      <c r="B96" s="8">
        <v>13</v>
      </c>
      <c r="C96" s="22" t="s">
        <v>410</v>
      </c>
      <c r="D96" s="10" t="s">
        <v>52</v>
      </c>
      <c r="E96" s="188"/>
      <c r="F96" s="188">
        <f>$AU$88</f>
        <v>10000</v>
      </c>
      <c r="G96" s="188">
        <f t="shared" ref="G96:Q99" si="83">$AU$88</f>
        <v>10000</v>
      </c>
      <c r="H96" s="188">
        <f t="shared" si="83"/>
        <v>10000</v>
      </c>
      <c r="I96" s="188">
        <f t="shared" si="83"/>
        <v>10000</v>
      </c>
      <c r="J96" s="188">
        <f t="shared" si="83"/>
        <v>10000</v>
      </c>
      <c r="K96" s="188">
        <f t="shared" si="83"/>
        <v>10000</v>
      </c>
      <c r="L96" s="188">
        <f t="shared" si="83"/>
        <v>10000</v>
      </c>
      <c r="M96" s="188">
        <f t="shared" si="83"/>
        <v>10000</v>
      </c>
      <c r="N96" s="188">
        <f t="shared" si="83"/>
        <v>10000</v>
      </c>
      <c r="O96" s="188">
        <f t="shared" si="83"/>
        <v>10000</v>
      </c>
      <c r="P96" s="188">
        <f t="shared" si="83"/>
        <v>10000</v>
      </c>
      <c r="Q96" s="188">
        <f t="shared" si="83"/>
        <v>10000</v>
      </c>
      <c r="R96" s="361">
        <f t="shared" si="73"/>
        <v>10000</v>
      </c>
      <c r="S96" s="961"/>
      <c r="T96" s="953"/>
      <c r="U96" s="953"/>
      <c r="V96" s="953"/>
      <c r="W96" s="953"/>
      <c r="X96" s="953"/>
      <c r="Y96" s="953"/>
      <c r="Z96" s="953"/>
      <c r="AA96" s="953"/>
      <c r="AB96" s="953"/>
      <c r="AC96" s="953"/>
      <c r="AD96" s="953"/>
      <c r="AE96" s="953"/>
      <c r="AF96" s="954"/>
      <c r="AG96" s="6"/>
      <c r="AH96" s="954"/>
      <c r="AI96" s="6"/>
      <c r="AJ96" s="954"/>
      <c r="AL96" s="355">
        <f t="shared" si="74"/>
        <v>10000</v>
      </c>
      <c r="AM96" s="949">
        <f t="shared" si="75"/>
        <v>0</v>
      </c>
      <c r="AN96" s="965"/>
    </row>
    <row r="97" spans="2:40" x14ac:dyDescent="0.25">
      <c r="B97" s="8">
        <v>14</v>
      </c>
      <c r="C97" s="9" t="s">
        <v>411</v>
      </c>
      <c r="D97" s="10" t="s">
        <v>52</v>
      </c>
      <c r="E97" s="188"/>
      <c r="F97" s="188">
        <f>$AU$88</f>
        <v>10000</v>
      </c>
      <c r="G97" s="188">
        <f t="shared" si="83"/>
        <v>10000</v>
      </c>
      <c r="H97" s="188">
        <f t="shared" si="83"/>
        <v>10000</v>
      </c>
      <c r="I97" s="188">
        <f t="shared" si="83"/>
        <v>10000</v>
      </c>
      <c r="J97" s="188">
        <f t="shared" si="83"/>
        <v>10000</v>
      </c>
      <c r="K97" s="188">
        <f t="shared" si="83"/>
        <v>10000</v>
      </c>
      <c r="L97" s="188">
        <f t="shared" si="83"/>
        <v>10000</v>
      </c>
      <c r="M97" s="188">
        <f t="shared" si="83"/>
        <v>10000</v>
      </c>
      <c r="N97" s="188">
        <f t="shared" si="83"/>
        <v>10000</v>
      </c>
      <c r="O97" s="188">
        <f t="shared" si="83"/>
        <v>10000</v>
      </c>
      <c r="P97" s="188">
        <f t="shared" si="83"/>
        <v>10000</v>
      </c>
      <c r="Q97" s="188">
        <f t="shared" si="83"/>
        <v>10000</v>
      </c>
      <c r="R97" s="361">
        <f t="shared" si="73"/>
        <v>10000</v>
      </c>
      <c r="S97" s="961"/>
      <c r="T97" s="953"/>
      <c r="U97" s="953"/>
      <c r="V97" s="953"/>
      <c r="W97" s="953"/>
      <c r="X97" s="953"/>
      <c r="Y97" s="953"/>
      <c r="Z97" s="953"/>
      <c r="AA97" s="953"/>
      <c r="AB97" s="953"/>
      <c r="AC97" s="953"/>
      <c r="AD97" s="953"/>
      <c r="AE97" s="953"/>
      <c r="AF97" s="954"/>
      <c r="AG97" s="6"/>
      <c r="AH97" s="954"/>
      <c r="AI97" s="6"/>
      <c r="AJ97" s="954"/>
      <c r="AL97" s="355">
        <f t="shared" si="74"/>
        <v>10000</v>
      </c>
      <c r="AM97" s="949">
        <f t="shared" si="75"/>
        <v>0</v>
      </c>
      <c r="AN97" s="965"/>
    </row>
    <row r="98" spans="2:40" x14ac:dyDescent="0.25">
      <c r="B98" s="8">
        <v>14</v>
      </c>
      <c r="C98" s="9" t="s">
        <v>411</v>
      </c>
      <c r="D98" s="10" t="s">
        <v>52</v>
      </c>
      <c r="E98" s="188"/>
      <c r="F98" s="188">
        <f>$AU$88</f>
        <v>10000</v>
      </c>
      <c r="G98" s="188">
        <f t="shared" si="83"/>
        <v>10000</v>
      </c>
      <c r="H98" s="188">
        <f t="shared" si="83"/>
        <v>10000</v>
      </c>
      <c r="I98" s="188">
        <f t="shared" si="83"/>
        <v>10000</v>
      </c>
      <c r="J98" s="188">
        <f t="shared" si="83"/>
        <v>10000</v>
      </c>
      <c r="K98" s="188">
        <f t="shared" si="83"/>
        <v>10000</v>
      </c>
      <c r="L98" s="188">
        <f t="shared" si="83"/>
        <v>10000</v>
      </c>
      <c r="M98" s="188">
        <f t="shared" si="83"/>
        <v>10000</v>
      </c>
      <c r="N98" s="188">
        <f t="shared" si="83"/>
        <v>10000</v>
      </c>
      <c r="O98" s="188">
        <f t="shared" si="83"/>
        <v>10000</v>
      </c>
      <c r="P98" s="188">
        <f t="shared" si="83"/>
        <v>10000</v>
      </c>
      <c r="Q98" s="188">
        <f t="shared" si="83"/>
        <v>10000</v>
      </c>
      <c r="R98" s="361">
        <f t="shared" si="73"/>
        <v>10000</v>
      </c>
      <c r="S98" s="961"/>
      <c r="T98" s="953"/>
      <c r="U98" s="953"/>
      <c r="V98" s="953"/>
      <c r="W98" s="953"/>
      <c r="X98" s="953"/>
      <c r="Y98" s="953"/>
      <c r="Z98" s="953"/>
      <c r="AA98" s="953"/>
      <c r="AB98" s="953"/>
      <c r="AC98" s="953"/>
      <c r="AD98" s="953"/>
      <c r="AE98" s="953"/>
      <c r="AF98" s="954"/>
      <c r="AG98" s="6"/>
      <c r="AH98" s="954"/>
      <c r="AI98" s="6"/>
      <c r="AJ98" s="954"/>
      <c r="AL98" s="355">
        <f t="shared" si="74"/>
        <v>10000</v>
      </c>
      <c r="AM98" s="949">
        <f t="shared" si="75"/>
        <v>0</v>
      </c>
      <c r="AN98" s="965"/>
    </row>
    <row r="99" spans="2:40" x14ac:dyDescent="0.25">
      <c r="B99" s="8">
        <v>15</v>
      </c>
      <c r="C99" s="22" t="s">
        <v>25</v>
      </c>
      <c r="D99" s="10" t="s">
        <v>52</v>
      </c>
      <c r="E99" s="188"/>
      <c r="F99" s="188">
        <f>$AU$88</f>
        <v>10000</v>
      </c>
      <c r="G99" s="188">
        <f t="shared" si="83"/>
        <v>10000</v>
      </c>
      <c r="H99" s="188">
        <f t="shared" si="83"/>
        <v>10000</v>
      </c>
      <c r="I99" s="188">
        <f t="shared" si="83"/>
        <v>10000</v>
      </c>
      <c r="J99" s="188">
        <f t="shared" si="83"/>
        <v>10000</v>
      </c>
      <c r="K99" s="188">
        <f t="shared" si="83"/>
        <v>10000</v>
      </c>
      <c r="L99" s="188">
        <f t="shared" si="83"/>
        <v>10000</v>
      </c>
      <c r="M99" s="188">
        <f t="shared" si="83"/>
        <v>10000</v>
      </c>
      <c r="N99" s="188">
        <f t="shared" si="83"/>
        <v>10000</v>
      </c>
      <c r="O99" s="188">
        <f t="shared" si="83"/>
        <v>10000</v>
      </c>
      <c r="P99" s="188">
        <f t="shared" si="83"/>
        <v>10000</v>
      </c>
      <c r="Q99" s="188">
        <f t="shared" si="83"/>
        <v>10000</v>
      </c>
      <c r="R99" s="361">
        <f t="shared" si="73"/>
        <v>10000</v>
      </c>
      <c r="S99" s="961"/>
      <c r="T99" s="953"/>
      <c r="U99" s="953"/>
      <c r="V99" s="953"/>
      <c r="W99" s="953"/>
      <c r="X99" s="953"/>
      <c r="Y99" s="953"/>
      <c r="Z99" s="953"/>
      <c r="AA99" s="953"/>
      <c r="AB99" s="953"/>
      <c r="AC99" s="953"/>
      <c r="AD99" s="953"/>
      <c r="AE99" s="953"/>
      <c r="AF99" s="954"/>
      <c r="AG99" s="6"/>
      <c r="AH99" s="954"/>
      <c r="AI99" s="6"/>
      <c r="AJ99" s="954"/>
      <c r="AL99" s="355">
        <f t="shared" si="74"/>
        <v>10000</v>
      </c>
      <c r="AM99" s="949">
        <f t="shared" si="75"/>
        <v>0</v>
      </c>
      <c r="AN99" s="964"/>
    </row>
    <row r="100" spans="2:40" x14ac:dyDescent="0.25">
      <c r="B100" s="23"/>
      <c r="C100" s="24" t="s">
        <v>412</v>
      </c>
      <c r="D100" s="25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956"/>
      <c r="T100" s="370"/>
      <c r="U100" s="370"/>
      <c r="V100" s="370"/>
      <c r="W100" s="370"/>
      <c r="X100" s="370"/>
      <c r="Y100" s="370"/>
      <c r="Z100" s="370"/>
      <c r="AA100" s="370"/>
      <c r="AB100" s="370"/>
      <c r="AC100" s="370"/>
      <c r="AD100" s="370"/>
      <c r="AE100" s="370"/>
      <c r="AF100" s="370"/>
      <c r="AG100" s="6"/>
      <c r="AH100" s="370">
        <f>SUM(AH84:AH99)</f>
        <v>0</v>
      </c>
      <c r="AI100" s="6"/>
      <c r="AJ100" s="370">
        <f>SUM(AJ84:AJ99)</f>
        <v>0</v>
      </c>
      <c r="AL100" s="370">
        <f t="shared" si="74"/>
        <v>0</v>
      </c>
      <c r="AM100" s="906">
        <f t="shared" si="75"/>
        <v>0</v>
      </c>
      <c r="AN100" s="941"/>
    </row>
    <row r="101" spans="2:40" x14ac:dyDescent="0.3"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G101" s="6"/>
      <c r="AI101" s="6"/>
      <c r="AJ101" s="5"/>
      <c r="AL101" s="5"/>
      <c r="AM101" s="5"/>
      <c r="AN101" s="967"/>
    </row>
    <row r="102" spans="2:40" x14ac:dyDescent="0.3">
      <c r="B102" s="5" t="s">
        <v>305</v>
      </c>
      <c r="R102" s="204"/>
      <c r="S102" s="958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204"/>
      <c r="AG102" s="6"/>
      <c r="AH102" s="204"/>
      <c r="AI102" s="6"/>
      <c r="AJ102" s="204"/>
      <c r="AL102" s="204"/>
      <c r="AM102" s="204"/>
      <c r="AN102" s="963"/>
    </row>
    <row r="103" spans="2:40" ht="25.5" customHeight="1" x14ac:dyDescent="0.25">
      <c r="B103" s="141" t="s">
        <v>0</v>
      </c>
      <c r="C103" s="141" t="s">
        <v>1790</v>
      </c>
      <c r="D103" s="141" t="s">
        <v>11</v>
      </c>
      <c r="E103" s="269" t="s">
        <v>1814</v>
      </c>
      <c r="F103" s="7" t="s">
        <v>56</v>
      </c>
      <c r="G103" s="7" t="s">
        <v>57</v>
      </c>
      <c r="H103" s="7" t="s">
        <v>58</v>
      </c>
      <c r="I103" s="7" t="s">
        <v>59</v>
      </c>
      <c r="J103" s="7" t="s">
        <v>60</v>
      </c>
      <c r="K103" s="7" t="s">
        <v>61</v>
      </c>
      <c r="L103" s="7" t="s">
        <v>62</v>
      </c>
      <c r="M103" s="7" t="s">
        <v>63</v>
      </c>
      <c r="N103" s="7" t="s">
        <v>64</v>
      </c>
      <c r="O103" s="7" t="s">
        <v>65</v>
      </c>
      <c r="P103" s="7" t="s">
        <v>66</v>
      </c>
      <c r="Q103" s="7" t="s">
        <v>67</v>
      </c>
      <c r="R103" s="7" t="s">
        <v>2246</v>
      </c>
      <c r="S103" s="196"/>
      <c r="T103" s="942" t="s">
        <v>56</v>
      </c>
      <c r="U103" s="942" t="s">
        <v>57</v>
      </c>
      <c r="V103" s="942" t="s">
        <v>58</v>
      </c>
      <c r="W103" s="942" t="s">
        <v>59</v>
      </c>
      <c r="X103" s="942" t="s">
        <v>60</v>
      </c>
      <c r="Y103" s="942" t="s">
        <v>61</v>
      </c>
      <c r="Z103" s="942" t="s">
        <v>62</v>
      </c>
      <c r="AA103" s="942" t="s">
        <v>63</v>
      </c>
      <c r="AB103" s="942" t="s">
        <v>64</v>
      </c>
      <c r="AC103" s="942" t="s">
        <v>65</v>
      </c>
      <c r="AD103" s="942" t="s">
        <v>66</v>
      </c>
      <c r="AE103" s="942" t="s">
        <v>67</v>
      </c>
      <c r="AF103" s="942" t="s">
        <v>405</v>
      </c>
      <c r="AG103" s="36"/>
      <c r="AH103" s="942" t="s">
        <v>1942</v>
      </c>
      <c r="AI103" s="36"/>
      <c r="AJ103" s="942" t="s">
        <v>1943</v>
      </c>
      <c r="AK103" s="36"/>
      <c r="AL103" s="943" t="s">
        <v>749</v>
      </c>
      <c r="AM103" s="944" t="s">
        <v>750</v>
      </c>
      <c r="AN103" s="965"/>
    </row>
    <row r="104" spans="2:40" x14ac:dyDescent="0.25">
      <c r="B104" s="8">
        <v>1</v>
      </c>
      <c r="C104" s="9" t="s">
        <v>406</v>
      </c>
      <c r="D104" s="10" t="s">
        <v>234</v>
      </c>
      <c r="E104" s="26"/>
      <c r="F104" s="26">
        <f>F65*F84</f>
        <v>0</v>
      </c>
      <c r="G104" s="26">
        <f t="shared" ref="G104:Q104" si="84">G65*G84</f>
        <v>0</v>
      </c>
      <c r="H104" s="26">
        <f t="shared" si="84"/>
        <v>0</v>
      </c>
      <c r="I104" s="26">
        <f t="shared" si="84"/>
        <v>0</v>
      </c>
      <c r="J104" s="26">
        <f t="shared" si="84"/>
        <v>0</v>
      </c>
      <c r="K104" s="26">
        <f t="shared" si="84"/>
        <v>0</v>
      </c>
      <c r="L104" s="26">
        <f t="shared" si="84"/>
        <v>0</v>
      </c>
      <c r="M104" s="26">
        <f t="shared" si="84"/>
        <v>0</v>
      </c>
      <c r="N104" s="26">
        <f t="shared" si="84"/>
        <v>0</v>
      </c>
      <c r="O104" s="26">
        <f t="shared" si="84"/>
        <v>0</v>
      </c>
      <c r="P104" s="26">
        <f t="shared" si="84"/>
        <v>0</v>
      </c>
      <c r="Q104" s="26">
        <f t="shared" si="84"/>
        <v>0</v>
      </c>
      <c r="R104" s="205">
        <f>SUM(F104:Q104)</f>
        <v>0</v>
      </c>
      <c r="S104" s="959"/>
      <c r="T104" s="355"/>
      <c r="U104" s="355"/>
      <c r="V104" s="355"/>
      <c r="W104" s="355"/>
      <c r="X104" s="355"/>
      <c r="Y104" s="355"/>
      <c r="Z104" s="355"/>
      <c r="AA104" s="355"/>
      <c r="AB104" s="355"/>
      <c r="AC104" s="355"/>
      <c r="AD104" s="355"/>
      <c r="AE104" s="355"/>
      <c r="AF104" s="950">
        <f>SUM(T104:AE104)</f>
        <v>0</v>
      </c>
      <c r="AG104" s="6"/>
      <c r="AH104" s="950"/>
      <c r="AI104" s="6"/>
      <c r="AJ104" s="950"/>
      <c r="AL104" s="355">
        <f t="shared" ref="AL104:AL119" si="85">IFERROR(R104-AF104,0)</f>
        <v>0</v>
      </c>
      <c r="AM104" s="949">
        <f t="shared" ref="AM104:AM119" si="86">IFERROR((R104/AF104)-1,0)</f>
        <v>0</v>
      </c>
      <c r="AN104" s="965"/>
    </row>
    <row r="105" spans="2:40" x14ac:dyDescent="0.25">
      <c r="B105" s="8">
        <v>2</v>
      </c>
      <c r="C105" s="9" t="s">
        <v>407</v>
      </c>
      <c r="D105" s="10" t="s">
        <v>234</v>
      </c>
      <c r="E105" s="26"/>
      <c r="F105" s="26">
        <f t="shared" ref="F105:Q105" si="87">F66*F85</f>
        <v>0</v>
      </c>
      <c r="G105" s="26">
        <f t="shared" si="87"/>
        <v>0</v>
      </c>
      <c r="H105" s="26">
        <f t="shared" si="87"/>
        <v>0</v>
      </c>
      <c r="I105" s="26">
        <f t="shared" si="87"/>
        <v>0</v>
      </c>
      <c r="J105" s="26">
        <f t="shared" si="87"/>
        <v>0</v>
      </c>
      <c r="K105" s="26">
        <f t="shared" si="87"/>
        <v>0</v>
      </c>
      <c r="L105" s="26">
        <f t="shared" si="87"/>
        <v>0</v>
      </c>
      <c r="M105" s="26">
        <f t="shared" si="87"/>
        <v>0</v>
      </c>
      <c r="N105" s="26">
        <f t="shared" si="87"/>
        <v>0</v>
      </c>
      <c r="O105" s="26">
        <f t="shared" si="87"/>
        <v>0</v>
      </c>
      <c r="P105" s="26">
        <f t="shared" si="87"/>
        <v>0</v>
      </c>
      <c r="Q105" s="26">
        <f t="shared" si="87"/>
        <v>0</v>
      </c>
      <c r="R105" s="205">
        <f t="shared" ref="R105:R118" si="88">SUM(F105:Q105)</f>
        <v>0</v>
      </c>
      <c r="S105" s="959"/>
      <c r="T105" s="355"/>
      <c r="U105" s="355"/>
      <c r="V105" s="355"/>
      <c r="W105" s="355"/>
      <c r="X105" s="355"/>
      <c r="Y105" s="355"/>
      <c r="Z105" s="355"/>
      <c r="AA105" s="355"/>
      <c r="AB105" s="355"/>
      <c r="AC105" s="355"/>
      <c r="AD105" s="355"/>
      <c r="AE105" s="355"/>
      <c r="AF105" s="950">
        <f t="shared" ref="AF105:AF119" si="89">SUM(T105:AE105)</f>
        <v>0</v>
      </c>
      <c r="AG105" s="6"/>
      <c r="AH105" s="950"/>
      <c r="AI105" s="6"/>
      <c r="AJ105" s="950"/>
      <c r="AL105" s="355">
        <f t="shared" si="85"/>
        <v>0</v>
      </c>
      <c r="AM105" s="949">
        <f t="shared" si="86"/>
        <v>0</v>
      </c>
      <c r="AN105" s="965"/>
    </row>
    <row r="106" spans="2:40" x14ac:dyDescent="0.25">
      <c r="B106" s="8">
        <v>3</v>
      </c>
      <c r="C106" s="9" t="s">
        <v>302</v>
      </c>
      <c r="D106" s="10" t="s">
        <v>234</v>
      </c>
      <c r="E106" s="26"/>
      <c r="F106" s="26">
        <f t="shared" ref="F106:Q106" si="90">F67*F86</f>
        <v>0</v>
      </c>
      <c r="G106" s="26">
        <f t="shared" si="90"/>
        <v>0</v>
      </c>
      <c r="H106" s="26">
        <f t="shared" si="90"/>
        <v>0</v>
      </c>
      <c r="I106" s="26">
        <f t="shared" si="90"/>
        <v>0</v>
      </c>
      <c r="J106" s="26">
        <f t="shared" si="90"/>
        <v>0</v>
      </c>
      <c r="K106" s="26">
        <f t="shared" si="90"/>
        <v>0</v>
      </c>
      <c r="L106" s="26">
        <f t="shared" si="90"/>
        <v>0</v>
      </c>
      <c r="M106" s="26">
        <f t="shared" si="90"/>
        <v>0</v>
      </c>
      <c r="N106" s="26">
        <f t="shared" si="90"/>
        <v>0</v>
      </c>
      <c r="O106" s="26">
        <f t="shared" si="90"/>
        <v>0</v>
      </c>
      <c r="P106" s="26">
        <f t="shared" si="90"/>
        <v>0</v>
      </c>
      <c r="Q106" s="26">
        <f t="shared" si="90"/>
        <v>0</v>
      </c>
      <c r="R106" s="205">
        <f t="shared" si="88"/>
        <v>0</v>
      </c>
      <c r="S106" s="959"/>
      <c r="T106" s="355"/>
      <c r="U106" s="355"/>
      <c r="V106" s="355"/>
      <c r="W106" s="355"/>
      <c r="X106" s="355"/>
      <c r="Y106" s="355"/>
      <c r="Z106" s="355"/>
      <c r="AA106" s="355"/>
      <c r="AB106" s="355"/>
      <c r="AC106" s="355"/>
      <c r="AD106" s="355"/>
      <c r="AE106" s="355"/>
      <c r="AF106" s="950">
        <f t="shared" si="89"/>
        <v>0</v>
      </c>
      <c r="AG106" s="6"/>
      <c r="AH106" s="950"/>
      <c r="AI106" s="6"/>
      <c r="AJ106" s="950"/>
      <c r="AL106" s="355">
        <f t="shared" si="85"/>
        <v>0</v>
      </c>
      <c r="AM106" s="949">
        <f t="shared" si="86"/>
        <v>0</v>
      </c>
      <c r="AN106" s="965"/>
    </row>
    <row r="107" spans="2:40" x14ac:dyDescent="0.25">
      <c r="B107" s="8">
        <v>4</v>
      </c>
      <c r="C107" s="9" t="s">
        <v>312</v>
      </c>
      <c r="D107" s="10" t="s">
        <v>234</v>
      </c>
      <c r="E107" s="26"/>
      <c r="F107" s="26">
        <f t="shared" ref="F107:Q107" si="91">F68*F87</f>
        <v>0</v>
      </c>
      <c r="G107" s="26">
        <f t="shared" si="91"/>
        <v>0</v>
      </c>
      <c r="H107" s="26">
        <f t="shared" si="91"/>
        <v>0</v>
      </c>
      <c r="I107" s="26">
        <f t="shared" si="91"/>
        <v>0</v>
      </c>
      <c r="J107" s="26">
        <f t="shared" si="91"/>
        <v>0</v>
      </c>
      <c r="K107" s="26">
        <f t="shared" si="91"/>
        <v>0</v>
      </c>
      <c r="L107" s="26">
        <f t="shared" si="91"/>
        <v>0</v>
      </c>
      <c r="M107" s="26">
        <f t="shared" si="91"/>
        <v>0</v>
      </c>
      <c r="N107" s="26">
        <f t="shared" si="91"/>
        <v>0</v>
      </c>
      <c r="O107" s="26">
        <f t="shared" si="91"/>
        <v>0</v>
      </c>
      <c r="P107" s="26">
        <f t="shared" si="91"/>
        <v>0</v>
      </c>
      <c r="Q107" s="26">
        <f t="shared" si="91"/>
        <v>0</v>
      </c>
      <c r="R107" s="205">
        <f t="shared" si="88"/>
        <v>0</v>
      </c>
      <c r="S107" s="959"/>
      <c r="T107" s="355"/>
      <c r="U107" s="355"/>
      <c r="V107" s="355"/>
      <c r="W107" s="355"/>
      <c r="X107" s="355"/>
      <c r="Y107" s="355"/>
      <c r="Z107" s="355"/>
      <c r="AA107" s="355"/>
      <c r="AB107" s="355"/>
      <c r="AC107" s="355"/>
      <c r="AD107" s="355"/>
      <c r="AE107" s="355"/>
      <c r="AF107" s="950">
        <f t="shared" si="89"/>
        <v>0</v>
      </c>
      <c r="AG107" s="6"/>
      <c r="AH107" s="950"/>
      <c r="AI107" s="6"/>
      <c r="AJ107" s="950"/>
      <c r="AL107" s="355">
        <f t="shared" si="85"/>
        <v>0</v>
      </c>
      <c r="AM107" s="949">
        <f t="shared" si="86"/>
        <v>0</v>
      </c>
      <c r="AN107" s="965"/>
    </row>
    <row r="108" spans="2:40" x14ac:dyDescent="0.25">
      <c r="B108" s="8">
        <v>5</v>
      </c>
      <c r="C108" s="9" t="s">
        <v>55</v>
      </c>
      <c r="D108" s="10" t="s">
        <v>234</v>
      </c>
      <c r="E108" s="26"/>
      <c r="F108" s="26">
        <f t="shared" ref="F108:Q108" si="92">F69*F88</f>
        <v>0</v>
      </c>
      <c r="G108" s="26">
        <f t="shared" si="92"/>
        <v>0</v>
      </c>
      <c r="H108" s="26">
        <f t="shared" si="92"/>
        <v>0</v>
      </c>
      <c r="I108" s="26">
        <f t="shared" si="92"/>
        <v>0</v>
      </c>
      <c r="J108" s="26">
        <f t="shared" si="92"/>
        <v>0</v>
      </c>
      <c r="K108" s="26">
        <f t="shared" si="92"/>
        <v>0</v>
      </c>
      <c r="L108" s="26">
        <f t="shared" si="92"/>
        <v>0</v>
      </c>
      <c r="M108" s="26">
        <f t="shared" si="92"/>
        <v>0</v>
      </c>
      <c r="N108" s="26">
        <f t="shared" si="92"/>
        <v>0</v>
      </c>
      <c r="O108" s="26">
        <f t="shared" si="92"/>
        <v>0</v>
      </c>
      <c r="P108" s="26">
        <f t="shared" si="92"/>
        <v>0</v>
      </c>
      <c r="Q108" s="26">
        <f t="shared" si="92"/>
        <v>0</v>
      </c>
      <c r="R108" s="205">
        <f t="shared" si="88"/>
        <v>0</v>
      </c>
      <c r="S108" s="959"/>
      <c r="T108" s="355"/>
      <c r="U108" s="355"/>
      <c r="V108" s="355"/>
      <c r="W108" s="355"/>
      <c r="X108" s="355"/>
      <c r="Y108" s="355"/>
      <c r="Z108" s="355"/>
      <c r="AA108" s="355"/>
      <c r="AB108" s="355"/>
      <c r="AC108" s="355"/>
      <c r="AD108" s="355"/>
      <c r="AE108" s="355"/>
      <c r="AF108" s="950">
        <f t="shared" si="89"/>
        <v>0</v>
      </c>
      <c r="AG108" s="6"/>
      <c r="AH108" s="950"/>
      <c r="AI108" s="6"/>
      <c r="AJ108" s="950"/>
      <c r="AL108" s="355">
        <f t="shared" si="85"/>
        <v>0</v>
      </c>
      <c r="AM108" s="949">
        <f t="shared" si="86"/>
        <v>0</v>
      </c>
      <c r="AN108" s="965"/>
    </row>
    <row r="109" spans="2:40" x14ac:dyDescent="0.25">
      <c r="B109" s="8">
        <v>6</v>
      </c>
      <c r="C109" s="9" t="s">
        <v>313</v>
      </c>
      <c r="D109" s="10" t="s">
        <v>234</v>
      </c>
      <c r="E109" s="26"/>
      <c r="F109" s="26">
        <f t="shared" ref="F109:Q109" si="93">F70*F89</f>
        <v>0</v>
      </c>
      <c r="G109" s="26">
        <f t="shared" si="93"/>
        <v>0</v>
      </c>
      <c r="H109" s="26">
        <f t="shared" si="93"/>
        <v>0</v>
      </c>
      <c r="I109" s="26">
        <f t="shared" si="93"/>
        <v>0</v>
      </c>
      <c r="J109" s="26">
        <f t="shared" si="93"/>
        <v>0</v>
      </c>
      <c r="K109" s="26">
        <f t="shared" si="93"/>
        <v>0</v>
      </c>
      <c r="L109" s="26">
        <f t="shared" si="93"/>
        <v>0</v>
      </c>
      <c r="M109" s="26">
        <f t="shared" si="93"/>
        <v>0</v>
      </c>
      <c r="N109" s="26">
        <f t="shared" si="93"/>
        <v>0</v>
      </c>
      <c r="O109" s="26">
        <f t="shared" si="93"/>
        <v>0</v>
      </c>
      <c r="P109" s="26">
        <f t="shared" si="93"/>
        <v>0</v>
      </c>
      <c r="Q109" s="26">
        <f t="shared" si="93"/>
        <v>0</v>
      </c>
      <c r="R109" s="205">
        <f t="shared" si="88"/>
        <v>0</v>
      </c>
      <c r="S109" s="959"/>
      <c r="T109" s="355"/>
      <c r="U109" s="355"/>
      <c r="V109" s="355"/>
      <c r="W109" s="355"/>
      <c r="X109" s="355"/>
      <c r="Y109" s="355"/>
      <c r="Z109" s="355"/>
      <c r="AA109" s="355"/>
      <c r="AB109" s="355"/>
      <c r="AC109" s="355"/>
      <c r="AD109" s="355"/>
      <c r="AE109" s="355"/>
      <c r="AF109" s="950">
        <f t="shared" si="89"/>
        <v>0</v>
      </c>
      <c r="AG109" s="6"/>
      <c r="AH109" s="950"/>
      <c r="AI109" s="6"/>
      <c r="AJ109" s="950"/>
      <c r="AL109" s="355">
        <f t="shared" si="85"/>
        <v>0</v>
      </c>
      <c r="AM109" s="949">
        <f t="shared" si="86"/>
        <v>0</v>
      </c>
      <c r="AN109" s="965"/>
    </row>
    <row r="110" spans="2:40" x14ac:dyDescent="0.25">
      <c r="B110" s="8">
        <v>7</v>
      </c>
      <c r="C110" s="9" t="s">
        <v>53</v>
      </c>
      <c r="D110" s="10" t="s">
        <v>234</v>
      </c>
      <c r="E110" s="26"/>
      <c r="F110" s="26">
        <f t="shared" ref="F110:Q110" si="94">F71*F90</f>
        <v>0</v>
      </c>
      <c r="G110" s="26">
        <f t="shared" si="94"/>
        <v>0</v>
      </c>
      <c r="H110" s="26">
        <f t="shared" si="94"/>
        <v>0</v>
      </c>
      <c r="I110" s="26">
        <f t="shared" si="94"/>
        <v>0</v>
      </c>
      <c r="J110" s="26">
        <f t="shared" si="94"/>
        <v>0</v>
      </c>
      <c r="K110" s="26">
        <f t="shared" si="94"/>
        <v>0</v>
      </c>
      <c r="L110" s="26">
        <f t="shared" si="94"/>
        <v>0</v>
      </c>
      <c r="M110" s="26">
        <f t="shared" si="94"/>
        <v>0</v>
      </c>
      <c r="N110" s="26">
        <f t="shared" si="94"/>
        <v>0</v>
      </c>
      <c r="O110" s="26">
        <f t="shared" si="94"/>
        <v>0</v>
      </c>
      <c r="P110" s="26">
        <f t="shared" si="94"/>
        <v>0</v>
      </c>
      <c r="Q110" s="26">
        <f t="shared" si="94"/>
        <v>0</v>
      </c>
      <c r="R110" s="205">
        <f t="shared" si="88"/>
        <v>0</v>
      </c>
      <c r="S110" s="959"/>
      <c r="T110" s="355"/>
      <c r="U110" s="355"/>
      <c r="V110" s="355"/>
      <c r="W110" s="355"/>
      <c r="X110" s="355"/>
      <c r="Y110" s="355"/>
      <c r="Z110" s="355"/>
      <c r="AA110" s="355"/>
      <c r="AB110" s="355"/>
      <c r="AC110" s="355"/>
      <c r="AD110" s="355"/>
      <c r="AE110" s="355"/>
      <c r="AF110" s="950">
        <f t="shared" si="89"/>
        <v>0</v>
      </c>
      <c r="AG110" s="6"/>
      <c r="AH110" s="950"/>
      <c r="AI110" s="6"/>
      <c r="AJ110" s="950"/>
      <c r="AL110" s="355">
        <f t="shared" si="85"/>
        <v>0</v>
      </c>
      <c r="AM110" s="949">
        <f t="shared" si="86"/>
        <v>0</v>
      </c>
      <c r="AN110" s="965"/>
    </row>
    <row r="111" spans="2:40" ht="14.5" customHeight="1" x14ac:dyDescent="0.25">
      <c r="B111" s="8">
        <v>8</v>
      </c>
      <c r="C111" s="9" t="s">
        <v>54</v>
      </c>
      <c r="D111" s="10" t="s">
        <v>234</v>
      </c>
      <c r="E111" s="26"/>
      <c r="F111" s="26">
        <f t="shared" ref="F111:Q111" si="95">F72*F91</f>
        <v>0</v>
      </c>
      <c r="G111" s="26">
        <f t="shared" si="95"/>
        <v>0</v>
      </c>
      <c r="H111" s="26">
        <f t="shared" si="95"/>
        <v>0</v>
      </c>
      <c r="I111" s="26">
        <f t="shared" si="95"/>
        <v>0</v>
      </c>
      <c r="J111" s="26">
        <f t="shared" si="95"/>
        <v>0</v>
      </c>
      <c r="K111" s="26">
        <f t="shared" si="95"/>
        <v>0</v>
      </c>
      <c r="L111" s="26">
        <f t="shared" si="95"/>
        <v>0</v>
      </c>
      <c r="M111" s="26">
        <f t="shared" si="95"/>
        <v>0</v>
      </c>
      <c r="N111" s="26">
        <f t="shared" si="95"/>
        <v>0</v>
      </c>
      <c r="O111" s="26">
        <f t="shared" si="95"/>
        <v>0</v>
      </c>
      <c r="P111" s="26">
        <f t="shared" si="95"/>
        <v>0</v>
      </c>
      <c r="Q111" s="26">
        <f t="shared" si="95"/>
        <v>0</v>
      </c>
      <c r="R111" s="205">
        <f t="shared" si="88"/>
        <v>0</v>
      </c>
      <c r="S111" s="959"/>
      <c r="T111" s="355"/>
      <c r="U111" s="355"/>
      <c r="V111" s="355"/>
      <c r="W111" s="355"/>
      <c r="X111" s="355"/>
      <c r="Y111" s="355"/>
      <c r="Z111" s="355"/>
      <c r="AA111" s="355"/>
      <c r="AB111" s="355"/>
      <c r="AC111" s="355"/>
      <c r="AD111" s="355"/>
      <c r="AE111" s="355"/>
      <c r="AF111" s="950">
        <f t="shared" si="89"/>
        <v>0</v>
      </c>
      <c r="AG111" s="6"/>
      <c r="AH111" s="950"/>
      <c r="AI111" s="6"/>
      <c r="AJ111" s="950"/>
      <c r="AL111" s="355">
        <f t="shared" si="85"/>
        <v>0</v>
      </c>
      <c r="AM111" s="949">
        <f t="shared" si="86"/>
        <v>0</v>
      </c>
      <c r="AN111" s="965"/>
    </row>
    <row r="112" spans="2:40" x14ac:dyDescent="0.25">
      <c r="B112" s="8">
        <v>9</v>
      </c>
      <c r="C112" s="9" t="s">
        <v>408</v>
      </c>
      <c r="D112" s="10" t="s">
        <v>234</v>
      </c>
      <c r="E112" s="26"/>
      <c r="F112" s="26">
        <f t="shared" ref="F112:Q112" si="96">F73*F92</f>
        <v>0</v>
      </c>
      <c r="G112" s="26">
        <f t="shared" si="96"/>
        <v>0</v>
      </c>
      <c r="H112" s="26">
        <f t="shared" si="96"/>
        <v>0</v>
      </c>
      <c r="I112" s="26">
        <f t="shared" si="96"/>
        <v>0</v>
      </c>
      <c r="J112" s="26">
        <f t="shared" si="96"/>
        <v>0</v>
      </c>
      <c r="K112" s="26">
        <f t="shared" si="96"/>
        <v>0</v>
      </c>
      <c r="L112" s="26">
        <f t="shared" si="96"/>
        <v>0</v>
      </c>
      <c r="M112" s="26">
        <f t="shared" si="96"/>
        <v>0</v>
      </c>
      <c r="N112" s="26">
        <f t="shared" si="96"/>
        <v>0</v>
      </c>
      <c r="O112" s="26">
        <f t="shared" si="96"/>
        <v>0</v>
      </c>
      <c r="P112" s="26">
        <f t="shared" si="96"/>
        <v>0</v>
      </c>
      <c r="Q112" s="26">
        <f t="shared" si="96"/>
        <v>0</v>
      </c>
      <c r="R112" s="205">
        <f t="shared" si="88"/>
        <v>0</v>
      </c>
      <c r="S112" s="959"/>
      <c r="T112" s="355"/>
      <c r="U112" s="355"/>
      <c r="V112" s="355"/>
      <c r="W112" s="355"/>
      <c r="X112" s="355"/>
      <c r="Y112" s="355"/>
      <c r="Z112" s="355"/>
      <c r="AA112" s="355"/>
      <c r="AB112" s="355"/>
      <c r="AC112" s="355"/>
      <c r="AD112" s="355"/>
      <c r="AE112" s="355"/>
      <c r="AF112" s="950">
        <f t="shared" si="89"/>
        <v>0</v>
      </c>
      <c r="AG112" s="6"/>
      <c r="AH112" s="950"/>
      <c r="AI112" s="6"/>
      <c r="AJ112" s="950"/>
      <c r="AL112" s="355">
        <f t="shared" si="85"/>
        <v>0</v>
      </c>
      <c r="AM112" s="949">
        <f t="shared" si="86"/>
        <v>0</v>
      </c>
      <c r="AN112" s="965"/>
    </row>
    <row r="113" spans="2:40" x14ac:dyDescent="0.25">
      <c r="B113" s="8">
        <v>10</v>
      </c>
      <c r="C113" s="282" t="s">
        <v>303</v>
      </c>
      <c r="D113" s="10" t="s">
        <v>234</v>
      </c>
      <c r="E113" s="26"/>
      <c r="F113" s="26">
        <f t="shared" ref="F113:Q113" si="97">F74*F93</f>
        <v>0</v>
      </c>
      <c r="G113" s="26">
        <f t="shared" si="97"/>
        <v>0</v>
      </c>
      <c r="H113" s="26">
        <f t="shared" si="97"/>
        <v>0</v>
      </c>
      <c r="I113" s="26">
        <f t="shared" si="97"/>
        <v>0</v>
      </c>
      <c r="J113" s="26">
        <f t="shared" si="97"/>
        <v>0</v>
      </c>
      <c r="K113" s="26">
        <f t="shared" si="97"/>
        <v>0</v>
      </c>
      <c r="L113" s="26">
        <f t="shared" si="97"/>
        <v>0</v>
      </c>
      <c r="M113" s="26">
        <f t="shared" si="97"/>
        <v>0</v>
      </c>
      <c r="N113" s="26">
        <f t="shared" si="97"/>
        <v>0</v>
      </c>
      <c r="O113" s="26">
        <f t="shared" si="97"/>
        <v>0</v>
      </c>
      <c r="P113" s="26">
        <f t="shared" si="97"/>
        <v>0</v>
      </c>
      <c r="Q113" s="26">
        <f t="shared" si="97"/>
        <v>0</v>
      </c>
      <c r="R113" s="205">
        <f t="shared" si="88"/>
        <v>0</v>
      </c>
      <c r="S113" s="959"/>
      <c r="T113" s="355"/>
      <c r="U113" s="355"/>
      <c r="V113" s="355"/>
      <c r="W113" s="355"/>
      <c r="X113" s="355"/>
      <c r="Y113" s="355"/>
      <c r="Z113" s="355"/>
      <c r="AA113" s="355"/>
      <c r="AB113" s="355"/>
      <c r="AC113" s="355"/>
      <c r="AD113" s="355"/>
      <c r="AE113" s="355"/>
      <c r="AF113" s="950">
        <f t="shared" si="89"/>
        <v>0</v>
      </c>
      <c r="AG113" s="6"/>
      <c r="AH113" s="950"/>
      <c r="AI113" s="6"/>
      <c r="AJ113" s="950"/>
      <c r="AL113" s="355">
        <f t="shared" si="85"/>
        <v>0</v>
      </c>
      <c r="AM113" s="949">
        <f t="shared" si="86"/>
        <v>0</v>
      </c>
      <c r="AN113" s="965"/>
    </row>
    <row r="114" spans="2:40" x14ac:dyDescent="0.25">
      <c r="B114" s="8">
        <v>11</v>
      </c>
      <c r="C114" s="282" t="s">
        <v>409</v>
      </c>
      <c r="D114" s="10" t="s">
        <v>234</v>
      </c>
      <c r="E114" s="26"/>
      <c r="F114" s="26">
        <f t="shared" ref="F114:Q114" si="98">F75*F94</f>
        <v>0</v>
      </c>
      <c r="G114" s="26">
        <f t="shared" si="98"/>
        <v>0</v>
      </c>
      <c r="H114" s="26">
        <f t="shared" si="98"/>
        <v>0</v>
      </c>
      <c r="I114" s="26">
        <f t="shared" si="98"/>
        <v>0</v>
      </c>
      <c r="J114" s="26">
        <f t="shared" si="98"/>
        <v>0</v>
      </c>
      <c r="K114" s="26">
        <f t="shared" si="98"/>
        <v>0</v>
      </c>
      <c r="L114" s="26">
        <f t="shared" si="98"/>
        <v>0</v>
      </c>
      <c r="M114" s="26">
        <f t="shared" si="98"/>
        <v>0</v>
      </c>
      <c r="N114" s="26">
        <f t="shared" si="98"/>
        <v>0</v>
      </c>
      <c r="O114" s="26">
        <f t="shared" si="98"/>
        <v>0</v>
      </c>
      <c r="P114" s="26">
        <f t="shared" si="98"/>
        <v>0</v>
      </c>
      <c r="Q114" s="26">
        <f t="shared" si="98"/>
        <v>0</v>
      </c>
      <c r="R114" s="205">
        <f t="shared" si="88"/>
        <v>0</v>
      </c>
      <c r="S114" s="959"/>
      <c r="T114" s="355"/>
      <c r="U114" s="355"/>
      <c r="V114" s="355"/>
      <c r="W114" s="355"/>
      <c r="X114" s="355"/>
      <c r="Y114" s="355"/>
      <c r="Z114" s="355"/>
      <c r="AA114" s="355"/>
      <c r="AB114" s="355"/>
      <c r="AC114" s="355"/>
      <c r="AD114" s="355"/>
      <c r="AE114" s="355"/>
      <c r="AF114" s="950">
        <f t="shared" si="89"/>
        <v>0</v>
      </c>
      <c r="AG114" s="6"/>
      <c r="AH114" s="950"/>
      <c r="AI114" s="6"/>
      <c r="AJ114" s="950"/>
      <c r="AL114" s="355">
        <f t="shared" si="85"/>
        <v>0</v>
      </c>
      <c r="AM114" s="949">
        <f t="shared" si="86"/>
        <v>0</v>
      </c>
      <c r="AN114" s="965"/>
    </row>
    <row r="115" spans="2:40" x14ac:dyDescent="0.25">
      <c r="B115" s="8">
        <v>12</v>
      </c>
      <c r="C115" s="9" t="s">
        <v>314</v>
      </c>
      <c r="D115" s="10" t="s">
        <v>234</v>
      </c>
      <c r="E115" s="26"/>
      <c r="F115" s="26">
        <f t="shared" ref="F115:Q115" si="99">F76*F95</f>
        <v>0</v>
      </c>
      <c r="G115" s="26">
        <f t="shared" si="99"/>
        <v>0</v>
      </c>
      <c r="H115" s="26">
        <f t="shared" si="99"/>
        <v>0</v>
      </c>
      <c r="I115" s="26">
        <f t="shared" si="99"/>
        <v>0</v>
      </c>
      <c r="J115" s="26">
        <f t="shared" si="99"/>
        <v>0</v>
      </c>
      <c r="K115" s="26">
        <f t="shared" si="99"/>
        <v>0</v>
      </c>
      <c r="L115" s="26">
        <f t="shared" si="99"/>
        <v>0</v>
      </c>
      <c r="M115" s="26">
        <f t="shared" si="99"/>
        <v>0</v>
      </c>
      <c r="N115" s="26">
        <f t="shared" si="99"/>
        <v>0</v>
      </c>
      <c r="O115" s="26">
        <f t="shared" si="99"/>
        <v>0</v>
      </c>
      <c r="P115" s="26">
        <f t="shared" si="99"/>
        <v>0</v>
      </c>
      <c r="Q115" s="26">
        <f t="shared" si="99"/>
        <v>0</v>
      </c>
      <c r="R115" s="205">
        <f t="shared" si="88"/>
        <v>0</v>
      </c>
      <c r="S115" s="959"/>
      <c r="T115" s="355"/>
      <c r="U115" s="355"/>
      <c r="V115" s="355"/>
      <c r="W115" s="355"/>
      <c r="X115" s="355"/>
      <c r="Y115" s="355"/>
      <c r="Z115" s="355"/>
      <c r="AA115" s="355"/>
      <c r="AB115" s="355"/>
      <c r="AC115" s="355"/>
      <c r="AD115" s="355"/>
      <c r="AE115" s="355"/>
      <c r="AF115" s="950">
        <f t="shared" si="89"/>
        <v>0</v>
      </c>
      <c r="AG115" s="6"/>
      <c r="AH115" s="950"/>
      <c r="AI115" s="6"/>
      <c r="AJ115" s="950"/>
      <c r="AL115" s="355">
        <f t="shared" si="85"/>
        <v>0</v>
      </c>
      <c r="AM115" s="949">
        <f t="shared" si="86"/>
        <v>0</v>
      </c>
      <c r="AN115" s="965"/>
    </row>
    <row r="116" spans="2:40" x14ac:dyDescent="0.25">
      <c r="B116" s="8">
        <v>13</v>
      </c>
      <c r="C116" s="22" t="s">
        <v>410</v>
      </c>
      <c r="D116" s="10" t="s">
        <v>234</v>
      </c>
      <c r="E116" s="26"/>
      <c r="F116" s="26">
        <f t="shared" ref="F116:Q116" si="100">F77*F96</f>
        <v>0</v>
      </c>
      <c r="G116" s="26">
        <f t="shared" si="100"/>
        <v>0</v>
      </c>
      <c r="H116" s="26">
        <f t="shared" si="100"/>
        <v>0</v>
      </c>
      <c r="I116" s="26">
        <f t="shared" si="100"/>
        <v>0</v>
      </c>
      <c r="J116" s="26">
        <f t="shared" si="100"/>
        <v>0</v>
      </c>
      <c r="K116" s="26">
        <f t="shared" si="100"/>
        <v>0</v>
      </c>
      <c r="L116" s="26">
        <f t="shared" si="100"/>
        <v>0</v>
      </c>
      <c r="M116" s="26">
        <f t="shared" si="100"/>
        <v>0</v>
      </c>
      <c r="N116" s="26">
        <f t="shared" si="100"/>
        <v>0</v>
      </c>
      <c r="O116" s="26">
        <f t="shared" si="100"/>
        <v>0</v>
      </c>
      <c r="P116" s="26">
        <f t="shared" si="100"/>
        <v>0</v>
      </c>
      <c r="Q116" s="26">
        <f t="shared" si="100"/>
        <v>0</v>
      </c>
      <c r="R116" s="205">
        <f t="shared" si="88"/>
        <v>0</v>
      </c>
      <c r="S116" s="959"/>
      <c r="T116" s="355"/>
      <c r="U116" s="355"/>
      <c r="V116" s="355"/>
      <c r="W116" s="355"/>
      <c r="X116" s="355"/>
      <c r="Y116" s="355"/>
      <c r="Z116" s="355"/>
      <c r="AA116" s="355"/>
      <c r="AB116" s="355"/>
      <c r="AC116" s="355"/>
      <c r="AD116" s="355"/>
      <c r="AE116" s="355"/>
      <c r="AF116" s="950">
        <f t="shared" si="89"/>
        <v>0</v>
      </c>
      <c r="AG116" s="6"/>
      <c r="AH116" s="950"/>
      <c r="AI116" s="6"/>
      <c r="AJ116" s="950"/>
      <c r="AL116" s="355">
        <f t="shared" si="85"/>
        <v>0</v>
      </c>
      <c r="AM116" s="949">
        <f t="shared" si="86"/>
        <v>0</v>
      </c>
      <c r="AN116" s="965"/>
    </row>
    <row r="117" spans="2:40" x14ac:dyDescent="0.25">
      <c r="B117" s="8">
        <v>14</v>
      </c>
      <c r="C117" s="9" t="s">
        <v>411</v>
      </c>
      <c r="D117" s="10" t="s">
        <v>234</v>
      </c>
      <c r="E117" s="26"/>
      <c r="F117" s="26">
        <f t="shared" ref="F117:Q117" si="101">F78*F97</f>
        <v>0</v>
      </c>
      <c r="G117" s="26">
        <f t="shared" si="101"/>
        <v>0</v>
      </c>
      <c r="H117" s="26">
        <f t="shared" si="101"/>
        <v>0</v>
      </c>
      <c r="I117" s="26">
        <f t="shared" si="101"/>
        <v>0</v>
      </c>
      <c r="J117" s="26">
        <f t="shared" si="101"/>
        <v>0</v>
      </c>
      <c r="K117" s="26">
        <f t="shared" si="101"/>
        <v>0</v>
      </c>
      <c r="L117" s="26">
        <f t="shared" si="101"/>
        <v>0</v>
      </c>
      <c r="M117" s="26">
        <f t="shared" si="101"/>
        <v>0</v>
      </c>
      <c r="N117" s="26">
        <f t="shared" si="101"/>
        <v>0</v>
      </c>
      <c r="O117" s="26">
        <f t="shared" si="101"/>
        <v>0</v>
      </c>
      <c r="P117" s="26">
        <f t="shared" si="101"/>
        <v>0</v>
      </c>
      <c r="Q117" s="26">
        <f t="shared" si="101"/>
        <v>0</v>
      </c>
      <c r="R117" s="205">
        <f t="shared" si="88"/>
        <v>0</v>
      </c>
      <c r="S117" s="959"/>
      <c r="T117" s="355"/>
      <c r="U117" s="355"/>
      <c r="V117" s="355"/>
      <c r="W117" s="355"/>
      <c r="X117" s="355"/>
      <c r="Y117" s="355"/>
      <c r="Z117" s="355"/>
      <c r="AA117" s="355"/>
      <c r="AB117" s="355"/>
      <c r="AC117" s="355"/>
      <c r="AD117" s="355"/>
      <c r="AE117" s="355"/>
      <c r="AF117" s="950">
        <f t="shared" si="89"/>
        <v>0</v>
      </c>
      <c r="AG117" s="6"/>
      <c r="AH117" s="950"/>
      <c r="AI117" s="6"/>
      <c r="AJ117" s="950"/>
      <c r="AL117" s="355">
        <f t="shared" si="85"/>
        <v>0</v>
      </c>
      <c r="AM117" s="949">
        <f t="shared" si="86"/>
        <v>0</v>
      </c>
      <c r="AN117" s="965"/>
    </row>
    <row r="118" spans="2:40" x14ac:dyDescent="0.25">
      <c r="B118" s="8">
        <v>15</v>
      </c>
      <c r="C118" s="9" t="s">
        <v>25</v>
      </c>
      <c r="D118" s="10" t="s">
        <v>234</v>
      </c>
      <c r="E118" s="26"/>
      <c r="F118" s="26">
        <f t="shared" ref="F118:Q118" si="102">F79*F98</f>
        <v>0</v>
      </c>
      <c r="G118" s="26">
        <f t="shared" si="102"/>
        <v>0</v>
      </c>
      <c r="H118" s="26">
        <f t="shared" si="102"/>
        <v>0</v>
      </c>
      <c r="I118" s="26">
        <f t="shared" si="102"/>
        <v>0</v>
      </c>
      <c r="J118" s="26">
        <f t="shared" si="102"/>
        <v>0</v>
      </c>
      <c r="K118" s="26">
        <f t="shared" si="102"/>
        <v>0</v>
      </c>
      <c r="L118" s="26">
        <f t="shared" si="102"/>
        <v>0</v>
      </c>
      <c r="M118" s="26">
        <f t="shared" si="102"/>
        <v>0</v>
      </c>
      <c r="N118" s="26">
        <f t="shared" si="102"/>
        <v>0</v>
      </c>
      <c r="O118" s="26">
        <f t="shared" si="102"/>
        <v>0</v>
      </c>
      <c r="P118" s="26">
        <f t="shared" si="102"/>
        <v>0</v>
      </c>
      <c r="Q118" s="26">
        <f t="shared" si="102"/>
        <v>0</v>
      </c>
      <c r="R118" s="205">
        <f t="shared" si="88"/>
        <v>0</v>
      </c>
      <c r="S118" s="959"/>
      <c r="T118" s="355"/>
      <c r="U118" s="355"/>
      <c r="V118" s="355"/>
      <c r="W118" s="355"/>
      <c r="X118" s="355"/>
      <c r="Y118" s="355"/>
      <c r="Z118" s="355"/>
      <c r="AA118" s="355"/>
      <c r="AB118" s="355"/>
      <c r="AC118" s="355"/>
      <c r="AD118" s="355"/>
      <c r="AE118" s="355"/>
      <c r="AF118" s="950">
        <f t="shared" si="89"/>
        <v>0</v>
      </c>
      <c r="AG118" s="6"/>
      <c r="AH118" s="950"/>
      <c r="AI118" s="6"/>
      <c r="AJ118" s="950"/>
      <c r="AL118" s="355">
        <f t="shared" si="85"/>
        <v>0</v>
      </c>
      <c r="AM118" s="949">
        <f t="shared" si="86"/>
        <v>0</v>
      </c>
      <c r="AN118" s="964"/>
    </row>
    <row r="119" spans="2:40" x14ac:dyDescent="0.3">
      <c r="B119" s="23"/>
      <c r="C119" s="24" t="s">
        <v>41</v>
      </c>
      <c r="D119" s="25"/>
      <c r="E119" s="27">
        <f>SUM(E104:E118)</f>
        <v>0</v>
      </c>
      <c r="F119" s="27">
        <f>SUM(F104:F118)</f>
        <v>0</v>
      </c>
      <c r="G119" s="27">
        <f t="shared" ref="G119:Q119" si="103">SUM(G104:G118)</f>
        <v>0</v>
      </c>
      <c r="H119" s="27">
        <f t="shared" si="103"/>
        <v>0</v>
      </c>
      <c r="I119" s="27">
        <f t="shared" si="103"/>
        <v>0</v>
      </c>
      <c r="J119" s="27">
        <f t="shared" si="103"/>
        <v>0</v>
      </c>
      <c r="K119" s="27">
        <f t="shared" si="103"/>
        <v>0</v>
      </c>
      <c r="L119" s="27">
        <f t="shared" si="103"/>
        <v>0</v>
      </c>
      <c r="M119" s="27">
        <f t="shared" si="103"/>
        <v>0</v>
      </c>
      <c r="N119" s="27">
        <f t="shared" si="103"/>
        <v>0</v>
      </c>
      <c r="O119" s="27">
        <f t="shared" si="103"/>
        <v>0</v>
      </c>
      <c r="P119" s="27">
        <f t="shared" si="103"/>
        <v>0</v>
      </c>
      <c r="Q119" s="27">
        <f t="shared" si="103"/>
        <v>0</v>
      </c>
      <c r="R119" s="27">
        <f t="shared" ref="R119" si="104">SUM(F119:Q119)</f>
        <v>0</v>
      </c>
      <c r="S119" s="959"/>
      <c r="T119" s="951">
        <f>SUM(T104:T118)</f>
        <v>0</v>
      </c>
      <c r="U119" s="951">
        <f t="shared" ref="U119:AE119" si="105">SUM(U104:U118)</f>
        <v>0</v>
      </c>
      <c r="V119" s="951">
        <f t="shared" si="105"/>
        <v>0</v>
      </c>
      <c r="W119" s="951">
        <f t="shared" si="105"/>
        <v>0</v>
      </c>
      <c r="X119" s="951">
        <f t="shared" si="105"/>
        <v>0</v>
      </c>
      <c r="Y119" s="951">
        <f t="shared" si="105"/>
        <v>0</v>
      </c>
      <c r="Z119" s="951">
        <f t="shared" si="105"/>
        <v>0</v>
      </c>
      <c r="AA119" s="951">
        <f t="shared" si="105"/>
        <v>0</v>
      </c>
      <c r="AB119" s="951">
        <f t="shared" si="105"/>
        <v>0</v>
      </c>
      <c r="AC119" s="951">
        <f t="shared" si="105"/>
        <v>0</v>
      </c>
      <c r="AD119" s="951">
        <f t="shared" si="105"/>
        <v>0</v>
      </c>
      <c r="AE119" s="951">
        <f t="shared" si="105"/>
        <v>0</v>
      </c>
      <c r="AF119" s="951">
        <f t="shared" si="89"/>
        <v>0</v>
      </c>
      <c r="AG119" s="6"/>
      <c r="AH119" s="951">
        <f>SUM(AH104:AH118)</f>
        <v>0</v>
      </c>
      <c r="AI119" s="6"/>
      <c r="AJ119" s="951">
        <f>SUM(AJ104:AJ118)</f>
        <v>0</v>
      </c>
      <c r="AL119" s="370">
        <f t="shared" si="85"/>
        <v>0</v>
      </c>
      <c r="AM119" s="906">
        <f t="shared" si="86"/>
        <v>0</v>
      </c>
      <c r="AN119" s="5"/>
    </row>
    <row r="120" spans="2:40" x14ac:dyDescent="0.3"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G120" s="6"/>
      <c r="AI120" s="6"/>
      <c r="AJ120" s="5"/>
      <c r="AL120" s="5"/>
      <c r="AM120" s="5"/>
      <c r="AN120" s="5"/>
    </row>
    <row r="121" spans="2:40" ht="21" customHeight="1" x14ac:dyDescent="0.3">
      <c r="B121" s="138" t="s">
        <v>1617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G121" s="6"/>
      <c r="AI121" s="6"/>
      <c r="AJ121" s="5"/>
      <c r="AL121" s="5"/>
      <c r="AM121" s="5"/>
      <c r="AN121" s="967"/>
    </row>
    <row r="122" spans="2:40" ht="25.5" customHeight="1" x14ac:dyDescent="0.25">
      <c r="B122" s="141" t="s">
        <v>0</v>
      </c>
      <c r="C122" s="141" t="s">
        <v>1791</v>
      </c>
      <c r="D122" s="141" t="s">
        <v>11</v>
      </c>
      <c r="E122" s="269" t="s">
        <v>1814</v>
      </c>
      <c r="F122" s="7" t="s">
        <v>56</v>
      </c>
      <c r="G122" s="7" t="s">
        <v>57</v>
      </c>
      <c r="H122" s="7" t="s">
        <v>58</v>
      </c>
      <c r="I122" s="7" t="s">
        <v>59</v>
      </c>
      <c r="J122" s="7" t="s">
        <v>60</v>
      </c>
      <c r="K122" s="7" t="s">
        <v>61</v>
      </c>
      <c r="L122" s="7" t="s">
        <v>62</v>
      </c>
      <c r="M122" s="7" t="s">
        <v>63</v>
      </c>
      <c r="N122" s="7" t="s">
        <v>64</v>
      </c>
      <c r="O122" s="7" t="s">
        <v>65</v>
      </c>
      <c r="P122" s="7" t="s">
        <v>66</v>
      </c>
      <c r="Q122" s="7" t="s">
        <v>67</v>
      </c>
      <c r="R122" s="7" t="s">
        <v>2246</v>
      </c>
      <c r="S122" s="196"/>
      <c r="T122" s="942" t="s">
        <v>56</v>
      </c>
      <c r="U122" s="942" t="s">
        <v>57</v>
      </c>
      <c r="V122" s="942" t="s">
        <v>58</v>
      </c>
      <c r="W122" s="942" t="s">
        <v>59</v>
      </c>
      <c r="X122" s="942" t="s">
        <v>60</v>
      </c>
      <c r="Y122" s="942" t="s">
        <v>61</v>
      </c>
      <c r="Z122" s="942" t="s">
        <v>62</v>
      </c>
      <c r="AA122" s="942" t="s">
        <v>63</v>
      </c>
      <c r="AB122" s="942" t="s">
        <v>64</v>
      </c>
      <c r="AC122" s="942" t="s">
        <v>65</v>
      </c>
      <c r="AD122" s="942" t="s">
        <v>66</v>
      </c>
      <c r="AE122" s="942" t="s">
        <v>67</v>
      </c>
      <c r="AF122" s="942" t="s">
        <v>405</v>
      </c>
      <c r="AG122" s="36"/>
      <c r="AH122" s="942" t="s">
        <v>1942</v>
      </c>
      <c r="AI122" s="36"/>
      <c r="AJ122" s="942" t="s">
        <v>1943</v>
      </c>
      <c r="AK122" s="36"/>
      <c r="AL122" s="943" t="s">
        <v>749</v>
      </c>
      <c r="AM122" s="944" t="s">
        <v>750</v>
      </c>
      <c r="AN122" s="963"/>
    </row>
    <row r="123" spans="2:40" x14ac:dyDescent="0.25">
      <c r="B123" s="8">
        <v>1</v>
      </c>
      <c r="C123" s="22" t="s">
        <v>338</v>
      </c>
      <c r="D123" s="10" t="s">
        <v>22</v>
      </c>
      <c r="E123" s="26"/>
      <c r="F123" s="357">
        <f>'3.Thanh pham'!H$141</f>
        <v>0</v>
      </c>
      <c r="G123" s="357">
        <f>'3.Thanh pham'!I$141</f>
        <v>0</v>
      </c>
      <c r="H123" s="357">
        <f>'3.Thanh pham'!J$141</f>
        <v>0</v>
      </c>
      <c r="I123" s="357">
        <f>'3.Thanh pham'!K$141</f>
        <v>0</v>
      </c>
      <c r="J123" s="357">
        <f>'3.Thanh pham'!L$141</f>
        <v>0</v>
      </c>
      <c r="K123" s="357">
        <f>'3.Thanh pham'!M$141</f>
        <v>0</v>
      </c>
      <c r="L123" s="357">
        <f>'3.Thanh pham'!N$141</f>
        <v>0</v>
      </c>
      <c r="M123" s="357">
        <f>'3.Thanh pham'!O$141</f>
        <v>0</v>
      </c>
      <c r="N123" s="357">
        <f>'3.Thanh pham'!P$141</f>
        <v>0</v>
      </c>
      <c r="O123" s="357">
        <f>'3.Thanh pham'!Q$141</f>
        <v>0</v>
      </c>
      <c r="P123" s="357">
        <f>'3.Thanh pham'!R$141</f>
        <v>0</v>
      </c>
      <c r="Q123" s="357">
        <f>'3.Thanh pham'!S$141</f>
        <v>0</v>
      </c>
      <c r="R123" s="203">
        <f>SUM(F123:Q123)</f>
        <v>0</v>
      </c>
      <c r="S123" s="956"/>
      <c r="T123" s="955"/>
      <c r="U123" s="955"/>
      <c r="V123" s="955"/>
      <c r="W123" s="955"/>
      <c r="X123" s="955"/>
      <c r="Y123" s="955"/>
      <c r="Z123" s="955"/>
      <c r="AA123" s="955"/>
      <c r="AB123" s="955"/>
      <c r="AC123" s="955"/>
      <c r="AD123" s="955"/>
      <c r="AE123" s="955"/>
      <c r="AF123" s="354"/>
      <c r="AG123" s="6"/>
      <c r="AH123" s="354"/>
      <c r="AI123" s="6"/>
      <c r="AJ123" s="354"/>
      <c r="AL123" s="355">
        <f t="shared" ref="AL123:AL125" si="106">IFERROR(R123-AF123,0)</f>
        <v>0</v>
      </c>
      <c r="AM123" s="949">
        <f t="shared" ref="AM123:AM125" si="107">IFERROR((R123/AF123)-1,0)</f>
        <v>0</v>
      </c>
      <c r="AN123" s="965"/>
    </row>
    <row r="124" spans="2:40" ht="12.5" x14ac:dyDescent="0.25">
      <c r="B124" s="8">
        <v>2</v>
      </c>
      <c r="C124" s="22" t="s">
        <v>339</v>
      </c>
      <c r="D124" s="10" t="s">
        <v>52</v>
      </c>
      <c r="E124" s="26"/>
      <c r="F124" s="188">
        <f>AK123+AK124</f>
        <v>0</v>
      </c>
      <c r="G124" s="188">
        <f>$F$124</f>
        <v>0</v>
      </c>
      <c r="H124" s="188">
        <f t="shared" ref="H124:Q124" si="108">$F$124</f>
        <v>0</v>
      </c>
      <c r="I124" s="188">
        <f t="shared" si="108"/>
        <v>0</v>
      </c>
      <c r="J124" s="188">
        <f t="shared" si="108"/>
        <v>0</v>
      </c>
      <c r="K124" s="188">
        <f t="shared" si="108"/>
        <v>0</v>
      </c>
      <c r="L124" s="188">
        <f t="shared" si="108"/>
        <v>0</v>
      </c>
      <c r="M124" s="188">
        <f t="shared" si="108"/>
        <v>0</v>
      </c>
      <c r="N124" s="188">
        <f t="shared" si="108"/>
        <v>0</v>
      </c>
      <c r="O124" s="188">
        <f t="shared" si="108"/>
        <v>0</v>
      </c>
      <c r="P124" s="188">
        <f t="shared" si="108"/>
        <v>0</v>
      </c>
      <c r="Q124" s="188">
        <f t="shared" si="108"/>
        <v>0</v>
      </c>
      <c r="R124" s="188">
        <f>$F$124</f>
        <v>0</v>
      </c>
      <c r="S124" s="962"/>
      <c r="T124" s="953"/>
      <c r="U124" s="953"/>
      <c r="V124" s="953"/>
      <c r="W124" s="953"/>
      <c r="X124" s="953"/>
      <c r="Y124" s="953"/>
      <c r="Z124" s="953"/>
      <c r="AA124" s="953"/>
      <c r="AB124" s="953"/>
      <c r="AC124" s="953"/>
      <c r="AD124" s="953"/>
      <c r="AE124" s="953"/>
      <c r="AF124" s="953"/>
      <c r="AG124" s="6"/>
      <c r="AH124" s="953"/>
      <c r="AI124" s="6"/>
      <c r="AJ124" s="953"/>
      <c r="AL124" s="355">
        <f t="shared" si="106"/>
        <v>0</v>
      </c>
      <c r="AM124" s="949">
        <f t="shared" si="107"/>
        <v>0</v>
      </c>
      <c r="AN124" s="965"/>
    </row>
    <row r="125" spans="2:40" s="5" customFormat="1" x14ac:dyDescent="0.3">
      <c r="B125" s="12">
        <v>3</v>
      </c>
      <c r="C125" s="13" t="s">
        <v>340</v>
      </c>
      <c r="D125" s="14" t="s">
        <v>234</v>
      </c>
      <c r="E125" s="205"/>
      <c r="F125" s="205">
        <f>F123*F124</f>
        <v>0</v>
      </c>
      <c r="G125" s="205">
        <f t="shared" ref="G125:R125" si="109">G123*G124</f>
        <v>0</v>
      </c>
      <c r="H125" s="205">
        <f t="shared" si="109"/>
        <v>0</v>
      </c>
      <c r="I125" s="205">
        <f t="shared" si="109"/>
        <v>0</v>
      </c>
      <c r="J125" s="205">
        <f t="shared" si="109"/>
        <v>0</v>
      </c>
      <c r="K125" s="205">
        <f t="shared" si="109"/>
        <v>0</v>
      </c>
      <c r="L125" s="205">
        <f t="shared" si="109"/>
        <v>0</v>
      </c>
      <c r="M125" s="205">
        <f t="shared" si="109"/>
        <v>0</v>
      </c>
      <c r="N125" s="205">
        <f t="shared" si="109"/>
        <v>0</v>
      </c>
      <c r="O125" s="205">
        <f t="shared" si="109"/>
        <v>0</v>
      </c>
      <c r="P125" s="205">
        <f t="shared" si="109"/>
        <v>0</v>
      </c>
      <c r="Q125" s="205">
        <f t="shared" si="109"/>
        <v>0</v>
      </c>
      <c r="R125" s="205">
        <f t="shared" si="109"/>
        <v>0</v>
      </c>
      <c r="S125" s="959"/>
      <c r="T125" s="950"/>
      <c r="U125" s="950"/>
      <c r="V125" s="950"/>
      <c r="W125" s="950"/>
      <c r="X125" s="950"/>
      <c r="Y125" s="950"/>
      <c r="Z125" s="950"/>
      <c r="AA125" s="950"/>
      <c r="AB125" s="950"/>
      <c r="AC125" s="950"/>
      <c r="AD125" s="950"/>
      <c r="AE125" s="950"/>
      <c r="AF125" s="950"/>
      <c r="AH125" s="950"/>
      <c r="AJ125" s="950"/>
      <c r="AL125" s="355">
        <f t="shared" si="106"/>
        <v>0</v>
      </c>
      <c r="AM125" s="949">
        <f t="shared" si="107"/>
        <v>0</v>
      </c>
      <c r="AN125" s="965"/>
    </row>
    <row r="126" spans="2:40" x14ac:dyDescent="0.3">
      <c r="K126" s="966"/>
      <c r="L126" s="966"/>
      <c r="M126" s="966"/>
      <c r="N126" s="966"/>
      <c r="O126" s="966"/>
      <c r="P126" s="966"/>
      <c r="Q126" s="966"/>
      <c r="T126" s="973"/>
      <c r="U126" s="973"/>
      <c r="V126" s="973"/>
      <c r="W126" s="973"/>
      <c r="X126" s="973"/>
      <c r="Y126" s="973"/>
      <c r="Z126" s="973"/>
      <c r="AA126" s="973"/>
      <c r="AB126" s="973"/>
      <c r="AC126" s="973"/>
      <c r="AD126" s="973"/>
      <c r="AE126" s="973"/>
      <c r="AF126" s="974"/>
      <c r="AG126" s="6"/>
      <c r="AH126" s="974"/>
      <c r="AI126" s="6"/>
      <c r="AJ126" s="974"/>
      <c r="AL126" s="975">
        <f t="shared" ref="AL126:AL138" si="110">IFERROR(R126-AF126,0)</f>
        <v>0</v>
      </c>
      <c r="AM126" s="976"/>
      <c r="AN126" s="965"/>
    </row>
    <row r="127" spans="2:40" x14ac:dyDescent="0.3">
      <c r="T127" s="977"/>
      <c r="U127" s="977"/>
      <c r="V127" s="977"/>
      <c r="W127" s="977"/>
      <c r="X127" s="977"/>
      <c r="Y127" s="977"/>
      <c r="Z127" s="977"/>
      <c r="AA127" s="977"/>
      <c r="AB127" s="977"/>
      <c r="AC127" s="977"/>
      <c r="AD127" s="977"/>
      <c r="AE127" s="977"/>
      <c r="AF127" s="956"/>
      <c r="AG127" s="6"/>
      <c r="AH127" s="956"/>
      <c r="AI127" s="6"/>
      <c r="AJ127" s="956"/>
      <c r="AL127" s="978">
        <f t="shared" si="110"/>
        <v>0</v>
      </c>
      <c r="AM127" s="965"/>
      <c r="AN127" s="965"/>
    </row>
    <row r="128" spans="2:40" x14ac:dyDescent="0.3">
      <c r="T128" s="977"/>
      <c r="U128" s="977"/>
      <c r="V128" s="977"/>
      <c r="W128" s="977"/>
      <c r="X128" s="977"/>
      <c r="Y128" s="977"/>
      <c r="Z128" s="977"/>
      <c r="AA128" s="977"/>
      <c r="AB128" s="977"/>
      <c r="AC128" s="977"/>
      <c r="AD128" s="977"/>
      <c r="AE128" s="977"/>
      <c r="AF128" s="956"/>
      <c r="AG128" s="6"/>
      <c r="AH128" s="956"/>
      <c r="AI128" s="6"/>
      <c r="AJ128" s="956"/>
      <c r="AL128" s="978">
        <f t="shared" si="110"/>
        <v>0</v>
      </c>
      <c r="AM128" s="965"/>
      <c r="AN128" s="965"/>
    </row>
    <row r="129" spans="20:40" x14ac:dyDescent="0.3">
      <c r="T129" s="977"/>
      <c r="U129" s="977"/>
      <c r="V129" s="977"/>
      <c r="W129" s="977"/>
      <c r="X129" s="977"/>
      <c r="Y129" s="977"/>
      <c r="Z129" s="977"/>
      <c r="AA129" s="977"/>
      <c r="AB129" s="977"/>
      <c r="AC129" s="977"/>
      <c r="AD129" s="977"/>
      <c r="AE129" s="977"/>
      <c r="AF129" s="956"/>
      <c r="AG129" s="6"/>
      <c r="AH129" s="956"/>
      <c r="AI129" s="6"/>
      <c r="AJ129" s="956"/>
      <c r="AL129" s="978">
        <f t="shared" si="110"/>
        <v>0</v>
      </c>
      <c r="AM129" s="965"/>
      <c r="AN129" s="965"/>
    </row>
    <row r="130" spans="20:40" x14ac:dyDescent="0.3">
      <c r="T130" s="977"/>
      <c r="U130" s="977"/>
      <c r="V130" s="977"/>
      <c r="W130" s="977"/>
      <c r="X130" s="977"/>
      <c r="Y130" s="977"/>
      <c r="Z130" s="977"/>
      <c r="AA130" s="977"/>
      <c r="AB130" s="977"/>
      <c r="AC130" s="977"/>
      <c r="AD130" s="977"/>
      <c r="AE130" s="977"/>
      <c r="AF130" s="956"/>
      <c r="AG130" s="6"/>
      <c r="AH130" s="956"/>
      <c r="AI130" s="6"/>
      <c r="AJ130" s="956"/>
      <c r="AL130" s="978">
        <f t="shared" si="110"/>
        <v>0</v>
      </c>
      <c r="AM130" s="965"/>
      <c r="AN130" s="965"/>
    </row>
    <row r="131" spans="20:40" x14ac:dyDescent="0.3">
      <c r="T131" s="977"/>
      <c r="U131" s="977"/>
      <c r="V131" s="977"/>
      <c r="W131" s="977"/>
      <c r="X131" s="977"/>
      <c r="Y131" s="977"/>
      <c r="Z131" s="977"/>
      <c r="AA131" s="977"/>
      <c r="AB131" s="977"/>
      <c r="AC131" s="977"/>
      <c r="AD131" s="977"/>
      <c r="AE131" s="977"/>
      <c r="AF131" s="956"/>
      <c r="AG131" s="6"/>
      <c r="AH131" s="956"/>
      <c r="AI131" s="6"/>
      <c r="AJ131" s="956"/>
      <c r="AL131" s="978">
        <f t="shared" si="110"/>
        <v>0</v>
      </c>
      <c r="AM131" s="965"/>
      <c r="AN131" s="965"/>
    </row>
    <row r="132" spans="20:40" x14ac:dyDescent="0.3">
      <c r="T132" s="977"/>
      <c r="U132" s="977"/>
      <c r="V132" s="977"/>
      <c r="W132" s="977"/>
      <c r="X132" s="977"/>
      <c r="Y132" s="977"/>
      <c r="Z132" s="977"/>
      <c r="AA132" s="977"/>
      <c r="AB132" s="977"/>
      <c r="AC132" s="977"/>
      <c r="AD132" s="977"/>
      <c r="AE132" s="977"/>
      <c r="AF132" s="960"/>
      <c r="AG132" s="6"/>
      <c r="AH132" s="960"/>
      <c r="AI132" s="6"/>
      <c r="AJ132" s="960"/>
      <c r="AL132" s="978">
        <f t="shared" si="110"/>
        <v>0</v>
      </c>
      <c r="AM132" s="965"/>
      <c r="AN132" s="965"/>
    </row>
    <row r="133" spans="20:40" x14ac:dyDescent="0.3">
      <c r="T133" s="977"/>
      <c r="U133" s="977"/>
      <c r="V133" s="977"/>
      <c r="W133" s="977"/>
      <c r="X133" s="977"/>
      <c r="Y133" s="977"/>
      <c r="Z133" s="977"/>
      <c r="AA133" s="977"/>
      <c r="AB133" s="977"/>
      <c r="AC133" s="977"/>
      <c r="AD133" s="977"/>
      <c r="AE133" s="977"/>
      <c r="AF133" s="956"/>
      <c r="AG133" s="6"/>
      <c r="AH133" s="956"/>
      <c r="AI133" s="6"/>
      <c r="AJ133" s="956"/>
      <c r="AL133" s="978">
        <f t="shared" si="110"/>
        <v>0</v>
      </c>
      <c r="AM133" s="965"/>
      <c r="AN133" s="965"/>
    </row>
    <row r="134" spans="20:40" x14ac:dyDescent="0.3">
      <c r="T134" s="977"/>
      <c r="U134" s="977"/>
      <c r="V134" s="977"/>
      <c r="W134" s="977"/>
      <c r="X134" s="977"/>
      <c r="Y134" s="977"/>
      <c r="Z134" s="977"/>
      <c r="AA134" s="977"/>
      <c r="AB134" s="977"/>
      <c r="AC134" s="977"/>
      <c r="AD134" s="977"/>
      <c r="AE134" s="977"/>
      <c r="AF134" s="956"/>
      <c r="AG134" s="6"/>
      <c r="AH134" s="956"/>
      <c r="AI134" s="6"/>
      <c r="AJ134" s="956"/>
      <c r="AL134" s="978">
        <f t="shared" si="110"/>
        <v>0</v>
      </c>
      <c r="AM134" s="965"/>
      <c r="AN134" s="965"/>
    </row>
    <row r="135" spans="20:40" x14ac:dyDescent="0.3">
      <c r="T135" s="977"/>
      <c r="U135" s="977"/>
      <c r="V135" s="977"/>
      <c r="W135" s="977"/>
      <c r="X135" s="977"/>
      <c r="Y135" s="977"/>
      <c r="Z135" s="977"/>
      <c r="AA135" s="977"/>
      <c r="AB135" s="977"/>
      <c r="AC135" s="977"/>
      <c r="AD135" s="977"/>
      <c r="AE135" s="977"/>
      <c r="AF135" s="956"/>
      <c r="AG135" s="6"/>
      <c r="AH135" s="956"/>
      <c r="AI135" s="6"/>
      <c r="AJ135" s="956"/>
      <c r="AL135" s="978">
        <f t="shared" si="110"/>
        <v>0</v>
      </c>
      <c r="AM135" s="965"/>
      <c r="AN135" s="965"/>
    </row>
    <row r="136" spans="20:40" x14ac:dyDescent="0.3">
      <c r="T136" s="977"/>
      <c r="U136" s="977"/>
      <c r="V136" s="977"/>
      <c r="W136" s="977"/>
      <c r="X136" s="977"/>
      <c r="Y136" s="977"/>
      <c r="Z136" s="977"/>
      <c r="AA136" s="977"/>
      <c r="AB136" s="977"/>
      <c r="AC136" s="977"/>
      <c r="AD136" s="977"/>
      <c r="AE136" s="977"/>
      <c r="AF136" s="956"/>
      <c r="AG136" s="6"/>
      <c r="AH136" s="956"/>
      <c r="AI136" s="6"/>
      <c r="AJ136" s="956"/>
      <c r="AL136" s="978">
        <f t="shared" si="110"/>
        <v>0</v>
      </c>
      <c r="AM136" s="965"/>
      <c r="AN136" s="965"/>
    </row>
    <row r="137" spans="20:40" x14ac:dyDescent="0.3">
      <c r="T137" s="977"/>
      <c r="U137" s="977"/>
      <c r="V137" s="977"/>
      <c r="W137" s="977"/>
      <c r="X137" s="977"/>
      <c r="Y137" s="977"/>
      <c r="Z137" s="977"/>
      <c r="AA137" s="977"/>
      <c r="AB137" s="977"/>
      <c r="AC137" s="977"/>
      <c r="AD137" s="977"/>
      <c r="AE137" s="977"/>
      <c r="AF137" s="956"/>
      <c r="AG137" s="6"/>
      <c r="AH137" s="956"/>
      <c r="AI137" s="6"/>
      <c r="AJ137" s="956"/>
      <c r="AL137" s="978">
        <f t="shared" si="110"/>
        <v>0</v>
      </c>
      <c r="AM137" s="965"/>
      <c r="AN137" s="965"/>
    </row>
    <row r="138" spans="20:40" x14ac:dyDescent="0.3">
      <c r="T138" s="956">
        <f>SUM(T123:T137)</f>
        <v>0</v>
      </c>
      <c r="U138" s="956">
        <f t="shared" ref="U138:AE138" si="111">SUM(U123:U137)</f>
        <v>0</v>
      </c>
      <c r="V138" s="956">
        <f t="shared" si="111"/>
        <v>0</v>
      </c>
      <c r="W138" s="956">
        <f t="shared" si="111"/>
        <v>0</v>
      </c>
      <c r="X138" s="956">
        <f t="shared" si="111"/>
        <v>0</v>
      </c>
      <c r="Y138" s="956">
        <f t="shared" si="111"/>
        <v>0</v>
      </c>
      <c r="Z138" s="956">
        <f t="shared" si="111"/>
        <v>0</v>
      </c>
      <c r="AA138" s="956">
        <f t="shared" si="111"/>
        <v>0</v>
      </c>
      <c r="AB138" s="956">
        <f t="shared" si="111"/>
        <v>0</v>
      </c>
      <c r="AC138" s="956">
        <f t="shared" si="111"/>
        <v>0</v>
      </c>
      <c r="AD138" s="956">
        <f t="shared" si="111"/>
        <v>0</v>
      </c>
      <c r="AE138" s="956">
        <f t="shared" si="111"/>
        <v>0</v>
      </c>
      <c r="AF138" s="956">
        <f t="shared" ref="AF138" si="112">SUM(T138:AE138)</f>
        <v>0</v>
      </c>
      <c r="AG138" s="6"/>
      <c r="AH138" s="956">
        <f t="shared" ref="AH138" si="113">SUM(V138:AG138)</f>
        <v>0</v>
      </c>
      <c r="AI138" s="6"/>
      <c r="AJ138" s="956">
        <f t="shared" ref="AJ138" si="114">SUM(X138:AI138)</f>
        <v>0</v>
      </c>
      <c r="AL138" s="956">
        <f t="shared" si="110"/>
        <v>0</v>
      </c>
      <c r="AM138" s="964"/>
      <c r="AN138" s="964"/>
    </row>
    <row r="139" spans="20:40" x14ac:dyDescent="0.3"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G139" s="6"/>
      <c r="AI139" s="6"/>
      <c r="AJ139" s="5"/>
      <c r="AL139" s="5"/>
      <c r="AM139" s="5"/>
      <c r="AN139" s="5"/>
    </row>
    <row r="140" spans="20:40" x14ac:dyDescent="0.3"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967"/>
      <c r="AG140" s="6"/>
      <c r="AH140" s="967"/>
      <c r="AI140" s="6"/>
      <c r="AJ140" s="967"/>
      <c r="AL140" s="967"/>
      <c r="AM140" s="967"/>
      <c r="AN140" s="967"/>
    </row>
    <row r="141" spans="20:40" x14ac:dyDescent="0.3"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36"/>
      <c r="AH141" s="196"/>
      <c r="AI141" s="36"/>
      <c r="AJ141" s="196"/>
      <c r="AK141" s="36"/>
      <c r="AL141" s="196"/>
      <c r="AM141" s="963"/>
      <c r="AN141" s="963"/>
    </row>
    <row r="142" spans="20:40" x14ac:dyDescent="0.3">
      <c r="T142" s="962"/>
      <c r="U142" s="962"/>
      <c r="V142" s="962"/>
      <c r="W142" s="962"/>
      <c r="X142" s="962"/>
      <c r="Y142" s="962"/>
      <c r="Z142" s="962"/>
      <c r="AA142" s="962"/>
      <c r="AB142" s="962"/>
      <c r="AC142" s="962"/>
      <c r="AD142" s="962"/>
      <c r="AE142" s="962"/>
      <c r="AF142" s="961"/>
      <c r="AG142" s="6"/>
      <c r="AH142" s="961"/>
      <c r="AI142" s="6"/>
      <c r="AJ142" s="961"/>
      <c r="AL142" s="978"/>
      <c r="AM142" s="965"/>
      <c r="AN142" s="965"/>
    </row>
    <row r="143" spans="20:40" x14ac:dyDescent="0.3">
      <c r="T143" s="962"/>
      <c r="U143" s="962"/>
      <c r="V143" s="962"/>
      <c r="W143" s="962"/>
      <c r="X143" s="962"/>
      <c r="Y143" s="962"/>
      <c r="Z143" s="962"/>
      <c r="AA143" s="962"/>
      <c r="AB143" s="962"/>
      <c r="AC143" s="962"/>
      <c r="AD143" s="962"/>
      <c r="AE143" s="962"/>
      <c r="AF143" s="961"/>
      <c r="AG143" s="6"/>
      <c r="AH143" s="961"/>
      <c r="AI143" s="6"/>
      <c r="AJ143" s="961"/>
      <c r="AL143" s="978"/>
      <c r="AM143" s="965"/>
      <c r="AN143" s="965"/>
    </row>
    <row r="144" spans="20:40" x14ac:dyDescent="0.3">
      <c r="T144" s="962"/>
      <c r="U144" s="962"/>
      <c r="V144" s="962"/>
      <c r="W144" s="962"/>
      <c r="X144" s="962"/>
      <c r="Y144" s="962"/>
      <c r="Z144" s="962"/>
      <c r="AA144" s="962"/>
      <c r="AB144" s="962"/>
      <c r="AC144" s="962"/>
      <c r="AD144" s="962"/>
      <c r="AE144" s="962"/>
      <c r="AF144" s="961"/>
      <c r="AG144" s="6"/>
      <c r="AH144" s="961"/>
      <c r="AI144" s="6"/>
      <c r="AJ144" s="961"/>
      <c r="AL144" s="978"/>
      <c r="AM144" s="965"/>
      <c r="AN144" s="965"/>
    </row>
    <row r="145" spans="20:40" x14ac:dyDescent="0.3">
      <c r="T145" s="962"/>
      <c r="U145" s="962"/>
      <c r="V145" s="962"/>
      <c r="W145" s="962"/>
      <c r="X145" s="962"/>
      <c r="Y145" s="962"/>
      <c r="Z145" s="962"/>
      <c r="AA145" s="962"/>
      <c r="AB145" s="962"/>
      <c r="AC145" s="962"/>
      <c r="AD145" s="962"/>
      <c r="AE145" s="962"/>
      <c r="AF145" s="961"/>
      <c r="AG145" s="6"/>
      <c r="AH145" s="961"/>
      <c r="AI145" s="6"/>
      <c r="AJ145" s="961"/>
      <c r="AL145" s="978"/>
      <c r="AM145" s="965"/>
      <c r="AN145" s="965"/>
    </row>
    <row r="146" spans="20:40" x14ac:dyDescent="0.3">
      <c r="T146" s="962"/>
      <c r="U146" s="962"/>
      <c r="V146" s="962"/>
      <c r="W146" s="962"/>
      <c r="X146" s="962"/>
      <c r="Y146" s="962"/>
      <c r="Z146" s="962"/>
      <c r="AA146" s="962"/>
      <c r="AB146" s="962"/>
      <c r="AC146" s="962"/>
      <c r="AD146" s="962"/>
      <c r="AE146" s="962"/>
      <c r="AF146" s="961"/>
      <c r="AG146" s="6"/>
      <c r="AH146" s="961"/>
      <c r="AI146" s="6"/>
      <c r="AJ146" s="961"/>
      <c r="AL146" s="978"/>
      <c r="AM146" s="965"/>
      <c r="AN146" s="965"/>
    </row>
    <row r="147" spans="20:40" x14ac:dyDescent="0.3">
      <c r="T147" s="962"/>
      <c r="U147" s="962"/>
      <c r="V147" s="962"/>
      <c r="W147" s="962"/>
      <c r="X147" s="962"/>
      <c r="Y147" s="962"/>
      <c r="Z147" s="962"/>
      <c r="AA147" s="962"/>
      <c r="AB147" s="962"/>
      <c r="AC147" s="962"/>
      <c r="AD147" s="962"/>
      <c r="AE147" s="962"/>
      <c r="AF147" s="961"/>
      <c r="AG147" s="6"/>
      <c r="AH147" s="961"/>
      <c r="AI147" s="6"/>
      <c r="AJ147" s="961"/>
      <c r="AL147" s="978"/>
      <c r="AM147" s="965"/>
      <c r="AN147" s="965"/>
    </row>
    <row r="148" spans="20:40" x14ac:dyDescent="0.3">
      <c r="T148" s="962"/>
      <c r="U148" s="962"/>
      <c r="V148" s="962"/>
      <c r="W148" s="962"/>
      <c r="X148" s="962"/>
      <c r="Y148" s="962"/>
      <c r="Z148" s="962"/>
      <c r="AA148" s="962"/>
      <c r="AB148" s="962"/>
      <c r="AC148" s="962"/>
      <c r="AD148" s="962"/>
      <c r="AE148" s="962"/>
      <c r="AF148" s="961"/>
      <c r="AG148" s="6"/>
      <c r="AH148" s="961"/>
      <c r="AI148" s="6"/>
      <c r="AJ148" s="961"/>
      <c r="AL148" s="978"/>
      <c r="AM148" s="965"/>
      <c r="AN148" s="965"/>
    </row>
    <row r="149" spans="20:40" x14ac:dyDescent="0.3">
      <c r="T149" s="962"/>
      <c r="U149" s="962"/>
      <c r="V149" s="962"/>
      <c r="W149" s="962"/>
      <c r="X149" s="962"/>
      <c r="Y149" s="962"/>
      <c r="Z149" s="962"/>
      <c r="AA149" s="962"/>
      <c r="AB149" s="962"/>
      <c r="AC149" s="962"/>
      <c r="AD149" s="962"/>
      <c r="AE149" s="962"/>
      <c r="AF149" s="961"/>
      <c r="AG149" s="6"/>
      <c r="AH149" s="961"/>
      <c r="AI149" s="6"/>
      <c r="AJ149" s="961"/>
      <c r="AL149" s="978"/>
      <c r="AM149" s="965"/>
      <c r="AN149" s="965"/>
    </row>
    <row r="150" spans="20:40" x14ac:dyDescent="0.3">
      <c r="T150" s="962"/>
      <c r="U150" s="962"/>
      <c r="V150" s="962"/>
      <c r="W150" s="962"/>
      <c r="X150" s="962"/>
      <c r="Y150" s="962"/>
      <c r="Z150" s="962"/>
      <c r="AA150" s="962"/>
      <c r="AB150" s="962"/>
      <c r="AC150" s="962"/>
      <c r="AD150" s="962"/>
      <c r="AE150" s="962"/>
      <c r="AF150" s="961"/>
      <c r="AG150" s="6"/>
      <c r="AH150" s="961"/>
      <c r="AI150" s="6"/>
      <c r="AJ150" s="961"/>
      <c r="AL150" s="978"/>
      <c r="AM150" s="965"/>
      <c r="AN150" s="965"/>
    </row>
    <row r="151" spans="20:40" x14ac:dyDescent="0.3">
      <c r="T151" s="962"/>
      <c r="U151" s="962"/>
      <c r="V151" s="962"/>
      <c r="W151" s="962"/>
      <c r="X151" s="962"/>
      <c r="Y151" s="962"/>
      <c r="Z151" s="962"/>
      <c r="AA151" s="962"/>
      <c r="AB151" s="962"/>
      <c r="AC151" s="962"/>
      <c r="AD151" s="962"/>
      <c r="AE151" s="962"/>
      <c r="AF151" s="961"/>
      <c r="AG151" s="6"/>
      <c r="AH151" s="961"/>
      <c r="AI151" s="6"/>
      <c r="AJ151" s="961"/>
      <c r="AL151" s="978"/>
      <c r="AM151" s="965"/>
      <c r="AN151" s="965"/>
    </row>
    <row r="152" spans="20:40" x14ac:dyDescent="0.3">
      <c r="T152" s="962"/>
      <c r="U152" s="962"/>
      <c r="V152" s="962"/>
      <c r="W152" s="962"/>
      <c r="X152" s="962"/>
      <c r="Y152" s="962"/>
      <c r="Z152" s="962"/>
      <c r="AA152" s="962"/>
      <c r="AB152" s="962"/>
      <c r="AC152" s="962"/>
      <c r="AD152" s="962"/>
      <c r="AE152" s="962"/>
      <c r="AF152" s="961"/>
      <c r="AG152" s="6"/>
      <c r="AH152" s="961"/>
      <c r="AI152" s="6"/>
      <c r="AJ152" s="961"/>
      <c r="AL152" s="978"/>
      <c r="AM152" s="965"/>
      <c r="AN152" s="965"/>
    </row>
    <row r="153" spans="20:40" x14ac:dyDescent="0.3">
      <c r="T153" s="962"/>
      <c r="U153" s="962"/>
      <c r="V153" s="962"/>
      <c r="W153" s="962"/>
      <c r="X153" s="962"/>
      <c r="Y153" s="962"/>
      <c r="Z153" s="962"/>
      <c r="AA153" s="962"/>
      <c r="AB153" s="962"/>
      <c r="AC153" s="962"/>
      <c r="AD153" s="962"/>
      <c r="AE153" s="962"/>
      <c r="AF153" s="961"/>
      <c r="AG153" s="6"/>
      <c r="AH153" s="961"/>
      <c r="AI153" s="6"/>
      <c r="AJ153" s="961"/>
      <c r="AL153" s="978"/>
      <c r="AM153" s="965"/>
      <c r="AN153" s="965"/>
    </row>
    <row r="154" spans="20:40" x14ac:dyDescent="0.3">
      <c r="T154" s="962"/>
      <c r="U154" s="962"/>
      <c r="V154" s="962"/>
      <c r="W154" s="962"/>
      <c r="X154" s="962"/>
      <c r="Y154" s="962"/>
      <c r="Z154" s="962"/>
      <c r="AA154" s="962"/>
      <c r="AB154" s="962"/>
      <c r="AC154" s="962"/>
      <c r="AD154" s="962"/>
      <c r="AE154" s="962"/>
      <c r="AF154" s="961"/>
      <c r="AG154" s="6"/>
      <c r="AH154" s="961"/>
      <c r="AI154" s="6"/>
      <c r="AJ154" s="961"/>
      <c r="AL154" s="978"/>
      <c r="AM154" s="965"/>
      <c r="AN154" s="965"/>
    </row>
    <row r="155" spans="20:40" x14ac:dyDescent="0.3">
      <c r="T155" s="962"/>
      <c r="U155" s="962"/>
      <c r="V155" s="962"/>
      <c r="W155" s="962"/>
      <c r="X155" s="962"/>
      <c r="Y155" s="962"/>
      <c r="Z155" s="962"/>
      <c r="AA155" s="962"/>
      <c r="AB155" s="962"/>
      <c r="AC155" s="962"/>
      <c r="AD155" s="962"/>
      <c r="AE155" s="962"/>
      <c r="AF155" s="961"/>
      <c r="AG155" s="6"/>
      <c r="AH155" s="961"/>
      <c r="AI155" s="6"/>
      <c r="AJ155" s="961"/>
      <c r="AL155" s="978"/>
      <c r="AM155" s="965"/>
      <c r="AN155" s="965"/>
    </row>
    <row r="156" spans="20:40" x14ac:dyDescent="0.3">
      <c r="T156" s="962"/>
      <c r="U156" s="962"/>
      <c r="V156" s="962"/>
      <c r="W156" s="962"/>
      <c r="X156" s="962"/>
      <c r="Y156" s="962"/>
      <c r="Z156" s="962"/>
      <c r="AA156" s="962"/>
      <c r="AB156" s="962"/>
      <c r="AC156" s="962"/>
      <c r="AD156" s="962"/>
      <c r="AE156" s="962"/>
      <c r="AF156" s="961"/>
      <c r="AG156" s="6"/>
      <c r="AH156" s="961"/>
      <c r="AI156" s="6"/>
      <c r="AJ156" s="961"/>
      <c r="AL156" s="978"/>
      <c r="AM156" s="965"/>
      <c r="AN156" s="965"/>
    </row>
    <row r="157" spans="20:40" x14ac:dyDescent="0.3">
      <c r="T157" s="962"/>
      <c r="U157" s="962"/>
      <c r="V157" s="962"/>
      <c r="W157" s="962"/>
      <c r="X157" s="962"/>
      <c r="Y157" s="962"/>
      <c r="Z157" s="962"/>
      <c r="AA157" s="962"/>
      <c r="AB157" s="962"/>
      <c r="AC157" s="962"/>
      <c r="AD157" s="962"/>
      <c r="AE157" s="962"/>
      <c r="AF157" s="961"/>
      <c r="AG157" s="6"/>
      <c r="AH157" s="961"/>
      <c r="AI157" s="6"/>
      <c r="AJ157" s="961"/>
      <c r="AL157" s="978"/>
      <c r="AM157" s="965"/>
      <c r="AN157" s="965"/>
    </row>
    <row r="158" spans="20:40" x14ac:dyDescent="0.3">
      <c r="T158" s="956"/>
      <c r="U158" s="956"/>
      <c r="V158" s="956"/>
      <c r="W158" s="956"/>
      <c r="X158" s="956"/>
      <c r="Y158" s="956"/>
      <c r="Z158" s="956"/>
      <c r="AA158" s="956"/>
      <c r="AB158" s="956"/>
      <c r="AC158" s="956"/>
      <c r="AD158" s="956"/>
      <c r="AE158" s="956"/>
      <c r="AF158" s="956"/>
      <c r="AG158" s="6"/>
      <c r="AH158" s="956"/>
      <c r="AI158" s="6"/>
      <c r="AJ158" s="956"/>
      <c r="AL158" s="956"/>
      <c r="AM158" s="964"/>
      <c r="AN158" s="964"/>
    </row>
    <row r="159" spans="20:40" x14ac:dyDescent="0.3"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G159" s="6"/>
      <c r="AI159" s="6"/>
      <c r="AJ159" s="5"/>
      <c r="AL159" s="5"/>
      <c r="AM159" s="5"/>
      <c r="AN159" s="5"/>
    </row>
    <row r="160" spans="20:40" x14ac:dyDescent="0.3"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967"/>
      <c r="AG160" s="6"/>
      <c r="AH160" s="967"/>
      <c r="AI160" s="6"/>
      <c r="AJ160" s="967"/>
      <c r="AL160" s="967"/>
      <c r="AM160" s="967"/>
      <c r="AN160" s="967"/>
    </row>
    <row r="161" spans="20:40" x14ac:dyDescent="0.3"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36"/>
      <c r="AH161" s="196"/>
      <c r="AI161" s="36"/>
      <c r="AJ161" s="196"/>
      <c r="AK161" s="36"/>
      <c r="AL161" s="196"/>
      <c r="AM161" s="963"/>
      <c r="AN161" s="963"/>
    </row>
    <row r="162" spans="20:40" x14ac:dyDescent="0.3">
      <c r="T162" s="978"/>
      <c r="U162" s="978"/>
      <c r="V162" s="978"/>
      <c r="W162" s="978"/>
      <c r="X162" s="978"/>
      <c r="Y162" s="978"/>
      <c r="Z162" s="978"/>
      <c r="AA162" s="978"/>
      <c r="AB162" s="978"/>
      <c r="AC162" s="978"/>
      <c r="AD162" s="978"/>
      <c r="AE162" s="978"/>
      <c r="AF162" s="959"/>
      <c r="AG162" s="6"/>
      <c r="AH162" s="959"/>
      <c r="AI162" s="6"/>
      <c r="AJ162" s="959"/>
      <c r="AL162" s="978"/>
      <c r="AM162" s="965"/>
      <c r="AN162" s="965"/>
    </row>
    <row r="163" spans="20:40" x14ac:dyDescent="0.3">
      <c r="T163" s="978"/>
      <c r="U163" s="978"/>
      <c r="V163" s="978"/>
      <c r="W163" s="978"/>
      <c r="X163" s="978"/>
      <c r="Y163" s="978"/>
      <c r="Z163" s="978"/>
      <c r="AA163" s="978"/>
      <c r="AB163" s="978"/>
      <c r="AC163" s="978"/>
      <c r="AD163" s="978"/>
      <c r="AE163" s="978"/>
      <c r="AF163" s="959"/>
      <c r="AG163" s="6"/>
      <c r="AH163" s="959"/>
      <c r="AI163" s="6"/>
      <c r="AJ163" s="959"/>
      <c r="AL163" s="978"/>
      <c r="AM163" s="965"/>
      <c r="AN163" s="965"/>
    </row>
    <row r="164" spans="20:40" x14ac:dyDescent="0.3">
      <c r="T164" s="978"/>
      <c r="U164" s="978"/>
      <c r="V164" s="978"/>
      <c r="W164" s="978"/>
      <c r="X164" s="978"/>
      <c r="Y164" s="978"/>
      <c r="Z164" s="978"/>
      <c r="AA164" s="978"/>
      <c r="AB164" s="978"/>
      <c r="AC164" s="978"/>
      <c r="AD164" s="978"/>
      <c r="AE164" s="978"/>
      <c r="AF164" s="959"/>
      <c r="AG164" s="6"/>
      <c r="AH164" s="959"/>
      <c r="AI164" s="6"/>
      <c r="AJ164" s="959"/>
      <c r="AL164" s="978"/>
      <c r="AM164" s="965"/>
      <c r="AN164" s="965"/>
    </row>
    <row r="165" spans="20:40" x14ac:dyDescent="0.3">
      <c r="T165" s="978"/>
      <c r="U165" s="978"/>
      <c r="V165" s="978"/>
      <c r="W165" s="978"/>
      <c r="X165" s="978"/>
      <c r="Y165" s="978"/>
      <c r="Z165" s="978"/>
      <c r="AA165" s="978"/>
      <c r="AB165" s="978"/>
      <c r="AC165" s="978"/>
      <c r="AD165" s="978"/>
      <c r="AE165" s="978"/>
      <c r="AF165" s="959"/>
      <c r="AG165" s="6"/>
      <c r="AH165" s="959"/>
      <c r="AI165" s="6"/>
      <c r="AJ165" s="959"/>
      <c r="AL165" s="978"/>
      <c r="AM165" s="965"/>
      <c r="AN165" s="965"/>
    </row>
    <row r="166" spans="20:40" x14ac:dyDescent="0.3">
      <c r="T166" s="978"/>
      <c r="U166" s="978"/>
      <c r="V166" s="978"/>
      <c r="W166" s="978"/>
      <c r="X166" s="978"/>
      <c r="Y166" s="978"/>
      <c r="Z166" s="978"/>
      <c r="AA166" s="978"/>
      <c r="AB166" s="978"/>
      <c r="AC166" s="978"/>
      <c r="AD166" s="978"/>
      <c r="AE166" s="978"/>
      <c r="AF166" s="959"/>
      <c r="AG166" s="6"/>
      <c r="AH166" s="959"/>
      <c r="AI166" s="6"/>
      <c r="AJ166" s="959"/>
      <c r="AL166" s="978"/>
      <c r="AM166" s="965"/>
      <c r="AN166" s="965"/>
    </row>
    <row r="167" spans="20:40" x14ac:dyDescent="0.3">
      <c r="T167" s="978"/>
      <c r="U167" s="978"/>
      <c r="V167" s="978"/>
      <c r="W167" s="978"/>
      <c r="X167" s="978"/>
      <c r="Y167" s="978"/>
      <c r="Z167" s="978"/>
      <c r="AA167" s="978"/>
      <c r="AB167" s="978"/>
      <c r="AC167" s="978"/>
      <c r="AD167" s="978"/>
      <c r="AE167" s="978"/>
      <c r="AF167" s="959"/>
      <c r="AG167" s="6"/>
      <c r="AH167" s="959"/>
      <c r="AI167" s="6"/>
      <c r="AJ167" s="959"/>
      <c r="AL167" s="978"/>
      <c r="AM167" s="965"/>
      <c r="AN167" s="965"/>
    </row>
    <row r="168" spans="20:40" x14ac:dyDescent="0.3">
      <c r="T168" s="978"/>
      <c r="U168" s="978"/>
      <c r="V168" s="978"/>
      <c r="W168" s="978"/>
      <c r="X168" s="978"/>
      <c r="Y168" s="978"/>
      <c r="Z168" s="978"/>
      <c r="AA168" s="978"/>
      <c r="AB168" s="978"/>
      <c r="AC168" s="978"/>
      <c r="AD168" s="978"/>
      <c r="AE168" s="978"/>
      <c r="AF168" s="959"/>
      <c r="AG168" s="6"/>
      <c r="AH168" s="959"/>
      <c r="AI168" s="6"/>
      <c r="AJ168" s="959"/>
      <c r="AL168" s="978"/>
      <c r="AM168" s="965"/>
      <c r="AN168" s="965"/>
    </row>
    <row r="169" spans="20:40" x14ac:dyDescent="0.3">
      <c r="T169" s="978"/>
      <c r="U169" s="978"/>
      <c r="V169" s="978"/>
      <c r="W169" s="978"/>
      <c r="X169" s="978"/>
      <c r="Y169" s="978"/>
      <c r="Z169" s="978"/>
      <c r="AA169" s="978"/>
      <c r="AB169" s="978"/>
      <c r="AC169" s="978"/>
      <c r="AD169" s="978"/>
      <c r="AE169" s="978"/>
      <c r="AF169" s="959"/>
      <c r="AG169" s="6"/>
      <c r="AH169" s="959"/>
      <c r="AI169" s="6"/>
      <c r="AJ169" s="959"/>
      <c r="AL169" s="978"/>
      <c r="AM169" s="965"/>
      <c r="AN169" s="965"/>
    </row>
    <row r="170" spans="20:40" x14ac:dyDescent="0.3">
      <c r="T170" s="978"/>
      <c r="U170" s="978"/>
      <c r="V170" s="978"/>
      <c r="W170" s="978"/>
      <c r="X170" s="978"/>
      <c r="Y170" s="978"/>
      <c r="Z170" s="978"/>
      <c r="AA170" s="978"/>
      <c r="AB170" s="978"/>
      <c r="AC170" s="978"/>
      <c r="AD170" s="978"/>
      <c r="AE170" s="978"/>
      <c r="AF170" s="959"/>
      <c r="AG170" s="6"/>
      <c r="AH170" s="959"/>
      <c r="AI170" s="6"/>
      <c r="AJ170" s="959"/>
      <c r="AL170" s="978"/>
      <c r="AM170" s="965"/>
      <c r="AN170" s="965"/>
    </row>
    <row r="171" spans="20:40" x14ac:dyDescent="0.3">
      <c r="T171" s="978"/>
      <c r="U171" s="978"/>
      <c r="V171" s="978"/>
      <c r="W171" s="978"/>
      <c r="X171" s="978"/>
      <c r="Y171" s="978"/>
      <c r="Z171" s="978"/>
      <c r="AA171" s="978"/>
      <c r="AB171" s="978"/>
      <c r="AC171" s="978"/>
      <c r="AD171" s="978"/>
      <c r="AE171" s="978"/>
      <c r="AF171" s="959"/>
      <c r="AG171" s="6"/>
      <c r="AH171" s="959"/>
      <c r="AI171" s="6"/>
      <c r="AJ171" s="959"/>
      <c r="AL171" s="978"/>
      <c r="AM171" s="965"/>
      <c r="AN171" s="965"/>
    </row>
    <row r="172" spans="20:40" x14ac:dyDescent="0.3">
      <c r="T172" s="978"/>
      <c r="U172" s="978"/>
      <c r="V172" s="978"/>
      <c r="W172" s="978"/>
      <c r="X172" s="978"/>
      <c r="Y172" s="978"/>
      <c r="Z172" s="978"/>
      <c r="AA172" s="978"/>
      <c r="AB172" s="978"/>
      <c r="AC172" s="978"/>
      <c r="AD172" s="978"/>
      <c r="AE172" s="978"/>
      <c r="AF172" s="959"/>
      <c r="AG172" s="6"/>
      <c r="AH172" s="959"/>
      <c r="AI172" s="6"/>
      <c r="AJ172" s="959"/>
      <c r="AL172" s="978"/>
      <c r="AM172" s="965"/>
      <c r="AN172" s="965"/>
    </row>
    <row r="173" spans="20:40" x14ac:dyDescent="0.3">
      <c r="T173" s="978"/>
      <c r="U173" s="978"/>
      <c r="V173" s="978"/>
      <c r="W173" s="978"/>
      <c r="X173" s="978"/>
      <c r="Y173" s="978"/>
      <c r="Z173" s="978"/>
      <c r="AA173" s="978"/>
      <c r="AB173" s="978"/>
      <c r="AC173" s="978"/>
      <c r="AD173" s="978"/>
      <c r="AE173" s="978"/>
      <c r="AF173" s="959"/>
      <c r="AG173" s="6"/>
      <c r="AH173" s="959"/>
      <c r="AI173" s="6"/>
      <c r="AJ173" s="959"/>
      <c r="AL173" s="978"/>
      <c r="AM173" s="965"/>
      <c r="AN173" s="965"/>
    </row>
    <row r="174" spans="20:40" x14ac:dyDescent="0.3">
      <c r="T174" s="978"/>
      <c r="U174" s="978"/>
      <c r="V174" s="978"/>
      <c r="W174" s="978"/>
      <c r="X174" s="978"/>
      <c r="Y174" s="978"/>
      <c r="Z174" s="978"/>
      <c r="AA174" s="978"/>
      <c r="AB174" s="978"/>
      <c r="AC174" s="978"/>
      <c r="AD174" s="978"/>
      <c r="AE174" s="978"/>
      <c r="AF174" s="959"/>
      <c r="AG174" s="6"/>
      <c r="AH174" s="959"/>
      <c r="AI174" s="6"/>
      <c r="AJ174" s="959"/>
      <c r="AL174" s="978"/>
      <c r="AM174" s="965"/>
      <c r="AN174" s="965"/>
    </row>
    <row r="175" spans="20:40" x14ac:dyDescent="0.3">
      <c r="T175" s="978"/>
      <c r="U175" s="978"/>
      <c r="V175" s="978"/>
      <c r="W175" s="978"/>
      <c r="X175" s="978"/>
      <c r="Y175" s="978"/>
      <c r="Z175" s="978"/>
      <c r="AA175" s="978"/>
      <c r="AB175" s="978"/>
      <c r="AC175" s="978"/>
      <c r="AD175" s="978"/>
      <c r="AE175" s="978"/>
      <c r="AF175" s="959"/>
      <c r="AG175" s="6"/>
      <c r="AH175" s="959"/>
      <c r="AI175" s="6"/>
      <c r="AJ175" s="959"/>
      <c r="AL175" s="978"/>
      <c r="AM175" s="965"/>
      <c r="AN175" s="965"/>
    </row>
    <row r="176" spans="20:40" x14ac:dyDescent="0.3">
      <c r="T176" s="978"/>
      <c r="U176" s="978"/>
      <c r="V176" s="978"/>
      <c r="W176" s="978"/>
      <c r="X176" s="978"/>
      <c r="Y176" s="978"/>
      <c r="Z176" s="978"/>
      <c r="AA176" s="978"/>
      <c r="AB176" s="978"/>
      <c r="AC176" s="978"/>
      <c r="AD176" s="978"/>
      <c r="AE176" s="978"/>
      <c r="AF176" s="959"/>
      <c r="AG176" s="6"/>
      <c r="AH176" s="959"/>
      <c r="AI176" s="6"/>
      <c r="AJ176" s="959"/>
      <c r="AL176" s="978"/>
      <c r="AM176" s="965"/>
      <c r="AN176" s="965"/>
    </row>
    <row r="177" spans="20:40" x14ac:dyDescent="0.3">
      <c r="T177" s="959"/>
      <c r="U177" s="959"/>
      <c r="V177" s="959"/>
      <c r="W177" s="959"/>
      <c r="X177" s="959"/>
      <c r="Y177" s="959"/>
      <c r="Z177" s="959"/>
      <c r="AA177" s="959"/>
      <c r="AB177" s="959"/>
      <c r="AC177" s="959"/>
      <c r="AD177" s="959"/>
      <c r="AE177" s="959"/>
      <c r="AF177" s="959"/>
      <c r="AG177" s="6"/>
      <c r="AH177" s="959"/>
      <c r="AI177" s="6"/>
      <c r="AJ177" s="959"/>
      <c r="AL177" s="956"/>
      <c r="AM177" s="964"/>
      <c r="AN177" s="964"/>
    </row>
    <row r="178" spans="20:40" x14ac:dyDescent="0.3"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G178" s="6"/>
      <c r="AI178" s="6"/>
      <c r="AJ178" s="5"/>
      <c r="AL178" s="5"/>
      <c r="AM178" s="5"/>
      <c r="AN178" s="5"/>
    </row>
    <row r="179" spans="20:40" x14ac:dyDescent="0.3"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G179" s="6"/>
      <c r="AI179" s="6"/>
      <c r="AJ179" s="5"/>
      <c r="AL179" s="5"/>
      <c r="AM179" s="5"/>
      <c r="AN179" s="5"/>
    </row>
    <row r="180" spans="20:40" x14ac:dyDescent="0.3"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36"/>
      <c r="AH180" s="196"/>
      <c r="AI180" s="36"/>
      <c r="AJ180" s="196"/>
      <c r="AK180" s="36"/>
      <c r="AL180" s="196"/>
      <c r="AM180" s="963"/>
      <c r="AN180" s="963"/>
    </row>
    <row r="181" spans="20:40" x14ac:dyDescent="0.3">
      <c r="T181" s="979"/>
      <c r="U181" s="979"/>
      <c r="V181" s="979"/>
      <c r="W181" s="979"/>
      <c r="X181" s="979"/>
      <c r="Y181" s="979"/>
      <c r="Z181" s="979"/>
      <c r="AA181" s="979"/>
      <c r="AB181" s="979"/>
      <c r="AC181" s="979"/>
      <c r="AD181" s="979"/>
      <c r="AE181" s="979"/>
      <c r="AF181" s="956"/>
      <c r="AG181" s="6"/>
      <c r="AH181" s="956"/>
      <c r="AI181" s="6"/>
      <c r="AJ181" s="956"/>
      <c r="AL181" s="978"/>
      <c r="AM181" s="965"/>
      <c r="AN181" s="965"/>
    </row>
    <row r="182" spans="20:40" x14ac:dyDescent="0.3">
      <c r="T182" s="962"/>
      <c r="U182" s="962"/>
      <c r="V182" s="962"/>
      <c r="W182" s="962"/>
      <c r="X182" s="962"/>
      <c r="Y182" s="962"/>
      <c r="Z182" s="962"/>
      <c r="AA182" s="962"/>
      <c r="AB182" s="962"/>
      <c r="AC182" s="962"/>
      <c r="AD182" s="962"/>
      <c r="AE182" s="962"/>
      <c r="AF182" s="962"/>
      <c r="AG182" s="6"/>
      <c r="AH182" s="962"/>
      <c r="AI182" s="6"/>
      <c r="AJ182" s="962"/>
      <c r="AL182" s="978"/>
      <c r="AM182" s="965"/>
      <c r="AN182" s="965"/>
    </row>
    <row r="183" spans="20:40" x14ac:dyDescent="0.3">
      <c r="T183" s="959"/>
      <c r="U183" s="959"/>
      <c r="V183" s="959"/>
      <c r="W183" s="959"/>
      <c r="X183" s="959"/>
      <c r="Y183" s="959"/>
      <c r="Z183" s="959"/>
      <c r="AA183" s="959"/>
      <c r="AB183" s="959"/>
      <c r="AC183" s="959"/>
      <c r="AD183" s="959"/>
      <c r="AE183" s="959"/>
      <c r="AF183" s="959"/>
      <c r="AH183" s="959"/>
      <c r="AJ183" s="959"/>
      <c r="AK183" s="5"/>
      <c r="AL183" s="978"/>
      <c r="AM183" s="965"/>
      <c r="AN183" s="965"/>
    </row>
  </sheetData>
  <mergeCells count="12">
    <mergeCell ref="AT83:AT84"/>
    <mergeCell ref="AU83:AU84"/>
    <mergeCell ref="AO25:AO26"/>
    <mergeCell ref="AP25:AP26"/>
    <mergeCell ref="AR25:AS25"/>
    <mergeCell ref="AT25:AT26"/>
    <mergeCell ref="AU25:AU26"/>
    <mergeCell ref="AQ25:AQ26"/>
    <mergeCell ref="AQ83:AQ84"/>
    <mergeCell ref="AO83:AO84"/>
    <mergeCell ref="AP83:AP84"/>
    <mergeCell ref="AR83:AS8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FA59-AB61-49AE-A6E0-4ACE98C96713}">
  <sheetPr>
    <tabColor theme="9" tint="0.79998168889431442"/>
  </sheetPr>
  <dimension ref="B1:X58"/>
  <sheetViews>
    <sheetView showGridLines="0" topLeftCell="A27" zoomScale="80" zoomScaleNormal="80" workbookViewId="0">
      <selection activeCell="Q34" sqref="Q34"/>
    </sheetView>
  </sheetViews>
  <sheetFormatPr defaultColWidth="8.54296875" defaultRowHeight="12.5" x14ac:dyDescent="0.25"/>
  <cols>
    <col min="1" max="1" width="1.54296875" style="6" customWidth="1"/>
    <col min="2" max="2" width="9.453125" style="6" customWidth="1"/>
    <col min="3" max="3" width="28.54296875" style="6" customWidth="1"/>
    <col min="4" max="4" width="11.1796875" style="6" customWidth="1"/>
    <col min="5" max="7" width="8.7265625" style="6" customWidth="1"/>
    <col min="8" max="19" width="8.54296875" style="6" customWidth="1"/>
    <col min="20" max="20" width="10.453125" style="6" customWidth="1"/>
    <col min="21" max="21" width="18.54296875" style="6" bestFit="1" customWidth="1"/>
    <col min="22" max="22" width="12.453125" style="6" bestFit="1" customWidth="1"/>
    <col min="23" max="23" width="15.453125" style="6" bestFit="1" customWidth="1"/>
    <col min="24" max="24" width="16.81640625" style="6" bestFit="1" customWidth="1"/>
    <col min="25" max="16384" width="8.54296875" style="6"/>
  </cols>
  <sheetData>
    <row r="1" spans="2:24" ht="15.5" x14ac:dyDescent="0.25">
      <c r="B1" s="469" t="s">
        <v>398</v>
      </c>
    </row>
    <row r="3" spans="2:24" ht="13" x14ac:dyDescent="0.3">
      <c r="B3" s="139" t="s">
        <v>71</v>
      </c>
    </row>
    <row r="4" spans="2:24" ht="13" x14ac:dyDescent="0.3">
      <c r="B4" s="5" t="s">
        <v>75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2:24" ht="39.65" customHeight="1" x14ac:dyDescent="0.25">
      <c r="B5" s="7" t="s">
        <v>0</v>
      </c>
      <c r="C5" s="7" t="s">
        <v>72</v>
      </c>
      <c r="D5" s="7" t="s">
        <v>11</v>
      </c>
      <c r="E5" s="269" t="s">
        <v>1943</v>
      </c>
      <c r="F5" s="269" t="s">
        <v>1942</v>
      </c>
      <c r="G5" s="7" t="s">
        <v>405</v>
      </c>
      <c r="H5" s="7" t="s">
        <v>56</v>
      </c>
      <c r="I5" s="7" t="s">
        <v>57</v>
      </c>
      <c r="J5" s="7" t="s">
        <v>58</v>
      </c>
      <c r="K5" s="7" t="s">
        <v>59</v>
      </c>
      <c r="L5" s="7" t="s">
        <v>60</v>
      </c>
      <c r="M5" s="7" t="s">
        <v>61</v>
      </c>
      <c r="N5" s="7" t="s">
        <v>62</v>
      </c>
      <c r="O5" s="7" t="s">
        <v>63</v>
      </c>
      <c r="P5" s="7" t="s">
        <v>64</v>
      </c>
      <c r="Q5" s="7" t="s">
        <v>65</v>
      </c>
      <c r="R5" s="7" t="s">
        <v>66</v>
      </c>
      <c r="S5" s="7" t="s">
        <v>67</v>
      </c>
      <c r="T5" s="7" t="s">
        <v>2246</v>
      </c>
    </row>
    <row r="6" spans="2:24" s="16" customFormat="1" ht="13" x14ac:dyDescent="0.25">
      <c r="B6" s="148" t="s">
        <v>80</v>
      </c>
      <c r="C6" s="149"/>
      <c r="D6" s="149"/>
      <c r="E6" s="1225"/>
      <c r="F6" s="1225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2:24" s="16" customFormat="1" x14ac:dyDescent="0.25">
      <c r="B7" s="8">
        <v>1</v>
      </c>
      <c r="C7" s="9" t="s">
        <v>332</v>
      </c>
      <c r="D7" s="17" t="s">
        <v>24</v>
      </c>
      <c r="E7" s="893">
        <f>E13/$E$16</f>
        <v>0.86355497212783827</v>
      </c>
      <c r="F7" s="893">
        <f>F13/$F$16</f>
        <v>0.89366931210889744</v>
      </c>
      <c r="G7" s="893">
        <v>0.7</v>
      </c>
      <c r="H7" s="893">
        <v>0.65</v>
      </c>
      <c r="I7" s="893">
        <v>0.65</v>
      </c>
      <c r="J7" s="893">
        <v>0.65</v>
      </c>
      <c r="K7" s="893">
        <v>0.65</v>
      </c>
      <c r="L7" s="893">
        <v>0.65</v>
      </c>
      <c r="M7" s="893">
        <v>0.65</v>
      </c>
      <c r="N7" s="893">
        <v>0.65</v>
      </c>
      <c r="O7" s="893">
        <v>0.65</v>
      </c>
      <c r="P7" s="893">
        <v>0.65</v>
      </c>
      <c r="Q7" s="893">
        <v>0.65</v>
      </c>
      <c r="R7" s="893">
        <v>0.65</v>
      </c>
      <c r="S7" s="893">
        <v>0.65</v>
      </c>
      <c r="T7" s="18">
        <f>AVERAGEA(H7:S7)</f>
        <v>0.65000000000000013</v>
      </c>
    </row>
    <row r="8" spans="2:24" s="16" customFormat="1" x14ac:dyDescent="0.25">
      <c r="B8" s="8">
        <v>2</v>
      </c>
      <c r="C8" s="9" t="s">
        <v>333</v>
      </c>
      <c r="D8" s="17" t="s">
        <v>24</v>
      </c>
      <c r="E8" s="893">
        <f t="shared" ref="E8:E9" si="0">E14/$E$16</f>
        <v>0.13644502787216173</v>
      </c>
      <c r="F8" s="893">
        <f t="shared" ref="F8:F9" si="1">F14/$F$16</f>
        <v>7.6005834188107455E-2</v>
      </c>
      <c r="G8" s="893">
        <v>0.28000000000000003</v>
      </c>
      <c r="H8" s="893">
        <v>0.35</v>
      </c>
      <c r="I8" s="893">
        <v>0.35</v>
      </c>
      <c r="J8" s="893">
        <v>0.35</v>
      </c>
      <c r="K8" s="893">
        <v>0.35</v>
      </c>
      <c r="L8" s="893">
        <v>0.35</v>
      </c>
      <c r="M8" s="893">
        <v>0.35</v>
      </c>
      <c r="N8" s="893">
        <v>0.35</v>
      </c>
      <c r="O8" s="893">
        <v>0.35</v>
      </c>
      <c r="P8" s="893">
        <v>0.35</v>
      </c>
      <c r="Q8" s="893">
        <v>0.35</v>
      </c>
      <c r="R8" s="893">
        <v>0.35</v>
      </c>
      <c r="S8" s="893">
        <v>0.35</v>
      </c>
      <c r="T8" s="18">
        <f t="shared" ref="T8:T9" si="2">AVERAGEA(H8:S8)</f>
        <v>0.35000000000000003</v>
      </c>
    </row>
    <row r="9" spans="2:24" s="16" customFormat="1" x14ac:dyDescent="0.25">
      <c r="B9" s="8">
        <v>3</v>
      </c>
      <c r="C9" s="9" t="s">
        <v>331</v>
      </c>
      <c r="D9" s="17" t="s">
        <v>24</v>
      </c>
      <c r="E9" s="893">
        <f t="shared" si="0"/>
        <v>0</v>
      </c>
      <c r="F9" s="893">
        <f t="shared" si="1"/>
        <v>3.0324853702995022E-2</v>
      </c>
      <c r="G9" s="893">
        <v>0.02</v>
      </c>
      <c r="H9" s="893">
        <v>0</v>
      </c>
      <c r="I9" s="893">
        <v>0</v>
      </c>
      <c r="J9" s="893">
        <v>0</v>
      </c>
      <c r="K9" s="893">
        <v>0</v>
      </c>
      <c r="L9" s="893">
        <v>0</v>
      </c>
      <c r="M9" s="893">
        <v>0</v>
      </c>
      <c r="N9" s="893">
        <v>0</v>
      </c>
      <c r="O9" s="893">
        <v>0</v>
      </c>
      <c r="P9" s="893">
        <v>0</v>
      </c>
      <c r="Q9" s="893">
        <v>0</v>
      </c>
      <c r="R9" s="893">
        <v>0</v>
      </c>
      <c r="S9" s="893">
        <v>0</v>
      </c>
      <c r="T9" s="18">
        <f t="shared" si="2"/>
        <v>0</v>
      </c>
    </row>
    <row r="10" spans="2:24" s="212" customFormat="1" ht="13" x14ac:dyDescent="0.3">
      <c r="B10" s="12"/>
      <c r="C10" s="13" t="s">
        <v>74</v>
      </c>
      <c r="D10" s="210"/>
      <c r="E10" s="211">
        <f t="shared" ref="E10:K10" si="3">E7+E8+E9</f>
        <v>1</v>
      </c>
      <c r="F10" s="211">
        <f t="shared" si="3"/>
        <v>0.99999999999999989</v>
      </c>
      <c r="G10" s="211">
        <f t="shared" si="3"/>
        <v>1</v>
      </c>
      <c r="H10" s="211">
        <f t="shared" si="3"/>
        <v>1</v>
      </c>
      <c r="I10" s="211">
        <f t="shared" si="3"/>
        <v>1</v>
      </c>
      <c r="J10" s="211">
        <f t="shared" si="3"/>
        <v>1</v>
      </c>
      <c r="K10" s="211">
        <f t="shared" si="3"/>
        <v>1</v>
      </c>
      <c r="L10" s="211">
        <v>1</v>
      </c>
      <c r="M10" s="211">
        <v>1</v>
      </c>
      <c r="N10" s="211">
        <v>1</v>
      </c>
      <c r="O10" s="211">
        <v>1</v>
      </c>
      <c r="P10" s="211">
        <v>1</v>
      </c>
      <c r="Q10" s="211">
        <v>1</v>
      </c>
      <c r="R10" s="211">
        <v>1</v>
      </c>
      <c r="S10" s="211">
        <v>1</v>
      </c>
      <c r="T10" s="211">
        <f>T7+T8+T9</f>
        <v>1.0000000000000002</v>
      </c>
      <c r="V10" s="16"/>
      <c r="W10" s="16"/>
      <c r="X10" s="16"/>
    </row>
    <row r="11" spans="2:24" s="212" customFormat="1" ht="13" x14ac:dyDescent="0.3">
      <c r="W11" s="426"/>
    </row>
    <row r="12" spans="2:24" s="16" customFormat="1" ht="13" x14ac:dyDescent="0.3">
      <c r="B12" s="148" t="s">
        <v>322</v>
      </c>
      <c r="C12" s="149"/>
      <c r="D12" s="149"/>
      <c r="E12" s="1225"/>
      <c r="F12" s="1225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V12" s="430" t="s">
        <v>637</v>
      </c>
      <c r="W12" s="431" t="s">
        <v>635</v>
      </c>
      <c r="X12" s="431" t="s">
        <v>636</v>
      </c>
    </row>
    <row r="13" spans="2:24" x14ac:dyDescent="0.25">
      <c r="B13" s="8">
        <v>1</v>
      </c>
      <c r="C13" s="9" t="s">
        <v>332</v>
      </c>
      <c r="D13" s="10" t="s">
        <v>22</v>
      </c>
      <c r="E13" s="894">
        <f>4553142-277838.5</f>
        <v>4275303.5</v>
      </c>
      <c r="F13" s="894">
        <f>4818936.7-267773</f>
        <v>4551163.7</v>
      </c>
      <c r="G13" s="894">
        <v>4735314</v>
      </c>
      <c r="H13" s="20">
        <f>H7*H$16</f>
        <v>390000</v>
      </c>
      <c r="I13" s="20">
        <f t="shared" ref="I13:M13" si="4">I7*I$16</f>
        <v>292500</v>
      </c>
      <c r="J13" s="20">
        <f t="shared" si="4"/>
        <v>422500</v>
      </c>
      <c r="K13" s="20">
        <f t="shared" si="4"/>
        <v>455000</v>
      </c>
      <c r="L13" s="20">
        <f t="shared" si="4"/>
        <v>455000</v>
      </c>
      <c r="M13" s="20">
        <f t="shared" si="4"/>
        <v>455000</v>
      </c>
      <c r="N13" s="20">
        <f>N7*N$16</f>
        <v>455000</v>
      </c>
      <c r="O13" s="20">
        <f t="shared" ref="O13:S13" si="5">O7*O$16</f>
        <v>455000</v>
      </c>
      <c r="P13" s="20">
        <f t="shared" si="5"/>
        <v>455000</v>
      </c>
      <c r="Q13" s="20">
        <f t="shared" si="5"/>
        <v>455000</v>
      </c>
      <c r="R13" s="20">
        <f t="shared" si="5"/>
        <v>455000</v>
      </c>
      <c r="S13" s="20">
        <f t="shared" si="5"/>
        <v>455000</v>
      </c>
      <c r="T13" s="20">
        <f>SUM(H13:S13)</f>
        <v>5200000</v>
      </c>
      <c r="V13" s="432" t="s">
        <v>632</v>
      </c>
      <c r="W13" s="284">
        <v>11857000</v>
      </c>
      <c r="X13" s="284">
        <f>W13/12</f>
        <v>988083.33333333337</v>
      </c>
    </row>
    <row r="14" spans="2:24" x14ac:dyDescent="0.25">
      <c r="B14" s="8">
        <v>2</v>
      </c>
      <c r="C14" s="9" t="s">
        <v>333</v>
      </c>
      <c r="D14" s="10" t="s">
        <v>22</v>
      </c>
      <c r="E14" s="894">
        <f>701458-25943.5</f>
        <v>675514.5</v>
      </c>
      <c r="F14" s="894">
        <f>397238-10165.3</f>
        <v>387072.7</v>
      </c>
      <c r="G14" s="894">
        <v>1802358</v>
      </c>
      <c r="H14" s="20">
        <f>H8*H$16</f>
        <v>210000</v>
      </c>
      <c r="I14" s="20">
        <f t="shared" ref="I14:M14" si="6">I8*I$16</f>
        <v>157500</v>
      </c>
      <c r="J14" s="20">
        <f t="shared" si="6"/>
        <v>227500</v>
      </c>
      <c r="K14" s="20">
        <f t="shared" si="6"/>
        <v>244999.99999999997</v>
      </c>
      <c r="L14" s="20">
        <f t="shared" si="6"/>
        <v>244999.99999999997</v>
      </c>
      <c r="M14" s="20">
        <f t="shared" si="6"/>
        <v>244999.99999999997</v>
      </c>
      <c r="N14" s="20">
        <f t="shared" ref="N14:S15" si="7">N8*N$16</f>
        <v>244999.99999999997</v>
      </c>
      <c r="O14" s="20">
        <f t="shared" si="7"/>
        <v>244999.99999999997</v>
      </c>
      <c r="P14" s="20">
        <f t="shared" si="7"/>
        <v>244999.99999999997</v>
      </c>
      <c r="Q14" s="20">
        <f t="shared" si="7"/>
        <v>244999.99999999997</v>
      </c>
      <c r="R14" s="20">
        <f t="shared" si="7"/>
        <v>244999.99999999997</v>
      </c>
      <c r="S14" s="20">
        <f t="shared" si="7"/>
        <v>244999.99999999997</v>
      </c>
      <c r="T14" s="20">
        <f t="shared" ref="T14:T15" si="8">SUM(H14:S14)</f>
        <v>2800000</v>
      </c>
      <c r="V14" s="366" t="s">
        <v>633</v>
      </c>
      <c r="W14" s="284">
        <v>8000000</v>
      </c>
      <c r="X14" s="284">
        <f t="shared" ref="X14:X15" si="9">W14/12</f>
        <v>666666.66666666663</v>
      </c>
    </row>
    <row r="15" spans="2:24" x14ac:dyDescent="0.25">
      <c r="B15" s="8">
        <v>3</v>
      </c>
      <c r="C15" s="9" t="s">
        <v>331</v>
      </c>
      <c r="D15" s="10" t="s">
        <v>22</v>
      </c>
      <c r="E15" s="894"/>
      <c r="F15" s="894">
        <f>155521-1086.5</f>
        <v>154434.5</v>
      </c>
      <c r="G15" s="894">
        <v>123861</v>
      </c>
      <c r="H15" s="20">
        <f>H9*H$16</f>
        <v>0</v>
      </c>
      <c r="I15" s="20">
        <f t="shared" ref="I15:M15" si="10">I9*I$16</f>
        <v>0</v>
      </c>
      <c r="J15" s="20">
        <f t="shared" si="10"/>
        <v>0</v>
      </c>
      <c r="K15" s="20">
        <f t="shared" si="10"/>
        <v>0</v>
      </c>
      <c r="L15" s="20">
        <f t="shared" si="10"/>
        <v>0</v>
      </c>
      <c r="M15" s="20">
        <f t="shared" si="10"/>
        <v>0</v>
      </c>
      <c r="N15" s="20">
        <f t="shared" si="7"/>
        <v>0</v>
      </c>
      <c r="O15" s="20">
        <f t="shared" si="7"/>
        <v>0</v>
      </c>
      <c r="P15" s="20">
        <f t="shared" si="7"/>
        <v>0</v>
      </c>
      <c r="Q15" s="20">
        <f t="shared" si="7"/>
        <v>0</v>
      </c>
      <c r="R15" s="20">
        <f t="shared" si="7"/>
        <v>0</v>
      </c>
      <c r="S15" s="20">
        <f t="shared" si="7"/>
        <v>0</v>
      </c>
      <c r="T15" s="20">
        <f t="shared" si="8"/>
        <v>0</v>
      </c>
      <c r="V15" s="366" t="s">
        <v>634</v>
      </c>
      <c r="W15" s="284">
        <v>7774000</v>
      </c>
      <c r="X15" s="284">
        <f t="shared" si="9"/>
        <v>647833.33333333337</v>
      </c>
    </row>
    <row r="16" spans="2:24" s="5" customFormat="1" ht="13" x14ac:dyDescent="0.3">
      <c r="B16" s="12"/>
      <c r="C16" s="13" t="s">
        <v>74</v>
      </c>
      <c r="D16" s="14" t="s">
        <v>22</v>
      </c>
      <c r="E16" s="21">
        <f>SUM(E13:E15)</f>
        <v>4950818</v>
      </c>
      <c r="F16" s="21">
        <f>SUM(F13:F15)</f>
        <v>5092670.9000000004</v>
      </c>
      <c r="G16" s="21">
        <f>SUM(G13:G15)</f>
        <v>6661533</v>
      </c>
      <c r="H16" s="908">
        <v>600000</v>
      </c>
      <c r="I16" s="908">
        <v>450000</v>
      </c>
      <c r="J16" s="908">
        <v>650000</v>
      </c>
      <c r="K16" s="908">
        <v>700000</v>
      </c>
      <c r="L16" s="908">
        <v>700000</v>
      </c>
      <c r="M16" s="908">
        <v>700000</v>
      </c>
      <c r="N16" s="908">
        <v>700000</v>
      </c>
      <c r="O16" s="908">
        <v>700000</v>
      </c>
      <c r="P16" s="908">
        <v>700000</v>
      </c>
      <c r="Q16" s="908">
        <v>700000</v>
      </c>
      <c r="R16" s="908">
        <v>700000</v>
      </c>
      <c r="S16" s="908">
        <v>700000</v>
      </c>
      <c r="T16" s="21">
        <f>SUM(H16:S16)</f>
        <v>8000000</v>
      </c>
      <c r="U16" s="425" t="s">
        <v>631</v>
      </c>
      <c r="V16" s="367" t="s">
        <v>687</v>
      </c>
      <c r="W16" s="285">
        <f>SUM(W13:W15)</f>
        <v>27631000</v>
      </c>
      <c r="X16" s="285">
        <f>SUM(X13:X15)</f>
        <v>2302583.3333333335</v>
      </c>
    </row>
    <row r="17" spans="2:24" ht="13" x14ac:dyDescent="0.3">
      <c r="T17" s="1366"/>
      <c r="V17" s="5"/>
      <c r="W17" s="429"/>
      <c r="X17" s="5"/>
    </row>
    <row r="18" spans="2:24" s="16" customFormat="1" ht="13" x14ac:dyDescent="0.25">
      <c r="B18" s="148" t="s">
        <v>348</v>
      </c>
      <c r="C18" s="149"/>
      <c r="D18" s="149"/>
      <c r="E18" s="1225"/>
      <c r="F18" s="1225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V18" s="6"/>
      <c r="W18" s="428"/>
      <c r="X18" s="6"/>
    </row>
    <row r="19" spans="2:24" ht="13" x14ac:dyDescent="0.25">
      <c r="B19" s="8">
        <v>1</v>
      </c>
      <c r="C19" s="9" t="s">
        <v>337</v>
      </c>
      <c r="D19" s="10" t="s">
        <v>22</v>
      </c>
      <c r="E19" s="283"/>
      <c r="F19" s="28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03">
        <f>SUM(H19:S19)</f>
        <v>0</v>
      </c>
      <c r="V19" s="16"/>
      <c r="W19" s="427"/>
      <c r="X19" s="16"/>
    </row>
    <row r="20" spans="2:24" ht="13" x14ac:dyDescent="0.25">
      <c r="B20" s="8">
        <v>2</v>
      </c>
      <c r="C20" s="9" t="s">
        <v>346</v>
      </c>
      <c r="D20" s="10" t="s">
        <v>52</v>
      </c>
      <c r="E20" s="283"/>
      <c r="F20" s="283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203"/>
    </row>
    <row r="21" spans="2:24" s="5" customFormat="1" ht="13" x14ac:dyDescent="0.3">
      <c r="B21" s="288">
        <v>3</v>
      </c>
      <c r="C21" s="289" t="s">
        <v>347</v>
      </c>
      <c r="D21" s="290" t="s">
        <v>234</v>
      </c>
      <c r="E21" s="1226"/>
      <c r="F21" s="1226"/>
      <c r="G21" s="291">
        <f>G19*G20</f>
        <v>0</v>
      </c>
      <c r="H21" s="291">
        <f t="shared" ref="H21:S21" si="11">H19*H20</f>
        <v>0</v>
      </c>
      <c r="I21" s="291">
        <f t="shared" si="11"/>
        <v>0</v>
      </c>
      <c r="J21" s="291">
        <f t="shared" si="11"/>
        <v>0</v>
      </c>
      <c r="K21" s="291">
        <f t="shared" si="11"/>
        <v>0</v>
      </c>
      <c r="L21" s="291">
        <f t="shared" si="11"/>
        <v>0</v>
      </c>
      <c r="M21" s="291">
        <f t="shared" si="11"/>
        <v>0</v>
      </c>
      <c r="N21" s="291">
        <f t="shared" si="11"/>
        <v>0</v>
      </c>
      <c r="O21" s="291">
        <f t="shared" si="11"/>
        <v>0</v>
      </c>
      <c r="P21" s="291">
        <f t="shared" si="11"/>
        <v>0</v>
      </c>
      <c r="Q21" s="291">
        <f t="shared" si="11"/>
        <v>0</v>
      </c>
      <c r="R21" s="291">
        <f t="shared" si="11"/>
        <v>0</v>
      </c>
      <c r="S21" s="291">
        <f t="shared" si="11"/>
        <v>0</v>
      </c>
      <c r="T21" s="291">
        <f>SUM(H21:S21)</f>
        <v>0</v>
      </c>
      <c r="V21" s="6"/>
      <c r="W21" s="6"/>
      <c r="X21" s="6"/>
    </row>
    <row r="22" spans="2:24" ht="13" x14ac:dyDescent="0.3">
      <c r="B22" s="184"/>
      <c r="C22" s="185"/>
      <c r="D22" s="186"/>
      <c r="E22" s="186"/>
      <c r="F22" s="186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2"/>
      <c r="V22" s="5"/>
      <c r="W22" s="5"/>
      <c r="X22" s="5"/>
    </row>
    <row r="23" spans="2:24" ht="13" x14ac:dyDescent="0.3">
      <c r="B23" s="5" t="s">
        <v>421</v>
      </c>
    </row>
    <row r="24" spans="2:24" ht="39.65" customHeight="1" x14ac:dyDescent="0.25">
      <c r="B24" s="7" t="s">
        <v>0</v>
      </c>
      <c r="C24" s="7" t="s">
        <v>72</v>
      </c>
      <c r="D24" s="7" t="s">
        <v>11</v>
      </c>
      <c r="E24" s="269" t="s">
        <v>1943</v>
      </c>
      <c r="F24" s="269" t="s">
        <v>1942</v>
      </c>
      <c r="G24" s="7" t="s">
        <v>405</v>
      </c>
      <c r="H24" s="7" t="s">
        <v>56</v>
      </c>
      <c r="I24" s="7" t="s">
        <v>57</v>
      </c>
      <c r="J24" s="7" t="s">
        <v>58</v>
      </c>
      <c r="K24" s="7" t="s">
        <v>59</v>
      </c>
      <c r="L24" s="7" t="s">
        <v>60</v>
      </c>
      <c r="M24" s="7" t="s">
        <v>61</v>
      </c>
      <c r="N24" s="7" t="s">
        <v>62</v>
      </c>
      <c r="O24" s="7" t="s">
        <v>63</v>
      </c>
      <c r="P24" s="7" t="s">
        <v>64</v>
      </c>
      <c r="Q24" s="7" t="s">
        <v>65</v>
      </c>
      <c r="R24" s="7" t="s">
        <v>66</v>
      </c>
      <c r="S24" s="7" t="s">
        <v>67</v>
      </c>
      <c r="T24" s="7" t="s">
        <v>2246</v>
      </c>
      <c r="U24" s="713"/>
    </row>
    <row r="25" spans="2:24" s="5" customFormat="1" ht="13" x14ac:dyDescent="0.3">
      <c r="B25" s="150">
        <v>1</v>
      </c>
      <c r="C25" s="151" t="s">
        <v>332</v>
      </c>
      <c r="D25" s="152" t="s">
        <v>52</v>
      </c>
      <c r="E25" s="153">
        <f>E26+E27</f>
        <v>10119.096901869072</v>
      </c>
      <c r="F25" s="153">
        <f>F26+F27</f>
        <v>11860.80456104007</v>
      </c>
      <c r="G25" s="153">
        <f>G26+G27</f>
        <v>11850</v>
      </c>
      <c r="H25" s="153">
        <f>H26+H27</f>
        <v>10000</v>
      </c>
      <c r="I25" s="153">
        <f t="shared" ref="I25:S25" si="12">I26+I27</f>
        <v>10000</v>
      </c>
      <c r="J25" s="153">
        <f t="shared" si="12"/>
        <v>10000</v>
      </c>
      <c r="K25" s="153">
        <f t="shared" si="12"/>
        <v>10000</v>
      </c>
      <c r="L25" s="153">
        <f t="shared" si="12"/>
        <v>10000</v>
      </c>
      <c r="M25" s="153">
        <f t="shared" si="12"/>
        <v>10000</v>
      </c>
      <c r="N25" s="153">
        <f t="shared" si="12"/>
        <v>10000</v>
      </c>
      <c r="O25" s="153">
        <f t="shared" si="12"/>
        <v>10000</v>
      </c>
      <c r="P25" s="153">
        <f t="shared" si="12"/>
        <v>10000</v>
      </c>
      <c r="Q25" s="153">
        <f t="shared" si="12"/>
        <v>10000</v>
      </c>
      <c r="R25" s="153">
        <f t="shared" si="12"/>
        <v>10000</v>
      </c>
      <c r="S25" s="153">
        <f t="shared" si="12"/>
        <v>10000</v>
      </c>
      <c r="T25" s="153">
        <f>AVERAGEA(H25:S25)</f>
        <v>10000</v>
      </c>
      <c r="V25" s="6"/>
      <c r="W25" s="6"/>
      <c r="X25" s="6"/>
    </row>
    <row r="26" spans="2:24" ht="13" x14ac:dyDescent="0.3">
      <c r="B26" s="8" t="s">
        <v>76</v>
      </c>
      <c r="C26" s="9" t="s">
        <v>78</v>
      </c>
      <c r="D26" s="10"/>
      <c r="E26" s="11">
        <f>E38/E13</f>
        <v>10119.096901869072</v>
      </c>
      <c r="F26" s="11">
        <f>F38/F13</f>
        <v>11860.80456104007</v>
      </c>
      <c r="G26" s="11">
        <v>11850</v>
      </c>
      <c r="H26" s="1410">
        <v>10000</v>
      </c>
      <c r="I26" s="11">
        <v>10000</v>
      </c>
      <c r="J26" s="11">
        <v>10000</v>
      </c>
      <c r="K26" s="11">
        <v>10000</v>
      </c>
      <c r="L26" s="11">
        <v>10000</v>
      </c>
      <c r="M26" s="11">
        <v>10000</v>
      </c>
      <c r="N26" s="11">
        <v>10000</v>
      </c>
      <c r="O26" s="11">
        <v>10000</v>
      </c>
      <c r="P26" s="11">
        <v>10000</v>
      </c>
      <c r="Q26" s="11">
        <v>10000</v>
      </c>
      <c r="R26" s="11">
        <v>10000</v>
      </c>
      <c r="S26" s="11">
        <v>10000</v>
      </c>
      <c r="T26" s="891">
        <f>AVERAGEA(H26:S26)</f>
        <v>10000</v>
      </c>
      <c r="V26" s="5"/>
      <c r="W26" s="5"/>
      <c r="X26" s="5"/>
    </row>
    <row r="27" spans="2:24" ht="25" x14ac:dyDescent="0.25">
      <c r="B27" s="8" t="s">
        <v>77</v>
      </c>
      <c r="C27" s="9" t="s">
        <v>79</v>
      </c>
      <c r="D27" s="10"/>
      <c r="E27" s="11"/>
      <c r="F27" s="28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5"/>
      <c r="V27" s="343"/>
    </row>
    <row r="28" spans="2:24" s="5" customFormat="1" ht="13" x14ac:dyDescent="0.3">
      <c r="B28" s="150">
        <v>2</v>
      </c>
      <c r="C28" s="151" t="s">
        <v>333</v>
      </c>
      <c r="D28" s="152" t="s">
        <v>52</v>
      </c>
      <c r="E28" s="153">
        <f>E29+E30</f>
        <v>10008.570928677327</v>
      </c>
      <c r="F28" s="153">
        <f>F29+F30</f>
        <v>11494.89211974908</v>
      </c>
      <c r="G28" s="153">
        <f>G29+G30</f>
        <v>11850</v>
      </c>
      <c r="H28" s="153">
        <f>H29+H30</f>
        <v>10000</v>
      </c>
      <c r="I28" s="153">
        <f t="shared" ref="I28:S28" si="13">I29+I30</f>
        <v>10000</v>
      </c>
      <c r="J28" s="153">
        <f t="shared" si="13"/>
        <v>10000</v>
      </c>
      <c r="K28" s="153">
        <f t="shared" si="13"/>
        <v>10000</v>
      </c>
      <c r="L28" s="153">
        <f t="shared" si="13"/>
        <v>10000</v>
      </c>
      <c r="M28" s="153">
        <f t="shared" si="13"/>
        <v>10000</v>
      </c>
      <c r="N28" s="153">
        <f t="shared" si="13"/>
        <v>10000</v>
      </c>
      <c r="O28" s="153">
        <f t="shared" si="13"/>
        <v>10000</v>
      </c>
      <c r="P28" s="153">
        <f t="shared" si="13"/>
        <v>10000</v>
      </c>
      <c r="Q28" s="153">
        <f t="shared" si="13"/>
        <v>10000</v>
      </c>
      <c r="R28" s="153">
        <f t="shared" si="13"/>
        <v>10000</v>
      </c>
      <c r="S28" s="153">
        <f t="shared" si="13"/>
        <v>10000</v>
      </c>
      <c r="T28" s="153">
        <f>AVERAGEA(H28:S28)</f>
        <v>10000</v>
      </c>
      <c r="V28" s="6"/>
      <c r="W28" s="6"/>
      <c r="X28" s="6"/>
    </row>
    <row r="29" spans="2:24" ht="13" x14ac:dyDescent="0.3">
      <c r="B29" s="8" t="s">
        <v>76</v>
      </c>
      <c r="C29" s="9" t="s">
        <v>78</v>
      </c>
      <c r="D29" s="10"/>
      <c r="E29" s="11">
        <f>E39/E14</f>
        <v>10008.570928677327</v>
      </c>
      <c r="F29" s="11">
        <f>F39/F14</f>
        <v>11494.89211974908</v>
      </c>
      <c r="G29" s="11">
        <v>11850</v>
      </c>
      <c r="H29" s="1410">
        <f>H26</f>
        <v>10000</v>
      </c>
      <c r="I29" s="11">
        <f t="shared" ref="I29:S29" si="14">I26</f>
        <v>10000</v>
      </c>
      <c r="J29" s="11">
        <f t="shared" si="14"/>
        <v>10000</v>
      </c>
      <c r="K29" s="11">
        <f t="shared" si="14"/>
        <v>10000</v>
      </c>
      <c r="L29" s="11">
        <f t="shared" si="14"/>
        <v>10000</v>
      </c>
      <c r="M29" s="11">
        <f t="shared" si="14"/>
        <v>10000</v>
      </c>
      <c r="N29" s="11">
        <f t="shared" si="14"/>
        <v>10000</v>
      </c>
      <c r="O29" s="11">
        <f t="shared" si="14"/>
        <v>10000</v>
      </c>
      <c r="P29" s="11">
        <f t="shared" si="14"/>
        <v>10000</v>
      </c>
      <c r="Q29" s="11">
        <f t="shared" si="14"/>
        <v>10000</v>
      </c>
      <c r="R29" s="11">
        <f t="shared" si="14"/>
        <v>10000</v>
      </c>
      <c r="S29" s="11">
        <f t="shared" si="14"/>
        <v>10000</v>
      </c>
      <c r="T29" s="891">
        <f>AVERAGEA(H29:S29)</f>
        <v>10000</v>
      </c>
      <c r="V29" s="5"/>
      <c r="W29" s="5"/>
      <c r="X29" s="5"/>
    </row>
    <row r="30" spans="2:24" ht="25" x14ac:dyDescent="0.25">
      <c r="B30" s="8" t="s">
        <v>77</v>
      </c>
      <c r="C30" s="9" t="s">
        <v>79</v>
      </c>
      <c r="D30" s="10"/>
      <c r="E30" s="11"/>
      <c r="F30" s="28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5"/>
    </row>
    <row r="31" spans="2:24" s="5" customFormat="1" ht="13" x14ac:dyDescent="0.3">
      <c r="B31" s="150">
        <v>3</v>
      </c>
      <c r="C31" s="151" t="s">
        <v>73</v>
      </c>
      <c r="D31" s="152" t="s">
        <v>52</v>
      </c>
      <c r="E31" s="153">
        <f>E32+E33</f>
        <v>0</v>
      </c>
      <c r="F31" s="153">
        <f>F32+F33</f>
        <v>15553.879871401792</v>
      </c>
      <c r="G31" s="153">
        <f>G32+G33</f>
        <v>15947.379788634033</v>
      </c>
      <c r="H31" s="153">
        <f>H32+H33</f>
        <v>12700</v>
      </c>
      <c r="I31" s="153">
        <f t="shared" ref="I31:S31" si="15">I32+I33</f>
        <v>12700</v>
      </c>
      <c r="J31" s="153">
        <f t="shared" si="15"/>
        <v>12700</v>
      </c>
      <c r="K31" s="153">
        <f t="shared" si="15"/>
        <v>12700</v>
      </c>
      <c r="L31" s="153">
        <f t="shared" si="15"/>
        <v>12700</v>
      </c>
      <c r="M31" s="153">
        <f t="shared" si="15"/>
        <v>12700</v>
      </c>
      <c r="N31" s="153">
        <f t="shared" si="15"/>
        <v>12700</v>
      </c>
      <c r="O31" s="153">
        <f t="shared" si="15"/>
        <v>12700</v>
      </c>
      <c r="P31" s="153">
        <f t="shared" si="15"/>
        <v>12700</v>
      </c>
      <c r="Q31" s="153">
        <f t="shared" si="15"/>
        <v>12700</v>
      </c>
      <c r="R31" s="153">
        <f t="shared" si="15"/>
        <v>12700</v>
      </c>
      <c r="S31" s="153">
        <f t="shared" si="15"/>
        <v>12700</v>
      </c>
      <c r="T31" s="153">
        <f>AVERAGEA(H31:S31)</f>
        <v>12700</v>
      </c>
      <c r="V31" s="6"/>
      <c r="W31" s="6"/>
      <c r="X31" s="6"/>
    </row>
    <row r="32" spans="2:24" ht="13" x14ac:dyDescent="0.3">
      <c r="B32" s="8" t="s">
        <v>76</v>
      </c>
      <c r="C32" s="9" t="s">
        <v>78</v>
      </c>
      <c r="D32" s="10"/>
      <c r="E32" s="11"/>
      <c r="F32" s="11">
        <f>F40/F15</f>
        <v>15553.879871401792</v>
      </c>
      <c r="G32" s="11">
        <v>15947.379788634033</v>
      </c>
      <c r="H32" s="1410">
        <v>12700</v>
      </c>
      <c r="I32" s="11">
        <v>12700</v>
      </c>
      <c r="J32" s="11">
        <v>12700</v>
      </c>
      <c r="K32" s="11">
        <v>12700</v>
      </c>
      <c r="L32" s="11">
        <v>12700</v>
      </c>
      <c r="M32" s="11">
        <v>12700</v>
      </c>
      <c r="N32" s="11">
        <v>12700</v>
      </c>
      <c r="O32" s="11">
        <v>12700</v>
      </c>
      <c r="P32" s="11">
        <v>12700</v>
      </c>
      <c r="Q32" s="11">
        <v>12700</v>
      </c>
      <c r="R32" s="11">
        <v>12700</v>
      </c>
      <c r="S32" s="11">
        <v>12700</v>
      </c>
      <c r="T32" s="891">
        <f>AVERAGEA(H32:S32)</f>
        <v>12700</v>
      </c>
      <c r="V32" s="5"/>
      <c r="W32" s="5"/>
      <c r="X32" s="5"/>
    </row>
    <row r="33" spans="2:24" ht="25" x14ac:dyDescent="0.25">
      <c r="B33" s="8" t="s">
        <v>77</v>
      </c>
      <c r="C33" s="9" t="s">
        <v>79</v>
      </c>
      <c r="D33" s="10"/>
      <c r="E33" s="11"/>
      <c r="F33" s="28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</row>
    <row r="34" spans="2:24" s="5" customFormat="1" ht="13" x14ac:dyDescent="0.3">
      <c r="B34" s="213"/>
      <c r="C34" s="214" t="s">
        <v>323</v>
      </c>
      <c r="D34" s="215" t="s">
        <v>52</v>
      </c>
      <c r="E34" s="216">
        <f>E42/E16</f>
        <v>10104.016182376326</v>
      </c>
      <c r="F34" s="216">
        <f>F42/F16</f>
        <v>11944.985049200803</v>
      </c>
      <c r="G34" s="216">
        <f>G42/G16</f>
        <v>11811.089284703687</v>
      </c>
      <c r="H34" s="216">
        <f>H42/H16</f>
        <v>10000</v>
      </c>
      <c r="I34" s="216">
        <f t="shared" ref="I34:T34" si="16">I42/I16</f>
        <v>10000</v>
      </c>
      <c r="J34" s="216">
        <f t="shared" si="16"/>
        <v>10000</v>
      </c>
      <c r="K34" s="216">
        <f t="shared" si="16"/>
        <v>10000</v>
      </c>
      <c r="L34" s="216">
        <f t="shared" si="16"/>
        <v>10000</v>
      </c>
      <c r="M34" s="216">
        <f t="shared" si="16"/>
        <v>10000</v>
      </c>
      <c r="N34" s="216">
        <f t="shared" si="16"/>
        <v>10000</v>
      </c>
      <c r="O34" s="216">
        <f t="shared" si="16"/>
        <v>10000</v>
      </c>
      <c r="P34" s="216">
        <f t="shared" si="16"/>
        <v>10000</v>
      </c>
      <c r="Q34" s="216">
        <f t="shared" si="16"/>
        <v>10000</v>
      </c>
      <c r="R34" s="216">
        <f t="shared" si="16"/>
        <v>10000</v>
      </c>
      <c r="S34" s="216">
        <f t="shared" si="16"/>
        <v>10000</v>
      </c>
      <c r="T34" s="216">
        <f t="shared" si="16"/>
        <v>10000</v>
      </c>
      <c r="V34" s="6"/>
      <c r="W34" s="6"/>
      <c r="X34" s="6"/>
    </row>
    <row r="35" spans="2:24" ht="13" x14ac:dyDescent="0.3">
      <c r="K35" s="50"/>
      <c r="V35" s="5"/>
      <c r="W35" s="5"/>
      <c r="X35" s="5"/>
    </row>
    <row r="36" spans="2:24" ht="13" x14ac:dyDescent="0.3">
      <c r="B36" s="5" t="s">
        <v>422</v>
      </c>
    </row>
    <row r="37" spans="2:24" ht="39.65" customHeight="1" x14ac:dyDescent="0.25">
      <c r="B37" s="7" t="s">
        <v>0</v>
      </c>
      <c r="C37" s="7" t="s">
        <v>72</v>
      </c>
      <c r="D37" s="7" t="s">
        <v>11</v>
      </c>
      <c r="E37" s="269" t="s">
        <v>1943</v>
      </c>
      <c r="F37" s="269" t="s">
        <v>1942</v>
      </c>
      <c r="G37" s="7" t="s">
        <v>405</v>
      </c>
      <c r="H37" s="7" t="s">
        <v>56</v>
      </c>
      <c r="I37" s="7" t="s">
        <v>57</v>
      </c>
      <c r="J37" s="7" t="s">
        <v>58</v>
      </c>
      <c r="K37" s="7" t="s">
        <v>59</v>
      </c>
      <c r="L37" s="7" t="s">
        <v>60</v>
      </c>
      <c r="M37" s="7" t="s">
        <v>61</v>
      </c>
      <c r="N37" s="7" t="s">
        <v>62</v>
      </c>
      <c r="O37" s="7" t="s">
        <v>63</v>
      </c>
      <c r="P37" s="7" t="s">
        <v>64</v>
      </c>
      <c r="Q37" s="7" t="s">
        <v>65</v>
      </c>
      <c r="R37" s="7" t="s">
        <v>66</v>
      </c>
      <c r="S37" s="7" t="s">
        <v>67</v>
      </c>
      <c r="T37" s="7" t="s">
        <v>2246</v>
      </c>
    </row>
    <row r="38" spans="2:24" x14ac:dyDescent="0.25">
      <c r="B38" s="8">
        <v>1</v>
      </c>
      <c r="C38" s="9" t="s">
        <v>332</v>
      </c>
      <c r="D38" s="10" t="s">
        <v>234</v>
      </c>
      <c r="E38" s="19">
        <f>45582656700-2756934001+507543840*0.86</f>
        <v>43262210401.400002</v>
      </c>
      <c r="F38" s="19">
        <f>56428288832-3132732600+761007710*0.9</f>
        <v>53980463171</v>
      </c>
      <c r="G38" s="19">
        <v>55788266260</v>
      </c>
      <c r="H38" s="19">
        <f>H$13*H$25</f>
        <v>3900000000</v>
      </c>
      <c r="I38" s="19">
        <f t="shared" ref="I38:S38" si="17">I$13*I$25</f>
        <v>2925000000</v>
      </c>
      <c r="J38" s="19">
        <f t="shared" si="17"/>
        <v>4225000000</v>
      </c>
      <c r="K38" s="19">
        <f t="shared" si="17"/>
        <v>4550000000</v>
      </c>
      <c r="L38" s="19">
        <f t="shared" si="17"/>
        <v>4550000000</v>
      </c>
      <c r="M38" s="19">
        <f t="shared" si="17"/>
        <v>4550000000</v>
      </c>
      <c r="N38" s="19">
        <f t="shared" si="17"/>
        <v>4550000000</v>
      </c>
      <c r="O38" s="19">
        <f t="shared" si="17"/>
        <v>4550000000</v>
      </c>
      <c r="P38" s="19">
        <f t="shared" si="17"/>
        <v>4550000000</v>
      </c>
      <c r="Q38" s="19">
        <f t="shared" si="17"/>
        <v>4550000000</v>
      </c>
      <c r="R38" s="19">
        <f t="shared" si="17"/>
        <v>4550000000</v>
      </c>
      <c r="S38" s="19">
        <f t="shared" si="17"/>
        <v>4550000000</v>
      </c>
      <c r="T38" s="19">
        <f>SUM(H38:S38)</f>
        <v>52000000000</v>
      </c>
    </row>
    <row r="39" spans="2:24" x14ac:dyDescent="0.25">
      <c r="B39" s="8">
        <v>2</v>
      </c>
      <c r="C39" s="9" t="s">
        <v>333</v>
      </c>
      <c r="D39" s="10" t="s">
        <v>234</v>
      </c>
      <c r="E39" s="19">
        <f>6943885050-254006401+507543840*0.14</f>
        <v>6760934786.6000004</v>
      </c>
      <c r="F39" s="19">
        <f>4487949050-114690892+761007710*0.1</f>
        <v>4449358929</v>
      </c>
      <c r="G39" s="19">
        <v>20916436368</v>
      </c>
      <c r="H39" s="19">
        <f>H$14*H$28</f>
        <v>2100000000</v>
      </c>
      <c r="I39" s="19">
        <f t="shared" ref="I39:S39" si="18">I$14*I$28</f>
        <v>1575000000</v>
      </c>
      <c r="J39" s="19">
        <f t="shared" si="18"/>
        <v>2275000000</v>
      </c>
      <c r="K39" s="19">
        <f t="shared" si="18"/>
        <v>2449999999.9999995</v>
      </c>
      <c r="L39" s="19">
        <f t="shared" si="18"/>
        <v>2449999999.9999995</v>
      </c>
      <c r="M39" s="19">
        <f t="shared" si="18"/>
        <v>2449999999.9999995</v>
      </c>
      <c r="N39" s="19">
        <f t="shared" si="18"/>
        <v>2449999999.9999995</v>
      </c>
      <c r="O39" s="19">
        <f t="shared" si="18"/>
        <v>2449999999.9999995</v>
      </c>
      <c r="P39" s="19">
        <f t="shared" si="18"/>
        <v>2449999999.9999995</v>
      </c>
      <c r="Q39" s="19">
        <f t="shared" si="18"/>
        <v>2449999999.9999995</v>
      </c>
      <c r="R39" s="19">
        <f t="shared" si="18"/>
        <v>2449999999.9999995</v>
      </c>
      <c r="S39" s="19">
        <f t="shared" si="18"/>
        <v>2449999999.9999995</v>
      </c>
      <c r="T39" s="19">
        <f>SUM(H39:S39)</f>
        <v>28000000000</v>
      </c>
    </row>
    <row r="40" spans="2:24" x14ac:dyDescent="0.25">
      <c r="B40" s="8">
        <v>3</v>
      </c>
      <c r="C40" s="9" t="s">
        <v>331</v>
      </c>
      <c r="D40" s="10" t="s">
        <v>234</v>
      </c>
      <c r="E40" s="19"/>
      <c r="F40" s="19">
        <f>2419005496-16949835</f>
        <v>2402055661</v>
      </c>
      <c r="G40" s="19">
        <v>1975258408</v>
      </c>
      <c r="H40" s="19">
        <f>H$15*H$31</f>
        <v>0</v>
      </c>
      <c r="I40" s="19">
        <f t="shared" ref="I40:S40" si="19">I$15*I$31</f>
        <v>0</v>
      </c>
      <c r="J40" s="19">
        <f t="shared" si="19"/>
        <v>0</v>
      </c>
      <c r="K40" s="19">
        <f t="shared" si="19"/>
        <v>0</v>
      </c>
      <c r="L40" s="19">
        <f t="shared" si="19"/>
        <v>0</v>
      </c>
      <c r="M40" s="19">
        <f t="shared" si="19"/>
        <v>0</v>
      </c>
      <c r="N40" s="19">
        <f t="shared" si="19"/>
        <v>0</v>
      </c>
      <c r="O40" s="19">
        <f t="shared" si="19"/>
        <v>0</v>
      </c>
      <c r="P40" s="19">
        <f t="shared" si="19"/>
        <v>0</v>
      </c>
      <c r="Q40" s="19">
        <f t="shared" si="19"/>
        <v>0</v>
      </c>
      <c r="R40" s="19">
        <f t="shared" si="19"/>
        <v>0</v>
      </c>
      <c r="S40" s="19">
        <f t="shared" si="19"/>
        <v>0</v>
      </c>
      <c r="T40" s="19">
        <f>SUM(H40:S40)</f>
        <v>0</v>
      </c>
    </row>
    <row r="41" spans="2:24" x14ac:dyDescent="0.25">
      <c r="B41" s="8"/>
      <c r="C41" s="9"/>
      <c r="D41" s="10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>
        <f>SUM(H41:S41)</f>
        <v>0</v>
      </c>
    </row>
    <row r="42" spans="2:24" s="5" customFormat="1" ht="13" x14ac:dyDescent="0.3">
      <c r="B42" s="150"/>
      <c r="C42" s="151" t="s">
        <v>74</v>
      </c>
      <c r="D42" s="152" t="s">
        <v>234</v>
      </c>
      <c r="E42" s="154">
        <f>SUM(E38:E41)</f>
        <v>50023145188</v>
      </c>
      <c r="F42" s="154">
        <f>SUM(F38:F41)</f>
        <v>60831877761</v>
      </c>
      <c r="G42" s="154">
        <f>SUM(G38:G41)</f>
        <v>78679961036</v>
      </c>
      <c r="H42" s="154">
        <f>SUM(H38:H41)</f>
        <v>6000000000</v>
      </c>
      <c r="I42" s="154">
        <f t="shared" ref="I42:S42" si="20">SUM(I38:I41)</f>
        <v>4500000000</v>
      </c>
      <c r="J42" s="154">
        <f t="shared" si="20"/>
        <v>6500000000</v>
      </c>
      <c r="K42" s="154">
        <f>SUM(K38:K41)</f>
        <v>7000000000</v>
      </c>
      <c r="L42" s="154">
        <f>SUM(L38:L41)</f>
        <v>7000000000</v>
      </c>
      <c r="M42" s="154">
        <f t="shared" si="20"/>
        <v>7000000000</v>
      </c>
      <c r="N42" s="154">
        <f t="shared" si="20"/>
        <v>7000000000</v>
      </c>
      <c r="O42" s="154">
        <f t="shared" si="20"/>
        <v>7000000000</v>
      </c>
      <c r="P42" s="154">
        <f t="shared" si="20"/>
        <v>7000000000</v>
      </c>
      <c r="Q42" s="154">
        <f t="shared" si="20"/>
        <v>7000000000</v>
      </c>
      <c r="R42" s="154">
        <f t="shared" si="20"/>
        <v>7000000000</v>
      </c>
      <c r="S42" s="154">
        <f t="shared" si="20"/>
        <v>7000000000</v>
      </c>
      <c r="T42" s="154">
        <f>SUM(H42:S42)</f>
        <v>80000000000</v>
      </c>
      <c r="V42" s="6"/>
      <c r="W42" s="6"/>
      <c r="X42" s="6"/>
    </row>
    <row r="43" spans="2:24" ht="13" x14ac:dyDescent="0.3">
      <c r="V43" s="5"/>
      <c r="W43" s="5"/>
      <c r="X43" s="5"/>
    </row>
    <row r="44" spans="2:24" ht="13" x14ac:dyDescent="0.3">
      <c r="B44" s="5" t="s">
        <v>423</v>
      </c>
    </row>
    <row r="45" spans="2:24" ht="39.65" customHeight="1" x14ac:dyDescent="0.25">
      <c r="B45" s="269" t="s">
        <v>0</v>
      </c>
      <c r="C45" s="269" t="s">
        <v>72</v>
      </c>
      <c r="D45" s="269" t="s">
        <v>11</v>
      </c>
      <c r="E45" s="269" t="s">
        <v>1943</v>
      </c>
      <c r="F45" s="269" t="s">
        <v>1942</v>
      </c>
      <c r="G45" s="7" t="s">
        <v>405</v>
      </c>
      <c r="H45" s="7" t="s">
        <v>56</v>
      </c>
      <c r="I45" s="7" t="s">
        <v>57</v>
      </c>
      <c r="J45" s="7" t="s">
        <v>58</v>
      </c>
      <c r="K45" s="7" t="s">
        <v>59</v>
      </c>
      <c r="L45" s="7" t="s">
        <v>60</v>
      </c>
      <c r="M45" s="7" t="s">
        <v>61</v>
      </c>
      <c r="N45" s="7" t="s">
        <v>62</v>
      </c>
      <c r="O45" s="7" t="s">
        <v>63</v>
      </c>
      <c r="P45" s="7" t="s">
        <v>64</v>
      </c>
      <c r="Q45" s="7" t="s">
        <v>65</v>
      </c>
      <c r="R45" s="7" t="s">
        <v>66</v>
      </c>
      <c r="S45" s="7" t="s">
        <v>67</v>
      </c>
      <c r="T45" s="7" t="s">
        <v>2246</v>
      </c>
    </row>
    <row r="46" spans="2:24" s="35" customFormat="1" ht="26" x14ac:dyDescent="0.25">
      <c r="B46" s="279" t="s">
        <v>362</v>
      </c>
      <c r="C46" s="280" t="s">
        <v>368</v>
      </c>
      <c r="D46" s="279"/>
      <c r="E46" s="892">
        <f>E47/E48</f>
        <v>0.26528302897805212</v>
      </c>
      <c r="F46" s="892">
        <f>F47/F48</f>
        <v>0.27288402884945134</v>
      </c>
      <c r="G46" s="892">
        <f>G47/G48</f>
        <v>0.35694942772633748</v>
      </c>
      <c r="H46" s="892">
        <f>H47/H48</f>
        <v>0.38580246913580246</v>
      </c>
      <c r="I46" s="892">
        <f t="shared" ref="I46:S46" si="21">I47/I48</f>
        <v>0.28935185185185186</v>
      </c>
      <c r="J46" s="892">
        <f t="shared" si="21"/>
        <v>0.41795267489711935</v>
      </c>
      <c r="K46" s="892">
        <f t="shared" si="21"/>
        <v>0.45010288065843623</v>
      </c>
      <c r="L46" s="892">
        <f t="shared" si="21"/>
        <v>0.45010288065843623</v>
      </c>
      <c r="M46" s="892">
        <f>M47/M48</f>
        <v>0.45010288065843623</v>
      </c>
      <c r="N46" s="892">
        <f t="shared" si="21"/>
        <v>0.45010288065843623</v>
      </c>
      <c r="O46" s="892">
        <f t="shared" si="21"/>
        <v>0.45010288065843623</v>
      </c>
      <c r="P46" s="892">
        <f t="shared" si="21"/>
        <v>0.45010288065843623</v>
      </c>
      <c r="Q46" s="892">
        <f t="shared" si="21"/>
        <v>0.45010288065843623</v>
      </c>
      <c r="R46" s="892">
        <f t="shared" si="21"/>
        <v>0.45010288065843623</v>
      </c>
      <c r="S46" s="892">
        <f t="shared" si="21"/>
        <v>0.45010288065843623</v>
      </c>
      <c r="T46" s="892">
        <f>T47/T48</f>
        <v>0.42866941015089161</v>
      </c>
      <c r="V46" s="6"/>
      <c r="W46" s="6"/>
      <c r="X46" s="6"/>
    </row>
    <row r="47" spans="2:24" ht="20.149999999999999" customHeight="1" x14ac:dyDescent="0.25">
      <c r="B47" s="281">
        <v>1</v>
      </c>
      <c r="C47" s="282" t="s">
        <v>369</v>
      </c>
      <c r="D47" s="283" t="s">
        <v>22</v>
      </c>
      <c r="E47" s="284">
        <f>E16</f>
        <v>4950818</v>
      </c>
      <c r="F47" s="284">
        <f>F16</f>
        <v>5092670.9000000004</v>
      </c>
      <c r="G47" s="284">
        <f>G16</f>
        <v>6661533</v>
      </c>
      <c r="H47" s="284">
        <f>H16</f>
        <v>600000</v>
      </c>
      <c r="I47" s="284">
        <f t="shared" ref="I47:S47" si="22">I16</f>
        <v>450000</v>
      </c>
      <c r="J47" s="284">
        <f t="shared" si="22"/>
        <v>650000</v>
      </c>
      <c r="K47" s="284">
        <f t="shared" si="22"/>
        <v>700000</v>
      </c>
      <c r="L47" s="284">
        <f t="shared" si="22"/>
        <v>700000</v>
      </c>
      <c r="M47" s="284">
        <f>M16</f>
        <v>700000</v>
      </c>
      <c r="N47" s="284">
        <f t="shared" si="22"/>
        <v>700000</v>
      </c>
      <c r="O47" s="284">
        <f t="shared" si="22"/>
        <v>700000</v>
      </c>
      <c r="P47" s="284">
        <f t="shared" si="22"/>
        <v>700000</v>
      </c>
      <c r="Q47" s="284">
        <f t="shared" si="22"/>
        <v>700000</v>
      </c>
      <c r="R47" s="284">
        <f t="shared" si="22"/>
        <v>700000</v>
      </c>
      <c r="S47" s="284">
        <f t="shared" si="22"/>
        <v>700000</v>
      </c>
      <c r="T47" s="285">
        <f>SUM(H47:S47)</f>
        <v>8000000</v>
      </c>
      <c r="V47" s="35"/>
      <c r="W47" s="35"/>
      <c r="X47" s="35"/>
    </row>
    <row r="48" spans="2:24" ht="20.149999999999999" customHeight="1" x14ac:dyDescent="0.25">
      <c r="B48" s="281">
        <v>2</v>
      </c>
      <c r="C48" s="282" t="s">
        <v>413</v>
      </c>
      <c r="D48" s="283" t="s">
        <v>22</v>
      </c>
      <c r="E48" s="284">
        <f>'Cong suat'!E$65*12</f>
        <v>18662400</v>
      </c>
      <c r="F48" s="284">
        <f>'Cong suat'!E$65*12</f>
        <v>18662400</v>
      </c>
      <c r="G48" s="284">
        <f>'Cong suat'!E$65*12</f>
        <v>18662400</v>
      </c>
      <c r="H48" s="284">
        <f>'Cong suat'!F$65</f>
        <v>1555200</v>
      </c>
      <c r="I48" s="284">
        <f>'Cong suat'!G$65</f>
        <v>1555200</v>
      </c>
      <c r="J48" s="284">
        <f>'Cong suat'!H$65</f>
        <v>1555200</v>
      </c>
      <c r="K48" s="284">
        <f>'Cong suat'!I$65</f>
        <v>1555200</v>
      </c>
      <c r="L48" s="284">
        <f>'Cong suat'!J$65</f>
        <v>1555200</v>
      </c>
      <c r="M48" s="284">
        <f>'Cong suat'!K$65</f>
        <v>1555200</v>
      </c>
      <c r="N48" s="284">
        <f>'Cong suat'!L$65</f>
        <v>1555200</v>
      </c>
      <c r="O48" s="284">
        <f>'Cong suat'!M$65</f>
        <v>1555200</v>
      </c>
      <c r="P48" s="284">
        <f>'Cong suat'!N$65</f>
        <v>1555200</v>
      </c>
      <c r="Q48" s="284">
        <f>'Cong suat'!O$65</f>
        <v>1555200</v>
      </c>
      <c r="R48" s="284">
        <f>'Cong suat'!P$65</f>
        <v>1555200</v>
      </c>
      <c r="S48" s="284">
        <f>'Cong suat'!Q$65</f>
        <v>1555200</v>
      </c>
      <c r="T48" s="285">
        <f>SUM(H48:S48)</f>
        <v>18662400</v>
      </c>
    </row>
    <row r="49" spans="2:24" s="35" customFormat="1" ht="26" x14ac:dyDescent="0.25">
      <c r="B49" s="279" t="s">
        <v>366</v>
      </c>
      <c r="C49" s="280" t="s">
        <v>370</v>
      </c>
      <c r="D49" s="279"/>
      <c r="E49" s="892">
        <f>E50/E51</f>
        <v>0.28349883228001099</v>
      </c>
      <c r="F49" s="892">
        <f>F50/F51</f>
        <v>0.27184443998365332</v>
      </c>
      <c r="G49" s="892">
        <f>G50/G51</f>
        <v>0.36646304114672068</v>
      </c>
      <c r="H49" s="892">
        <f>H50/H51</f>
        <v>0.3839877745544964</v>
      </c>
      <c r="I49" s="892">
        <f t="shared" ref="I49:T49" si="23">I50/I51</f>
        <v>0.2879908309158723</v>
      </c>
      <c r="J49" s="892">
        <f t="shared" si="23"/>
        <v>0.4159867557673711</v>
      </c>
      <c r="K49" s="892">
        <f t="shared" si="23"/>
        <v>0.4479857369802458</v>
      </c>
      <c r="L49" s="892">
        <f t="shared" si="23"/>
        <v>0.4479857369802458</v>
      </c>
      <c r="M49" s="892">
        <f>M50/M51</f>
        <v>0.4479857369802458</v>
      </c>
      <c r="N49" s="892">
        <f t="shared" si="23"/>
        <v>0.4479857369802458</v>
      </c>
      <c r="O49" s="892">
        <f t="shared" si="23"/>
        <v>0.4479857369802458</v>
      </c>
      <c r="P49" s="892">
        <f t="shared" si="23"/>
        <v>0.4479857369802458</v>
      </c>
      <c r="Q49" s="892">
        <f t="shared" si="23"/>
        <v>0.4479857369802458</v>
      </c>
      <c r="R49" s="892">
        <f t="shared" si="23"/>
        <v>0.4479857369802458</v>
      </c>
      <c r="S49" s="892">
        <f t="shared" si="23"/>
        <v>0.4479857369802458</v>
      </c>
      <c r="T49" s="892">
        <f t="shared" si="23"/>
        <v>0.42665308283832937</v>
      </c>
      <c r="V49" s="6"/>
      <c r="W49" s="6"/>
      <c r="X49" s="6"/>
    </row>
    <row r="50" spans="2:24" ht="19.399999999999999" customHeight="1" x14ac:dyDescent="0.25">
      <c r="B50" s="281">
        <v>1</v>
      </c>
      <c r="C50" s="282" t="s">
        <v>371</v>
      </c>
      <c r="D50" s="283" t="s">
        <v>22</v>
      </c>
      <c r="E50" s="284">
        <f>'3.Thanh pham'!E78</f>
        <v>4728379.5</v>
      </c>
      <c r="F50" s="284">
        <f>'3.Thanh pham'!F78</f>
        <v>4533999.9000000004</v>
      </c>
      <c r="G50" s="284">
        <f>'3.Thanh pham'!G78</f>
        <v>6112111.0000000009</v>
      </c>
      <c r="H50" s="284">
        <f>'3.Thanh pham'!H78</f>
        <v>533700</v>
      </c>
      <c r="I50" s="284">
        <f>'3.Thanh pham'!I78</f>
        <v>400275</v>
      </c>
      <c r="J50" s="284">
        <f>'3.Thanh pham'!J78</f>
        <v>578175</v>
      </c>
      <c r="K50" s="284">
        <f>'3.Thanh pham'!K78</f>
        <v>622650</v>
      </c>
      <c r="L50" s="284">
        <f>'3.Thanh pham'!L78</f>
        <v>622650</v>
      </c>
      <c r="M50" s="284">
        <f>'3.Thanh pham'!M78</f>
        <v>622650</v>
      </c>
      <c r="N50" s="284">
        <f>'3.Thanh pham'!N78</f>
        <v>622650</v>
      </c>
      <c r="O50" s="284">
        <f>'3.Thanh pham'!O78</f>
        <v>622650</v>
      </c>
      <c r="P50" s="284">
        <f>'3.Thanh pham'!P78</f>
        <v>622650</v>
      </c>
      <c r="Q50" s="284">
        <f>'3.Thanh pham'!Q78</f>
        <v>622650</v>
      </c>
      <c r="R50" s="284">
        <f>'3.Thanh pham'!R78</f>
        <v>622650</v>
      </c>
      <c r="S50" s="284">
        <f>'3.Thanh pham'!S78</f>
        <v>622650</v>
      </c>
      <c r="T50" s="285">
        <f>SUM(H50:S50)</f>
        <v>7116000</v>
      </c>
      <c r="V50" s="35"/>
      <c r="W50" s="35"/>
      <c r="X50" s="35"/>
    </row>
    <row r="51" spans="2:24" ht="13" x14ac:dyDescent="0.25">
      <c r="B51" s="281">
        <v>2</v>
      </c>
      <c r="C51" s="282" t="s">
        <v>372</v>
      </c>
      <c r="D51" s="283" t="s">
        <v>22</v>
      </c>
      <c r="E51" s="284">
        <f>'Cong suat'!$E$66*12</f>
        <v>16678656.000000004</v>
      </c>
      <c r="F51" s="284">
        <f>'Cong suat'!$E$66*12</f>
        <v>16678656.000000004</v>
      </c>
      <c r="G51" s="284">
        <f>'Cong suat'!$E$66*12</f>
        <v>16678656.000000004</v>
      </c>
      <c r="H51" s="284">
        <f>'Cong suat'!$E$66</f>
        <v>1389888.0000000002</v>
      </c>
      <c r="I51" s="284">
        <f>'Cong suat'!$E$66</f>
        <v>1389888.0000000002</v>
      </c>
      <c r="J51" s="284">
        <f>'Cong suat'!$E$66</f>
        <v>1389888.0000000002</v>
      </c>
      <c r="K51" s="284">
        <f>'Cong suat'!$E$66</f>
        <v>1389888.0000000002</v>
      </c>
      <c r="L51" s="284">
        <f>'Cong suat'!J66</f>
        <v>1389888.0000000002</v>
      </c>
      <c r="M51" s="284">
        <f>'Cong suat'!K66</f>
        <v>1389888.0000000002</v>
      </c>
      <c r="N51" s="284">
        <f>'Cong suat'!L66</f>
        <v>1389888.0000000002</v>
      </c>
      <c r="O51" s="284">
        <f>'Cong suat'!M66</f>
        <v>1389888.0000000002</v>
      </c>
      <c r="P51" s="284">
        <f>'Cong suat'!N66</f>
        <v>1389888.0000000002</v>
      </c>
      <c r="Q51" s="284">
        <f>'Cong suat'!O66</f>
        <v>1389888.0000000002</v>
      </c>
      <c r="R51" s="284">
        <f>'Cong suat'!P66</f>
        <v>1389888.0000000002</v>
      </c>
      <c r="S51" s="284">
        <f>'Cong suat'!Q66</f>
        <v>1389888.0000000002</v>
      </c>
      <c r="T51" s="285">
        <f>SUM(H51:S51)</f>
        <v>16678656.000000002</v>
      </c>
    </row>
    <row r="53" spans="2:24" ht="13" x14ac:dyDescent="0.3">
      <c r="B53" s="5" t="s">
        <v>424</v>
      </c>
    </row>
    <row r="54" spans="2:24" ht="39.65" customHeight="1" x14ac:dyDescent="0.25">
      <c r="B54" s="269" t="s">
        <v>0</v>
      </c>
      <c r="C54" s="269" t="s">
        <v>72</v>
      </c>
      <c r="D54" s="269" t="s">
        <v>11</v>
      </c>
      <c r="E54" s="269" t="s">
        <v>1943</v>
      </c>
      <c r="F54" s="269" t="s">
        <v>1942</v>
      </c>
      <c r="G54" s="7" t="s">
        <v>405</v>
      </c>
      <c r="H54" s="7" t="s">
        <v>56</v>
      </c>
      <c r="I54" s="7" t="s">
        <v>57</v>
      </c>
      <c r="J54" s="7" t="s">
        <v>58</v>
      </c>
      <c r="K54" s="7" t="s">
        <v>59</v>
      </c>
      <c r="L54" s="7" t="s">
        <v>60</v>
      </c>
      <c r="M54" s="7" t="s">
        <v>61</v>
      </c>
      <c r="N54" s="7" t="s">
        <v>62</v>
      </c>
      <c r="O54" s="7" t="s">
        <v>63</v>
      </c>
      <c r="P54" s="7" t="s">
        <v>64</v>
      </c>
      <c r="Q54" s="7" t="s">
        <v>65</v>
      </c>
      <c r="R54" s="7" t="s">
        <v>66</v>
      </c>
      <c r="S54" s="7" t="s">
        <v>67</v>
      </c>
      <c r="T54" s="7" t="s">
        <v>2246</v>
      </c>
    </row>
    <row r="55" spans="2:24" s="35" customFormat="1" ht="26" x14ac:dyDescent="0.25">
      <c r="B55" s="279"/>
      <c r="C55" s="280" t="s">
        <v>382</v>
      </c>
      <c r="D55" s="279" t="s">
        <v>24</v>
      </c>
      <c r="E55" s="338">
        <f>E56/E57</f>
        <v>0.37361096111187159</v>
      </c>
      <c r="F55" s="338">
        <f>F56/F57</f>
        <v>0.40943101368966561</v>
      </c>
      <c r="G55" s="338">
        <f>G56/G57</f>
        <v>0.51028249880430165</v>
      </c>
      <c r="H55" s="338">
        <f>H56/H57</f>
        <v>0.5060410314664614</v>
      </c>
      <c r="I55" s="338">
        <f>I56/I57</f>
        <v>0.37953077359984599</v>
      </c>
      <c r="J55" s="338">
        <f t="shared" ref="J55:T55" si="24">J56/J57</f>
        <v>0.54821111742199979</v>
      </c>
      <c r="K55" s="338">
        <f t="shared" si="24"/>
        <v>0.5903812033775383</v>
      </c>
      <c r="L55" s="338">
        <f t="shared" si="24"/>
        <v>0.5903812033775383</v>
      </c>
      <c r="M55" s="338">
        <f>M56/M57</f>
        <v>0.5903812033775383</v>
      </c>
      <c r="N55" s="338">
        <f t="shared" si="24"/>
        <v>0.5903812033775383</v>
      </c>
      <c r="O55" s="338">
        <f>O56/O57</f>
        <v>0.5903812033775383</v>
      </c>
      <c r="P55" s="338">
        <f>P56/P57</f>
        <v>0.5903812033775383</v>
      </c>
      <c r="Q55" s="338">
        <f>Q56/Q57</f>
        <v>0.5903812033775383</v>
      </c>
      <c r="R55" s="338">
        <f>R56/R57</f>
        <v>0.5903812033775383</v>
      </c>
      <c r="S55" s="338">
        <f>S56/S57</f>
        <v>0.5903812033775383</v>
      </c>
      <c r="T55" s="338">
        <f t="shared" si="24"/>
        <v>0.56226781274051252</v>
      </c>
      <c r="V55" s="6"/>
      <c r="W55" s="6"/>
      <c r="X55" s="6"/>
    </row>
    <row r="56" spans="2:24" ht="25" x14ac:dyDescent="0.25">
      <c r="B56" s="281">
        <v>1</v>
      </c>
      <c r="C56" s="282" t="s">
        <v>390</v>
      </c>
      <c r="D56" s="283" t="s">
        <v>22</v>
      </c>
      <c r="E56" s="287">
        <f>E50/'Dinh bien_HCNS'!E78</f>
        <v>84435.34821428571</v>
      </c>
      <c r="F56" s="287">
        <f>F50/'Dinh bien_HCNS'!F78</f>
        <v>92530.610204081633</v>
      </c>
      <c r="G56" s="287">
        <f>G50/'Dinh bien_HCNS'!G78</f>
        <v>115322.84905660379</v>
      </c>
      <c r="H56" s="287">
        <f>H50/'Dinh bien_HCNS'!H78</f>
        <v>9530.3571428571431</v>
      </c>
      <c r="I56" s="287">
        <f>I50/'Dinh bien_HCNS'!I78</f>
        <v>7147.7678571428569</v>
      </c>
      <c r="J56" s="287">
        <f>J50/'Dinh bien_HCNS'!J78</f>
        <v>10324.553571428571</v>
      </c>
      <c r="K56" s="287">
        <f>K50/'Dinh bien_HCNS'!K78</f>
        <v>11118.75</v>
      </c>
      <c r="L56" s="287">
        <f>L50/'Dinh bien_HCNS'!L78</f>
        <v>11118.75</v>
      </c>
      <c r="M56" s="287">
        <f>M50/'Dinh bien_HCNS'!M78</f>
        <v>11118.75</v>
      </c>
      <c r="N56" s="287">
        <f>N50/'Dinh bien_HCNS'!N78</f>
        <v>11118.75</v>
      </c>
      <c r="O56" s="287">
        <f>O50/'Dinh bien_HCNS'!O78</f>
        <v>11118.75</v>
      </c>
      <c r="P56" s="287">
        <f>P50/'Dinh bien_HCNS'!P78</f>
        <v>11118.75</v>
      </c>
      <c r="Q56" s="287">
        <f>Q50/'Dinh bien_HCNS'!Q78</f>
        <v>11118.75</v>
      </c>
      <c r="R56" s="287">
        <f>R50/'Dinh bien_HCNS'!R78</f>
        <v>11118.75</v>
      </c>
      <c r="S56" s="287">
        <f>S50/'Dinh bien_HCNS'!S78</f>
        <v>11118.75</v>
      </c>
      <c r="T56" s="336">
        <f>SUM(H56:S56)</f>
        <v>127071.42857142858</v>
      </c>
      <c r="U56" s="343"/>
      <c r="V56" s="35"/>
      <c r="W56" s="35"/>
      <c r="X56" s="35"/>
    </row>
    <row r="57" spans="2:24" ht="25" x14ac:dyDescent="0.25">
      <c r="B57" s="281">
        <v>2</v>
      </c>
      <c r="C57" s="282" t="s">
        <v>391</v>
      </c>
      <c r="D57" s="283" t="s">
        <v>22</v>
      </c>
      <c r="E57" s="287">
        <f>'Cong suat'!$E$69*12</f>
        <v>225998.04878048785</v>
      </c>
      <c r="F57" s="287">
        <f>'Cong suat'!$E$69*12</f>
        <v>225998.04878048785</v>
      </c>
      <c r="G57" s="287">
        <f>'Cong suat'!$E$69*12</f>
        <v>225998.04878048785</v>
      </c>
      <c r="H57" s="287">
        <f>'Cong suat'!F69</f>
        <v>18833.17073170732</v>
      </c>
      <c r="I57" s="287">
        <f>'Cong suat'!G69</f>
        <v>18833.17073170732</v>
      </c>
      <c r="J57" s="287">
        <f>'Cong suat'!H69</f>
        <v>18833.17073170732</v>
      </c>
      <c r="K57" s="287">
        <f>'Cong suat'!I69</f>
        <v>18833.17073170732</v>
      </c>
      <c r="L57" s="287">
        <f>'Cong suat'!J69</f>
        <v>18833.17073170732</v>
      </c>
      <c r="M57" s="287">
        <f>'Cong suat'!K69</f>
        <v>18833.17073170732</v>
      </c>
      <c r="N57" s="287">
        <f>'Cong suat'!L69</f>
        <v>18833.17073170732</v>
      </c>
      <c r="O57" s="287">
        <f>'Cong suat'!M69</f>
        <v>18833.17073170732</v>
      </c>
      <c r="P57" s="287">
        <f>'Cong suat'!N69</f>
        <v>18833.17073170732</v>
      </c>
      <c r="Q57" s="287">
        <f>'Cong suat'!O69</f>
        <v>18833.17073170732</v>
      </c>
      <c r="R57" s="287">
        <f>'Cong suat'!P69</f>
        <v>18833.17073170732</v>
      </c>
      <c r="S57" s="287">
        <f>'Cong suat'!Q69</f>
        <v>18833.17073170732</v>
      </c>
      <c r="T57" s="336">
        <f>SUM(H57:S57)</f>
        <v>225998.04878048788</v>
      </c>
      <c r="U57" s="52"/>
    </row>
    <row r="58" spans="2:24" ht="13" x14ac:dyDescent="0.25">
      <c r="B58" s="184"/>
      <c r="C58" s="185"/>
      <c r="D58" s="186"/>
      <c r="E58" s="186"/>
      <c r="F58" s="186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2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50AC-C668-451A-92A3-4951FE843881}">
  <sheetPr>
    <tabColor theme="9" tint="0.79998168889431442"/>
  </sheetPr>
  <dimension ref="B1:R145"/>
  <sheetViews>
    <sheetView showGridLines="0" topLeftCell="A122" zoomScale="85" zoomScaleNormal="85" workbookViewId="0">
      <selection activeCell="J134" sqref="J134"/>
    </sheetView>
  </sheetViews>
  <sheetFormatPr defaultColWidth="8.54296875" defaultRowHeight="12.5" x14ac:dyDescent="0.35"/>
  <cols>
    <col min="1" max="1" width="3" style="36" customWidth="1"/>
    <col min="2" max="2" width="5.453125" style="40" customWidth="1"/>
    <col min="3" max="3" width="30.453125" style="36" customWidth="1"/>
    <col min="4" max="4" width="6.1796875" style="40" customWidth="1"/>
    <col min="5" max="5" width="8.54296875" style="36" customWidth="1"/>
    <col min="6" max="9" width="7.54296875" style="36" customWidth="1"/>
    <col min="10" max="10" width="9" style="36" customWidth="1"/>
    <col min="11" max="17" width="7.54296875" style="36" customWidth="1"/>
    <col min="18" max="18" width="9.1796875" style="36" customWidth="1"/>
    <col min="19" max="16384" width="8.54296875" style="36"/>
  </cols>
  <sheetData>
    <row r="1" spans="2:18" ht="25.4" customHeight="1" x14ac:dyDescent="0.35">
      <c r="B1" s="223"/>
    </row>
    <row r="3" spans="2:18" ht="13" x14ac:dyDescent="0.35">
      <c r="B3" s="195" t="s">
        <v>1620</v>
      </c>
      <c r="E3" s="37"/>
      <c r="K3" s="37"/>
    </row>
    <row r="4" spans="2:18" s="39" customFormat="1" ht="39" x14ac:dyDescent="0.35">
      <c r="B4" s="7">
        <v>1</v>
      </c>
      <c r="C4" s="38" t="s">
        <v>334</v>
      </c>
      <c r="D4" s="269" t="s">
        <v>11</v>
      </c>
      <c r="E4" s="7" t="s">
        <v>405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  <c r="L4" s="7" t="s">
        <v>62</v>
      </c>
      <c r="M4" s="7" t="s">
        <v>63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2246</v>
      </c>
    </row>
    <row r="5" spans="2:18" x14ac:dyDescent="0.35">
      <c r="B5" s="92">
        <v>1</v>
      </c>
      <c r="C5" s="41" t="s">
        <v>68</v>
      </c>
      <c r="D5" s="467" t="s">
        <v>24</v>
      </c>
      <c r="E5" s="42">
        <v>0.05</v>
      </c>
      <c r="F5" s="42">
        <v>0.05</v>
      </c>
      <c r="G5" s="42">
        <v>0.05</v>
      </c>
      <c r="H5" s="42">
        <v>0.05</v>
      </c>
      <c r="I5" s="42">
        <v>0.05</v>
      </c>
      <c r="J5" s="42">
        <v>0.05</v>
      </c>
      <c r="K5" s="42">
        <v>0.05</v>
      </c>
      <c r="L5" s="42">
        <v>0.05</v>
      </c>
      <c r="M5" s="42">
        <v>0.05</v>
      </c>
      <c r="N5" s="42">
        <v>0.05</v>
      </c>
      <c r="O5" s="42">
        <v>0.05</v>
      </c>
      <c r="P5" s="42">
        <v>0.05</v>
      </c>
      <c r="Q5" s="42">
        <v>0.05</v>
      </c>
      <c r="R5" s="42">
        <f>AVERAGEA(F5:Q5)</f>
        <v>4.9999999999999996E-2</v>
      </c>
    </row>
    <row r="6" spans="2:18" x14ac:dyDescent="0.35">
      <c r="B6" s="92">
        <v>2</v>
      </c>
      <c r="C6" s="41" t="s">
        <v>43</v>
      </c>
      <c r="D6" s="467" t="s">
        <v>24</v>
      </c>
      <c r="E6" s="42">
        <v>0.05</v>
      </c>
      <c r="F6" s="42">
        <v>0.05</v>
      </c>
      <c r="G6" s="42">
        <v>0.05</v>
      </c>
      <c r="H6" s="42">
        <v>0.05</v>
      </c>
      <c r="I6" s="42">
        <v>0.05</v>
      </c>
      <c r="J6" s="42">
        <v>0.05</v>
      </c>
      <c r="K6" s="42">
        <v>0.05</v>
      </c>
      <c r="L6" s="42">
        <v>0.05</v>
      </c>
      <c r="M6" s="42">
        <v>0.05</v>
      </c>
      <c r="N6" s="42">
        <v>0.05</v>
      </c>
      <c r="O6" s="42">
        <v>0.05</v>
      </c>
      <c r="P6" s="42">
        <v>0.05</v>
      </c>
      <c r="Q6" s="42">
        <v>0.05</v>
      </c>
      <c r="R6" s="42">
        <f>AVERAGEA(F6:Q6)</f>
        <v>4.9999999999999996E-2</v>
      </c>
    </row>
    <row r="7" spans="2:18" ht="37.5" x14ac:dyDescent="0.35">
      <c r="B7" s="92"/>
      <c r="C7" s="41" t="s">
        <v>69</v>
      </c>
      <c r="D7" s="467" t="s">
        <v>24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</row>
    <row r="8" spans="2:18" s="37" customFormat="1" ht="13" x14ac:dyDescent="0.35">
      <c r="B8" s="190"/>
      <c r="C8" s="43" t="s">
        <v>31</v>
      </c>
      <c r="D8" s="467" t="s">
        <v>24</v>
      </c>
      <c r="E8" s="44">
        <f>SUM(E5:E7)</f>
        <v>0.1</v>
      </c>
      <c r="F8" s="44">
        <f t="shared" ref="F8:R8" si="0">SUM(F5:F7)</f>
        <v>0.1</v>
      </c>
      <c r="G8" s="44">
        <f t="shared" si="0"/>
        <v>0.1</v>
      </c>
      <c r="H8" s="44">
        <f t="shared" si="0"/>
        <v>0.1</v>
      </c>
      <c r="I8" s="44">
        <f t="shared" si="0"/>
        <v>0.1</v>
      </c>
      <c r="J8" s="44">
        <f t="shared" si="0"/>
        <v>0.1</v>
      </c>
      <c r="K8" s="44">
        <f t="shared" si="0"/>
        <v>0.1</v>
      </c>
      <c r="L8" s="44">
        <f t="shared" si="0"/>
        <v>0.1</v>
      </c>
      <c r="M8" s="44">
        <f t="shared" si="0"/>
        <v>0.1</v>
      </c>
      <c r="N8" s="44">
        <f t="shared" si="0"/>
        <v>0.1</v>
      </c>
      <c r="O8" s="44">
        <f t="shared" si="0"/>
        <v>0.1</v>
      </c>
      <c r="P8" s="44">
        <f t="shared" si="0"/>
        <v>0.1</v>
      </c>
      <c r="Q8" s="44">
        <f t="shared" si="0"/>
        <v>0.1</v>
      </c>
      <c r="R8" s="44">
        <f t="shared" si="0"/>
        <v>9.9999999999999992E-2</v>
      </c>
    </row>
    <row r="9" spans="2:18" x14ac:dyDescent="0.35">
      <c r="B9" s="191"/>
      <c r="C9" s="45"/>
      <c r="D9" s="191"/>
      <c r="E9" s="45"/>
    </row>
    <row r="10" spans="2:18" s="39" customFormat="1" ht="39" x14ac:dyDescent="0.35">
      <c r="B10" s="7">
        <v>2</v>
      </c>
      <c r="C10" s="38" t="s">
        <v>335</v>
      </c>
      <c r="D10" s="269" t="s">
        <v>11</v>
      </c>
      <c r="E10" s="7" t="s">
        <v>405</v>
      </c>
      <c r="F10" s="7" t="s">
        <v>56</v>
      </c>
      <c r="G10" s="7" t="s">
        <v>57</v>
      </c>
      <c r="H10" s="7" t="s">
        <v>58</v>
      </c>
      <c r="I10" s="7" t="s">
        <v>59</v>
      </c>
      <c r="J10" s="7" t="s">
        <v>60</v>
      </c>
      <c r="K10" s="7" t="s">
        <v>61</v>
      </c>
      <c r="L10" s="7" t="s">
        <v>62</v>
      </c>
      <c r="M10" s="7" t="s">
        <v>63</v>
      </c>
      <c r="N10" s="7" t="s">
        <v>64</v>
      </c>
      <c r="O10" s="7" t="s">
        <v>65</v>
      </c>
      <c r="P10" s="7" t="s">
        <v>66</v>
      </c>
      <c r="Q10" s="7" t="s">
        <v>67</v>
      </c>
      <c r="R10" s="7" t="s">
        <v>2246</v>
      </c>
    </row>
    <row r="11" spans="2:18" x14ac:dyDescent="0.35">
      <c r="B11" s="92">
        <v>1</v>
      </c>
      <c r="C11" s="41" t="s">
        <v>68</v>
      </c>
      <c r="D11" s="467" t="s">
        <v>24</v>
      </c>
      <c r="E11" s="42">
        <v>0.06</v>
      </c>
      <c r="F11" s="42">
        <v>0.06</v>
      </c>
      <c r="G11" s="42">
        <v>0.06</v>
      </c>
      <c r="H11" s="42">
        <v>0.06</v>
      </c>
      <c r="I11" s="42">
        <v>0.06</v>
      </c>
      <c r="J11" s="42">
        <v>0.06</v>
      </c>
      <c r="K11" s="42">
        <v>0.06</v>
      </c>
      <c r="L11" s="42">
        <v>0.06</v>
      </c>
      <c r="M11" s="42">
        <v>0.06</v>
      </c>
      <c r="N11" s="42">
        <v>0.06</v>
      </c>
      <c r="O11" s="42">
        <v>0.06</v>
      </c>
      <c r="P11" s="42">
        <v>0.06</v>
      </c>
      <c r="Q11" s="42">
        <v>0.06</v>
      </c>
      <c r="R11" s="42">
        <f>AVERAGEA(F11:Q11)</f>
        <v>6.0000000000000019E-2</v>
      </c>
    </row>
    <row r="12" spans="2:18" x14ac:dyDescent="0.35">
      <c r="B12" s="92">
        <v>2</v>
      </c>
      <c r="C12" s="41" t="s">
        <v>43</v>
      </c>
      <c r="D12" s="467" t="s">
        <v>24</v>
      </c>
      <c r="E12" s="42">
        <v>0.06</v>
      </c>
      <c r="F12" s="42">
        <v>0.06</v>
      </c>
      <c r="G12" s="42">
        <v>0.06</v>
      </c>
      <c r="H12" s="42">
        <v>0.06</v>
      </c>
      <c r="I12" s="42">
        <v>0.06</v>
      </c>
      <c r="J12" s="42">
        <v>0.06</v>
      </c>
      <c r="K12" s="42">
        <v>0.06</v>
      </c>
      <c r="L12" s="42">
        <v>0.06</v>
      </c>
      <c r="M12" s="42">
        <v>0.06</v>
      </c>
      <c r="N12" s="42">
        <v>0.06</v>
      </c>
      <c r="O12" s="42">
        <v>0.06</v>
      </c>
      <c r="P12" s="42">
        <v>0.06</v>
      </c>
      <c r="Q12" s="42">
        <v>0.06</v>
      </c>
      <c r="R12" s="42">
        <f>AVERAGEA(F12:Q12)</f>
        <v>6.0000000000000019E-2</v>
      </c>
    </row>
    <row r="13" spans="2:18" ht="37.5" x14ac:dyDescent="0.35">
      <c r="B13" s="92">
        <v>3</v>
      </c>
      <c r="C13" s="41" t="s">
        <v>69</v>
      </c>
      <c r="D13" s="467" t="s">
        <v>24</v>
      </c>
      <c r="E13" s="42">
        <v>0.01</v>
      </c>
      <c r="F13" s="42">
        <v>0.01</v>
      </c>
      <c r="G13" s="42">
        <v>0.01</v>
      </c>
      <c r="H13" s="42">
        <v>0.01</v>
      </c>
      <c r="I13" s="42">
        <v>0.01</v>
      </c>
      <c r="J13" s="42">
        <v>0.01</v>
      </c>
      <c r="K13" s="42">
        <v>0.01</v>
      </c>
      <c r="L13" s="42">
        <v>0.01</v>
      </c>
      <c r="M13" s="42">
        <v>0.01</v>
      </c>
      <c r="N13" s="42">
        <v>0.01</v>
      </c>
      <c r="O13" s="42">
        <v>0.01</v>
      </c>
      <c r="P13" s="42">
        <v>0.01</v>
      </c>
      <c r="Q13" s="42">
        <v>0.01</v>
      </c>
      <c r="R13" s="42">
        <f>AVERAGEA(F13:Q13)</f>
        <v>9.9999999999999985E-3</v>
      </c>
    </row>
    <row r="14" spans="2:18" s="37" customFormat="1" ht="21" customHeight="1" x14ac:dyDescent="0.35">
      <c r="B14" s="190"/>
      <c r="C14" s="43" t="s">
        <v>31</v>
      </c>
      <c r="D14" s="467" t="s">
        <v>24</v>
      </c>
      <c r="E14" s="44">
        <f>SUM(E11:E13)</f>
        <v>0.13</v>
      </c>
      <c r="F14" s="44">
        <f t="shared" ref="F14:R14" si="1">SUM(F11:F13)</f>
        <v>0.13</v>
      </c>
      <c r="G14" s="44">
        <f>SUM(G11:G13)</f>
        <v>0.13</v>
      </c>
      <c r="H14" s="44">
        <f t="shared" si="1"/>
        <v>0.13</v>
      </c>
      <c r="I14" s="234">
        <f t="shared" si="1"/>
        <v>0.13</v>
      </c>
      <c r="J14" s="44">
        <f>SUM(J11:J13)</f>
        <v>0.13</v>
      </c>
      <c r="K14" s="44">
        <f>SUM(K11:K13)</f>
        <v>0.13</v>
      </c>
      <c r="L14" s="44">
        <f t="shared" si="1"/>
        <v>0.13</v>
      </c>
      <c r="M14" s="44">
        <f t="shared" si="1"/>
        <v>0.13</v>
      </c>
      <c r="N14" s="44">
        <f t="shared" si="1"/>
        <v>0.13</v>
      </c>
      <c r="O14" s="44">
        <f t="shared" si="1"/>
        <v>0.13</v>
      </c>
      <c r="P14" s="44">
        <f t="shared" si="1"/>
        <v>0.13</v>
      </c>
      <c r="Q14" s="44">
        <f t="shared" si="1"/>
        <v>0.13</v>
      </c>
      <c r="R14" s="44">
        <f t="shared" si="1"/>
        <v>0.13000000000000003</v>
      </c>
    </row>
    <row r="15" spans="2:18" x14ac:dyDescent="0.35">
      <c r="B15" s="191"/>
      <c r="C15" s="45"/>
      <c r="D15" s="191"/>
      <c r="E15" s="45"/>
    </row>
    <row r="16" spans="2:18" s="39" customFormat="1" ht="39" x14ac:dyDescent="0.35">
      <c r="B16" s="7">
        <v>3</v>
      </c>
      <c r="C16" s="38" t="s">
        <v>44</v>
      </c>
      <c r="D16" s="269" t="s">
        <v>11</v>
      </c>
      <c r="E16" s="7" t="s">
        <v>405</v>
      </c>
      <c r="F16" s="7" t="s">
        <v>56</v>
      </c>
      <c r="G16" s="7" t="s">
        <v>57</v>
      </c>
      <c r="H16" s="7" t="s">
        <v>58</v>
      </c>
      <c r="I16" s="7" t="s">
        <v>59</v>
      </c>
      <c r="J16" s="7" t="s">
        <v>60</v>
      </c>
      <c r="K16" s="7" t="s">
        <v>61</v>
      </c>
      <c r="L16" s="7" t="s">
        <v>62</v>
      </c>
      <c r="M16" s="7" t="s">
        <v>63</v>
      </c>
      <c r="N16" s="7" t="s">
        <v>64</v>
      </c>
      <c r="O16" s="7" t="s">
        <v>65</v>
      </c>
      <c r="P16" s="7" t="s">
        <v>66</v>
      </c>
      <c r="Q16" s="7" t="s">
        <v>67</v>
      </c>
      <c r="R16" s="7" t="s">
        <v>2246</v>
      </c>
    </row>
    <row r="17" spans="2:18" x14ac:dyDescent="0.35">
      <c r="B17" s="92"/>
      <c r="C17" s="41" t="s">
        <v>68</v>
      </c>
      <c r="D17" s="467" t="s">
        <v>24</v>
      </c>
      <c r="E17" s="233">
        <v>5.0000000000000001E-3</v>
      </c>
      <c r="F17" s="233">
        <v>5.0000000000000001E-3</v>
      </c>
      <c r="G17" s="233">
        <v>5.0000000000000001E-3</v>
      </c>
      <c r="H17" s="233">
        <v>5.0000000000000001E-3</v>
      </c>
      <c r="I17" s="233">
        <v>5.0000000000000001E-3</v>
      </c>
      <c r="J17" s="233">
        <v>5.0000000000000001E-3</v>
      </c>
      <c r="K17" s="233">
        <v>5.0000000000000001E-3</v>
      </c>
      <c r="L17" s="233">
        <v>5.0000000000000001E-3</v>
      </c>
      <c r="M17" s="233">
        <v>5.0000000000000001E-3</v>
      </c>
      <c r="N17" s="233">
        <v>5.0000000000000001E-3</v>
      </c>
      <c r="O17" s="233">
        <v>5.0000000000000001E-3</v>
      </c>
      <c r="P17" s="233">
        <v>5.0000000000000001E-3</v>
      </c>
      <c r="Q17" s="233">
        <v>5.0000000000000001E-3</v>
      </c>
      <c r="R17" s="42">
        <f>AVERAGEA(F17:Q17)</f>
        <v>4.9999999999999992E-3</v>
      </c>
    </row>
    <row r="18" spans="2:18" x14ac:dyDescent="0.35">
      <c r="B18" s="92"/>
      <c r="C18" s="41" t="s">
        <v>43</v>
      </c>
      <c r="D18" s="467" t="s">
        <v>24</v>
      </c>
      <c r="E18" s="233">
        <v>5.5E-2</v>
      </c>
      <c r="F18" s="233">
        <v>5.5E-2</v>
      </c>
      <c r="G18" s="233">
        <v>5.5E-2</v>
      </c>
      <c r="H18" s="233">
        <v>5.5E-2</v>
      </c>
      <c r="I18" s="233">
        <v>5.5E-2</v>
      </c>
      <c r="J18" s="233">
        <v>5.5E-2</v>
      </c>
      <c r="K18" s="233">
        <v>5.5E-2</v>
      </c>
      <c r="L18" s="233">
        <v>5.5E-2</v>
      </c>
      <c r="M18" s="233">
        <v>5.5E-2</v>
      </c>
      <c r="N18" s="233">
        <v>5.5E-2</v>
      </c>
      <c r="O18" s="233">
        <v>5.5E-2</v>
      </c>
      <c r="P18" s="233">
        <v>5.5E-2</v>
      </c>
      <c r="Q18" s="233">
        <v>5.5E-2</v>
      </c>
      <c r="R18" s="42">
        <f>AVERAGEA(F18:Q18)</f>
        <v>5.5000000000000014E-2</v>
      </c>
    </row>
    <row r="19" spans="2:18" ht="37.5" x14ac:dyDescent="0.35">
      <c r="B19" s="92"/>
      <c r="C19" s="41" t="s">
        <v>69</v>
      </c>
      <c r="D19" s="467" t="s">
        <v>24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</row>
    <row r="20" spans="2:18" ht="13" x14ac:dyDescent="0.35">
      <c r="B20" s="190"/>
      <c r="C20" s="43" t="s">
        <v>31</v>
      </c>
      <c r="D20" s="467" t="s">
        <v>24</v>
      </c>
      <c r="E20" s="44">
        <f t="shared" ref="E20:J20" si="2">SUM(E17:E19)</f>
        <v>0.06</v>
      </c>
      <c r="F20" s="44">
        <f>SUM(F17:F19)</f>
        <v>0.06</v>
      </c>
      <c r="G20" s="44">
        <f t="shared" si="2"/>
        <v>0.06</v>
      </c>
      <c r="H20" s="44">
        <f t="shared" si="2"/>
        <v>0.06</v>
      </c>
      <c r="I20" s="44">
        <f t="shared" si="2"/>
        <v>0.06</v>
      </c>
      <c r="J20" s="44">
        <f t="shared" si="2"/>
        <v>0.06</v>
      </c>
      <c r="K20" s="44">
        <f t="shared" ref="K20:R20" si="3">SUM(K17:K19)</f>
        <v>0.06</v>
      </c>
      <c r="L20" s="44">
        <f t="shared" si="3"/>
        <v>0.06</v>
      </c>
      <c r="M20" s="44">
        <f t="shared" si="3"/>
        <v>0.06</v>
      </c>
      <c r="N20" s="44">
        <f t="shared" si="3"/>
        <v>0.06</v>
      </c>
      <c r="O20" s="44">
        <f>SUM(O17:O19)</f>
        <v>0.06</v>
      </c>
      <c r="P20" s="44">
        <f t="shared" si="3"/>
        <v>0.06</v>
      </c>
      <c r="Q20" s="44">
        <f t="shared" si="3"/>
        <v>0.06</v>
      </c>
      <c r="R20" s="44">
        <f t="shared" si="3"/>
        <v>6.0000000000000012E-2</v>
      </c>
    </row>
    <row r="21" spans="2:18" ht="13" x14ac:dyDescent="0.35">
      <c r="B21" s="196"/>
      <c r="C21" s="39"/>
      <c r="D21" s="196"/>
      <c r="E21" s="39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</row>
    <row r="22" spans="2:18" ht="13" x14ac:dyDescent="0.35">
      <c r="B22" s="195" t="s">
        <v>1621</v>
      </c>
      <c r="C22" s="45"/>
      <c r="D22" s="191"/>
      <c r="E22" s="45"/>
      <c r="F22" s="45"/>
      <c r="G22" s="45"/>
    </row>
    <row r="23" spans="2:18" s="39" customFormat="1" ht="39" x14ac:dyDescent="0.35">
      <c r="B23" s="7">
        <v>1</v>
      </c>
      <c r="C23" s="38" t="s">
        <v>306</v>
      </c>
      <c r="D23" s="269" t="s">
        <v>11</v>
      </c>
      <c r="E23" s="7" t="s">
        <v>405</v>
      </c>
      <c r="F23" s="7" t="s">
        <v>56</v>
      </c>
      <c r="G23" s="7" t="s">
        <v>57</v>
      </c>
      <c r="H23" s="7" t="s">
        <v>58</v>
      </c>
      <c r="I23" s="7" t="s">
        <v>59</v>
      </c>
      <c r="J23" s="7" t="s">
        <v>60</v>
      </c>
      <c r="K23" s="7" t="s">
        <v>61</v>
      </c>
      <c r="L23" s="7" t="s">
        <v>62</v>
      </c>
      <c r="M23" s="7" t="s">
        <v>63</v>
      </c>
      <c r="N23" s="7" t="s">
        <v>64</v>
      </c>
      <c r="O23" s="7" t="s">
        <v>65</v>
      </c>
      <c r="P23" s="7" t="s">
        <v>66</v>
      </c>
      <c r="Q23" s="7" t="s">
        <v>67</v>
      </c>
      <c r="R23" s="7" t="s">
        <v>2246</v>
      </c>
    </row>
    <row r="24" spans="2:18" x14ac:dyDescent="0.35">
      <c r="B24" s="192"/>
      <c r="C24" s="42" t="s">
        <v>45</v>
      </c>
      <c r="D24" s="467" t="s">
        <v>24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</row>
    <row r="25" spans="2:18" x14ac:dyDescent="0.35">
      <c r="B25" s="192"/>
      <c r="C25" s="42" t="s">
        <v>46</v>
      </c>
      <c r="D25" s="467" t="s">
        <v>24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</row>
    <row r="26" spans="2:18" x14ac:dyDescent="0.35">
      <c r="B26" s="192"/>
      <c r="C26" s="42" t="s">
        <v>47</v>
      </c>
      <c r="D26" s="467" t="s">
        <v>24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</row>
    <row r="27" spans="2:18" ht="13" x14ac:dyDescent="0.35">
      <c r="B27" s="193"/>
      <c r="C27" s="44" t="s">
        <v>48</v>
      </c>
      <c r="D27" s="467" t="s">
        <v>24</v>
      </c>
      <c r="E27" s="44"/>
      <c r="F27" s="44">
        <f>SUM(F24:F26)</f>
        <v>0</v>
      </c>
      <c r="G27" s="44">
        <f t="shared" ref="G27:Q27" si="4">SUM(G24:G26)</f>
        <v>0</v>
      </c>
      <c r="H27" s="44">
        <f t="shared" si="4"/>
        <v>0</v>
      </c>
      <c r="I27" s="44">
        <f t="shared" si="4"/>
        <v>0</v>
      </c>
      <c r="J27" s="44">
        <f t="shared" si="4"/>
        <v>0</v>
      </c>
      <c r="K27" s="44">
        <f t="shared" si="4"/>
        <v>0</v>
      </c>
      <c r="L27" s="44">
        <f t="shared" si="4"/>
        <v>0</v>
      </c>
      <c r="M27" s="44">
        <f t="shared" si="4"/>
        <v>0</v>
      </c>
      <c r="N27" s="44">
        <f t="shared" si="4"/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>SUM(R24:R26)</f>
        <v>0</v>
      </c>
    </row>
    <row r="28" spans="2:18" ht="13" x14ac:dyDescent="0.35">
      <c r="B28" s="194"/>
      <c r="C28" s="46" t="s">
        <v>49</v>
      </c>
      <c r="D28" s="467" t="s">
        <v>24</v>
      </c>
      <c r="E28" s="46"/>
      <c r="F28" s="47">
        <f>1-F27</f>
        <v>1</v>
      </c>
      <c r="G28" s="47">
        <f t="shared" ref="G28:R28" si="5">1-G27</f>
        <v>1</v>
      </c>
      <c r="H28" s="47">
        <f t="shared" si="5"/>
        <v>1</v>
      </c>
      <c r="I28" s="47">
        <f t="shared" si="5"/>
        <v>1</v>
      </c>
      <c r="J28" s="47">
        <f t="shared" si="5"/>
        <v>1</v>
      </c>
      <c r="K28" s="47">
        <f t="shared" si="5"/>
        <v>1</v>
      </c>
      <c r="L28" s="47">
        <f t="shared" si="5"/>
        <v>1</v>
      </c>
      <c r="M28" s="47">
        <f t="shared" si="5"/>
        <v>1</v>
      </c>
      <c r="N28" s="47">
        <f t="shared" si="5"/>
        <v>1</v>
      </c>
      <c r="O28" s="47">
        <f t="shared" si="5"/>
        <v>1</v>
      </c>
      <c r="P28" s="47">
        <f t="shared" si="5"/>
        <v>1</v>
      </c>
      <c r="Q28" s="47">
        <f t="shared" si="5"/>
        <v>1</v>
      </c>
      <c r="R28" s="47">
        <f t="shared" si="5"/>
        <v>1</v>
      </c>
    </row>
    <row r="30" spans="2:18" s="39" customFormat="1" ht="39" x14ac:dyDescent="0.35">
      <c r="B30" s="7">
        <v>2</v>
      </c>
      <c r="C30" s="38" t="s">
        <v>324</v>
      </c>
      <c r="D30" s="269" t="s">
        <v>11</v>
      </c>
      <c r="E30" s="7" t="s">
        <v>405</v>
      </c>
      <c r="F30" s="7" t="s">
        <v>56</v>
      </c>
      <c r="G30" s="7" t="s">
        <v>57</v>
      </c>
      <c r="H30" s="7" t="s">
        <v>58</v>
      </c>
      <c r="I30" s="7" t="s">
        <v>59</v>
      </c>
      <c r="J30" s="7" t="s">
        <v>60</v>
      </c>
      <c r="K30" s="7" t="s">
        <v>61</v>
      </c>
      <c r="L30" s="7" t="s">
        <v>62</v>
      </c>
      <c r="M30" s="7" t="s">
        <v>63</v>
      </c>
      <c r="N30" s="7" t="s">
        <v>64</v>
      </c>
      <c r="O30" s="7" t="s">
        <v>65</v>
      </c>
      <c r="P30" s="7" t="s">
        <v>66</v>
      </c>
      <c r="Q30" s="7" t="s">
        <v>67</v>
      </c>
      <c r="R30" s="7" t="s">
        <v>2246</v>
      </c>
    </row>
    <row r="31" spans="2:18" x14ac:dyDescent="0.35">
      <c r="B31" s="192"/>
      <c r="C31" s="42" t="s">
        <v>45</v>
      </c>
      <c r="D31" s="467" t="s">
        <v>24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</row>
    <row r="32" spans="2:18" x14ac:dyDescent="0.35">
      <c r="B32" s="192"/>
      <c r="C32" s="42" t="s">
        <v>46</v>
      </c>
      <c r="D32" s="467" t="s">
        <v>24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</row>
    <row r="33" spans="2:18" x14ac:dyDescent="0.35">
      <c r="B33" s="192"/>
      <c r="C33" s="42" t="s">
        <v>47</v>
      </c>
      <c r="D33" s="467" t="s">
        <v>24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</row>
    <row r="34" spans="2:18" ht="13" x14ac:dyDescent="0.35">
      <c r="B34" s="193"/>
      <c r="C34" s="44" t="s">
        <v>48</v>
      </c>
      <c r="D34" s="467" t="s">
        <v>24</v>
      </c>
      <c r="E34" s="44">
        <f>SUM(E31:E33)</f>
        <v>0</v>
      </c>
      <c r="F34" s="44">
        <f>SUM(F31:F33)</f>
        <v>0</v>
      </c>
      <c r="G34" s="44">
        <f t="shared" ref="G34" si="6">SUM(G31:G33)</f>
        <v>0</v>
      </c>
      <c r="H34" s="44">
        <f t="shared" ref="H34" si="7">SUM(H31:H33)</f>
        <v>0</v>
      </c>
      <c r="I34" s="44">
        <f t="shared" ref="I34" si="8">SUM(I31:I33)</f>
        <v>0</v>
      </c>
      <c r="J34" s="44">
        <f t="shared" ref="J34" si="9">SUM(J31:J33)</f>
        <v>0</v>
      </c>
      <c r="K34" s="44">
        <f t="shared" ref="K34" si="10">SUM(K31:K33)</f>
        <v>0</v>
      </c>
      <c r="L34" s="44">
        <f t="shared" ref="L34" si="11">SUM(L31:L33)</f>
        <v>0</v>
      </c>
      <c r="M34" s="44">
        <f t="shared" ref="M34" si="12">SUM(M31:M33)</f>
        <v>0</v>
      </c>
      <c r="N34" s="44">
        <f t="shared" ref="N34" si="13">SUM(N31:N33)</f>
        <v>0</v>
      </c>
      <c r="O34" s="44">
        <f t="shared" ref="O34" si="14">SUM(O31:O33)</f>
        <v>0</v>
      </c>
      <c r="P34" s="44">
        <f t="shared" ref="P34" si="15">SUM(P31:P33)</f>
        <v>0</v>
      </c>
      <c r="Q34" s="44">
        <f t="shared" ref="Q34:R34" si="16">SUM(Q31:Q33)</f>
        <v>0</v>
      </c>
      <c r="R34" s="44">
        <f t="shared" si="16"/>
        <v>0</v>
      </c>
    </row>
    <row r="35" spans="2:18" ht="13" x14ac:dyDescent="0.35">
      <c r="B35" s="194"/>
      <c r="C35" s="46" t="s">
        <v>49</v>
      </c>
      <c r="D35" s="467" t="s">
        <v>24</v>
      </c>
      <c r="E35" s="46"/>
      <c r="F35" s="47">
        <f>1-F34</f>
        <v>1</v>
      </c>
      <c r="G35" s="47">
        <f t="shared" ref="G35" si="17">1-G34</f>
        <v>1</v>
      </c>
      <c r="H35" s="47">
        <f t="shared" ref="H35" si="18">1-H34</f>
        <v>1</v>
      </c>
      <c r="I35" s="47">
        <f t="shared" ref="I35" si="19">1-I34</f>
        <v>1</v>
      </c>
      <c r="J35" s="47">
        <f t="shared" ref="J35" si="20">1-J34</f>
        <v>1</v>
      </c>
      <c r="K35" s="47">
        <f t="shared" ref="K35" si="21">1-K34</f>
        <v>1</v>
      </c>
      <c r="L35" s="47">
        <f t="shared" ref="L35" si="22">1-L34</f>
        <v>1</v>
      </c>
      <c r="M35" s="47">
        <f t="shared" ref="M35" si="23">1-M34</f>
        <v>1</v>
      </c>
      <c r="N35" s="47">
        <f t="shared" ref="N35" si="24">1-N34</f>
        <v>1</v>
      </c>
      <c r="O35" s="47">
        <f t="shared" ref="O35" si="25">1-O34</f>
        <v>1</v>
      </c>
      <c r="P35" s="47">
        <f t="shared" ref="P35" si="26">1-P34</f>
        <v>1</v>
      </c>
      <c r="Q35" s="47">
        <f t="shared" ref="Q35:R35" si="27">1-Q34</f>
        <v>1</v>
      </c>
      <c r="R35" s="47">
        <f t="shared" si="27"/>
        <v>1</v>
      </c>
    </row>
    <row r="37" spans="2:18" s="39" customFormat="1" ht="39" x14ac:dyDescent="0.35">
      <c r="B37" s="7">
        <v>3</v>
      </c>
      <c r="C37" s="38" t="s">
        <v>415</v>
      </c>
      <c r="D37" s="269" t="s">
        <v>11</v>
      </c>
      <c r="E37" s="7" t="s">
        <v>405</v>
      </c>
      <c r="F37" s="7" t="s">
        <v>56</v>
      </c>
      <c r="G37" s="7" t="s">
        <v>57</v>
      </c>
      <c r="H37" s="7" t="s">
        <v>58</v>
      </c>
      <c r="I37" s="7" t="s">
        <v>59</v>
      </c>
      <c r="J37" s="7" t="s">
        <v>60</v>
      </c>
      <c r="K37" s="7" t="s">
        <v>61</v>
      </c>
      <c r="L37" s="7" t="s">
        <v>62</v>
      </c>
      <c r="M37" s="7" t="s">
        <v>63</v>
      </c>
      <c r="N37" s="7" t="s">
        <v>64</v>
      </c>
      <c r="O37" s="7" t="s">
        <v>65</v>
      </c>
      <c r="P37" s="7" t="s">
        <v>66</v>
      </c>
      <c r="Q37" s="7" t="s">
        <v>67</v>
      </c>
      <c r="R37" s="7" t="s">
        <v>2246</v>
      </c>
    </row>
    <row r="38" spans="2:18" x14ac:dyDescent="0.35">
      <c r="B38" s="192"/>
      <c r="C38" s="42" t="s">
        <v>45</v>
      </c>
      <c r="D38" s="467" t="s">
        <v>24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spans="2:18" x14ac:dyDescent="0.35">
      <c r="B39" s="192"/>
      <c r="C39" s="42" t="s">
        <v>46</v>
      </c>
      <c r="D39" s="467" t="s">
        <v>24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</row>
    <row r="40" spans="2:18" x14ac:dyDescent="0.35">
      <c r="B40" s="192"/>
      <c r="C40" s="42" t="s">
        <v>47</v>
      </c>
      <c r="D40" s="467" t="s">
        <v>24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</row>
    <row r="41" spans="2:18" ht="13" x14ac:dyDescent="0.35">
      <c r="B41" s="193"/>
      <c r="C41" s="44" t="s">
        <v>48</v>
      </c>
      <c r="D41" s="467" t="s">
        <v>24</v>
      </c>
      <c r="E41" s="44">
        <f>SUM(E38:E40)</f>
        <v>0</v>
      </c>
      <c r="F41" s="44">
        <f>SUM(F38:F40)</f>
        <v>0</v>
      </c>
      <c r="G41" s="44">
        <f t="shared" ref="G41:Q41" si="28">SUM(G38:G40)</f>
        <v>0</v>
      </c>
      <c r="H41" s="44">
        <f t="shared" si="28"/>
        <v>0</v>
      </c>
      <c r="I41" s="44">
        <f t="shared" si="28"/>
        <v>0</v>
      </c>
      <c r="J41" s="44">
        <f t="shared" si="28"/>
        <v>0</v>
      </c>
      <c r="K41" s="44">
        <f t="shared" si="28"/>
        <v>0</v>
      </c>
      <c r="L41" s="44">
        <f t="shared" si="28"/>
        <v>0</v>
      </c>
      <c r="M41" s="44">
        <f t="shared" si="28"/>
        <v>0</v>
      </c>
      <c r="N41" s="44">
        <f t="shared" si="28"/>
        <v>0</v>
      </c>
      <c r="O41" s="44">
        <f t="shared" si="28"/>
        <v>0</v>
      </c>
      <c r="P41" s="44">
        <f t="shared" si="28"/>
        <v>0</v>
      </c>
      <c r="Q41" s="44">
        <f t="shared" si="28"/>
        <v>0</v>
      </c>
      <c r="R41" s="44">
        <f t="shared" ref="R41" si="29">SUM(R38:R40)</f>
        <v>0</v>
      </c>
    </row>
    <row r="42" spans="2:18" ht="13" x14ac:dyDescent="0.35">
      <c r="B42" s="194"/>
      <c r="C42" s="46" t="s">
        <v>49</v>
      </c>
      <c r="D42" s="467" t="s">
        <v>24</v>
      </c>
      <c r="E42" s="46"/>
      <c r="F42" s="47">
        <f>1-F41</f>
        <v>1</v>
      </c>
      <c r="G42" s="47">
        <f t="shared" ref="G42:Q42" si="30">1-G41</f>
        <v>1</v>
      </c>
      <c r="H42" s="47">
        <f t="shared" si="30"/>
        <v>1</v>
      </c>
      <c r="I42" s="47">
        <f t="shared" si="30"/>
        <v>1</v>
      </c>
      <c r="J42" s="47">
        <f t="shared" si="30"/>
        <v>1</v>
      </c>
      <c r="K42" s="47">
        <f t="shared" si="30"/>
        <v>1</v>
      </c>
      <c r="L42" s="47">
        <f t="shared" si="30"/>
        <v>1</v>
      </c>
      <c r="M42" s="47">
        <f t="shared" si="30"/>
        <v>1</v>
      </c>
      <c r="N42" s="47">
        <f t="shared" si="30"/>
        <v>1</v>
      </c>
      <c r="O42" s="47">
        <f t="shared" si="30"/>
        <v>1</v>
      </c>
      <c r="P42" s="47">
        <f t="shared" si="30"/>
        <v>1</v>
      </c>
      <c r="Q42" s="47">
        <f t="shared" si="30"/>
        <v>1</v>
      </c>
      <c r="R42" s="47">
        <f t="shared" ref="R42" si="31">1-R41</f>
        <v>1</v>
      </c>
    </row>
    <row r="44" spans="2:18" s="39" customFormat="1" ht="39" x14ac:dyDescent="0.35">
      <c r="B44" s="7">
        <v>4</v>
      </c>
      <c r="C44" s="38" t="s">
        <v>336</v>
      </c>
      <c r="D44" s="269" t="s">
        <v>11</v>
      </c>
      <c r="E44" s="7" t="s">
        <v>405</v>
      </c>
      <c r="F44" s="7" t="s">
        <v>56</v>
      </c>
      <c r="G44" s="7" t="s">
        <v>57</v>
      </c>
      <c r="H44" s="7" t="s">
        <v>58</v>
      </c>
      <c r="I44" s="7" t="s">
        <v>59</v>
      </c>
      <c r="J44" s="7" t="s">
        <v>60</v>
      </c>
      <c r="K44" s="7" t="s">
        <v>61</v>
      </c>
      <c r="L44" s="7" t="s">
        <v>62</v>
      </c>
      <c r="M44" s="7" t="s">
        <v>63</v>
      </c>
      <c r="N44" s="7" t="s">
        <v>64</v>
      </c>
      <c r="O44" s="7" t="s">
        <v>65</v>
      </c>
      <c r="P44" s="7" t="s">
        <v>66</v>
      </c>
      <c r="Q44" s="7" t="s">
        <v>67</v>
      </c>
      <c r="R44" s="7" t="s">
        <v>2246</v>
      </c>
    </row>
    <row r="45" spans="2:18" x14ac:dyDescent="0.35">
      <c r="B45" s="192"/>
      <c r="C45" s="42" t="s">
        <v>45</v>
      </c>
      <c r="D45" s="467" t="s">
        <v>24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spans="2:18" x14ac:dyDescent="0.35">
      <c r="B46" s="192"/>
      <c r="C46" s="42" t="s">
        <v>46</v>
      </c>
      <c r="D46" s="467" t="s">
        <v>24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</row>
    <row r="47" spans="2:18" x14ac:dyDescent="0.35">
      <c r="B47" s="192"/>
      <c r="C47" s="42" t="s">
        <v>47</v>
      </c>
      <c r="D47" s="467" t="s">
        <v>24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 spans="2:18" ht="13" x14ac:dyDescent="0.35">
      <c r="B48" s="193"/>
      <c r="C48" s="44" t="s">
        <v>48</v>
      </c>
      <c r="D48" s="467" t="s">
        <v>24</v>
      </c>
      <c r="E48" s="44">
        <f>SUM(E45:E47)</f>
        <v>0</v>
      </c>
      <c r="F48" s="44">
        <f>SUM(F45:F47)</f>
        <v>0</v>
      </c>
      <c r="G48" s="44">
        <f t="shared" ref="G48:Q48" si="32">SUM(G45:G47)</f>
        <v>0</v>
      </c>
      <c r="H48" s="44">
        <f t="shared" si="32"/>
        <v>0</v>
      </c>
      <c r="I48" s="44">
        <f t="shared" si="32"/>
        <v>0</v>
      </c>
      <c r="J48" s="44">
        <f t="shared" si="32"/>
        <v>0</v>
      </c>
      <c r="K48" s="44">
        <f t="shared" si="32"/>
        <v>0</v>
      </c>
      <c r="L48" s="44">
        <f t="shared" si="32"/>
        <v>0</v>
      </c>
      <c r="M48" s="44">
        <f t="shared" si="32"/>
        <v>0</v>
      </c>
      <c r="N48" s="44">
        <f t="shared" si="32"/>
        <v>0</v>
      </c>
      <c r="O48" s="44">
        <f t="shared" si="32"/>
        <v>0</v>
      </c>
      <c r="P48" s="44">
        <f t="shared" si="32"/>
        <v>0</v>
      </c>
      <c r="Q48" s="44">
        <f t="shared" si="32"/>
        <v>0</v>
      </c>
      <c r="R48" s="44">
        <f t="shared" ref="R48" si="33">SUM(R45:R47)</f>
        <v>0</v>
      </c>
    </row>
    <row r="49" spans="2:18" ht="13" x14ac:dyDescent="0.35">
      <c r="B49" s="194"/>
      <c r="C49" s="46" t="s">
        <v>49</v>
      </c>
      <c r="D49" s="467" t="s">
        <v>24</v>
      </c>
      <c r="E49" s="46"/>
      <c r="F49" s="47">
        <f>1-F48</f>
        <v>1</v>
      </c>
      <c r="G49" s="47">
        <f t="shared" ref="G49:Q49" si="34">1-G48</f>
        <v>1</v>
      </c>
      <c r="H49" s="47">
        <f t="shared" si="34"/>
        <v>1</v>
      </c>
      <c r="I49" s="47">
        <f t="shared" si="34"/>
        <v>1</v>
      </c>
      <c r="J49" s="47">
        <f t="shared" si="34"/>
        <v>1</v>
      </c>
      <c r="K49" s="47">
        <f t="shared" si="34"/>
        <v>1</v>
      </c>
      <c r="L49" s="47">
        <f t="shared" si="34"/>
        <v>1</v>
      </c>
      <c r="M49" s="47">
        <f t="shared" si="34"/>
        <v>1</v>
      </c>
      <c r="N49" s="47">
        <f t="shared" si="34"/>
        <v>1</v>
      </c>
      <c r="O49" s="47">
        <f t="shared" si="34"/>
        <v>1</v>
      </c>
      <c r="P49" s="47">
        <f t="shared" si="34"/>
        <v>1</v>
      </c>
      <c r="Q49" s="47">
        <f t="shared" si="34"/>
        <v>1</v>
      </c>
      <c r="R49" s="47">
        <f t="shared" ref="R49" si="35">1-R48</f>
        <v>1</v>
      </c>
    </row>
    <row r="51" spans="2:18" ht="18" customHeight="1" x14ac:dyDescent="0.35">
      <c r="B51" s="195" t="s">
        <v>1622</v>
      </c>
      <c r="F51" s="344"/>
      <c r="G51" s="344"/>
      <c r="H51" s="344"/>
      <c r="I51" s="344"/>
      <c r="J51" s="344"/>
      <c r="K51" s="37"/>
    </row>
    <row r="52" spans="2:18" s="6" customFormat="1" ht="13" x14ac:dyDescent="0.3">
      <c r="B52" s="6" t="s">
        <v>1623</v>
      </c>
      <c r="D52" s="49"/>
    </row>
    <row r="53" spans="2:18" s="6" customFormat="1" ht="39" x14ac:dyDescent="0.25">
      <c r="B53" s="141" t="s">
        <v>0</v>
      </c>
      <c r="C53" s="141" t="s">
        <v>81</v>
      </c>
      <c r="D53" s="269" t="s">
        <v>11</v>
      </c>
      <c r="E53" s="7" t="s">
        <v>405</v>
      </c>
      <c r="F53" s="7" t="s">
        <v>56</v>
      </c>
      <c r="G53" s="7" t="s">
        <v>57</v>
      </c>
      <c r="H53" s="7" t="s">
        <v>58</v>
      </c>
      <c r="I53" s="7" t="s">
        <v>59</v>
      </c>
      <c r="J53" s="7" t="s">
        <v>60</v>
      </c>
      <c r="K53" s="7" t="s">
        <v>61</v>
      </c>
      <c r="L53" s="7" t="s">
        <v>62</v>
      </c>
      <c r="M53" s="7" t="s">
        <v>63</v>
      </c>
      <c r="N53" s="7" t="s">
        <v>64</v>
      </c>
      <c r="O53" s="7" t="s">
        <v>65</v>
      </c>
      <c r="P53" s="7" t="s">
        <v>66</v>
      </c>
      <c r="Q53" s="7" t="s">
        <v>67</v>
      </c>
      <c r="R53" s="7" t="s">
        <v>2246</v>
      </c>
    </row>
    <row r="54" spans="2:18" s="6" customFormat="1" x14ac:dyDescent="0.25">
      <c r="B54" s="8">
        <v>1</v>
      </c>
      <c r="C54" s="9" t="s">
        <v>35</v>
      </c>
      <c r="D54" s="281" t="s">
        <v>24</v>
      </c>
      <c r="E54" s="904">
        <v>0.48</v>
      </c>
      <c r="F54" s="903">
        <v>0.48</v>
      </c>
      <c r="G54" s="903">
        <v>0.48</v>
      </c>
      <c r="H54" s="903">
        <v>0.48</v>
      </c>
      <c r="I54" s="903">
        <v>0.48</v>
      </c>
      <c r="J54" s="903">
        <v>0.48</v>
      </c>
      <c r="K54" s="903">
        <v>0.48</v>
      </c>
      <c r="L54" s="903">
        <v>0.48</v>
      </c>
      <c r="M54" s="903">
        <v>0.48</v>
      </c>
      <c r="N54" s="903">
        <v>0.48</v>
      </c>
      <c r="O54" s="903">
        <v>0.48</v>
      </c>
      <c r="P54" s="903">
        <v>0.48</v>
      </c>
      <c r="Q54" s="903">
        <v>0.48</v>
      </c>
      <c r="R54" s="42">
        <f>IFERROR(AVERAGEA(F54:Q54),0)</f>
        <v>0.48000000000000015</v>
      </c>
    </row>
    <row r="55" spans="2:18" s="6" customFormat="1" x14ac:dyDescent="0.25">
      <c r="B55" s="8">
        <v>2</v>
      </c>
      <c r="C55" s="9" t="s">
        <v>401</v>
      </c>
      <c r="D55" s="281" t="s">
        <v>24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42">
        <f t="shared" ref="R55:R68" si="36">IFERROR(AVERAGEA(F55:Q55),0)</f>
        <v>0</v>
      </c>
    </row>
    <row r="56" spans="2:18" s="6" customFormat="1" x14ac:dyDescent="0.25">
      <c r="B56" s="8">
        <v>3</v>
      </c>
      <c r="C56" s="9" t="s">
        <v>42</v>
      </c>
      <c r="D56" s="281" t="s">
        <v>24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42">
        <f t="shared" si="36"/>
        <v>0</v>
      </c>
    </row>
    <row r="57" spans="2:18" s="6" customFormat="1" ht="13.4" customHeight="1" x14ac:dyDescent="0.25">
      <c r="B57" s="8">
        <v>4</v>
      </c>
      <c r="C57" s="9" t="s">
        <v>39</v>
      </c>
      <c r="D57" s="281" t="s">
        <v>24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42">
        <f t="shared" si="36"/>
        <v>0</v>
      </c>
    </row>
    <row r="58" spans="2:18" s="6" customFormat="1" x14ac:dyDescent="0.25">
      <c r="B58" s="8">
        <v>5</v>
      </c>
      <c r="C58" s="9" t="s">
        <v>32</v>
      </c>
      <c r="D58" s="281" t="s">
        <v>24</v>
      </c>
      <c r="E58" s="10">
        <v>0.105</v>
      </c>
      <c r="F58" s="10">
        <v>0.105</v>
      </c>
      <c r="G58" s="10">
        <v>0.105</v>
      </c>
      <c r="H58" s="10">
        <v>0.105</v>
      </c>
      <c r="I58" s="10">
        <v>0.105</v>
      </c>
      <c r="J58" s="10">
        <v>0.105</v>
      </c>
      <c r="K58" s="10">
        <v>0.105</v>
      </c>
      <c r="L58" s="10">
        <v>0.105</v>
      </c>
      <c r="M58" s="10">
        <v>0.105</v>
      </c>
      <c r="N58" s="10">
        <v>0.105</v>
      </c>
      <c r="O58" s="10">
        <v>0.105</v>
      </c>
      <c r="P58" s="10">
        <v>0.105</v>
      </c>
      <c r="Q58" s="10">
        <v>0.105</v>
      </c>
      <c r="R58" s="42">
        <f t="shared" si="36"/>
        <v>0.105</v>
      </c>
    </row>
    <row r="59" spans="2:18" s="6" customFormat="1" x14ac:dyDescent="0.25">
      <c r="B59" s="8">
        <v>6</v>
      </c>
      <c r="C59" s="9" t="s">
        <v>36</v>
      </c>
      <c r="D59" s="281" t="s">
        <v>24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42">
        <f t="shared" si="36"/>
        <v>0</v>
      </c>
    </row>
    <row r="60" spans="2:18" s="6" customFormat="1" x14ac:dyDescent="0.25">
      <c r="B60" s="8">
        <v>7</v>
      </c>
      <c r="C60" s="9" t="s">
        <v>34</v>
      </c>
      <c r="D60" s="281" t="s">
        <v>24</v>
      </c>
      <c r="E60" s="10">
        <v>1.4999999999999999E-2</v>
      </c>
      <c r="F60" s="10">
        <v>1.4999999999999999E-2</v>
      </c>
      <c r="G60" s="10">
        <v>1.4999999999999999E-2</v>
      </c>
      <c r="H60" s="10">
        <v>1.4999999999999999E-2</v>
      </c>
      <c r="I60" s="10">
        <v>1.4999999999999999E-2</v>
      </c>
      <c r="J60" s="10">
        <v>1.4999999999999999E-2</v>
      </c>
      <c r="K60" s="10">
        <v>1.4999999999999999E-2</v>
      </c>
      <c r="L60" s="10">
        <v>1.4999999999999999E-2</v>
      </c>
      <c r="M60" s="10">
        <v>1.4999999999999999E-2</v>
      </c>
      <c r="N60" s="10">
        <v>1.4999999999999999E-2</v>
      </c>
      <c r="O60" s="10">
        <v>1.4999999999999999E-2</v>
      </c>
      <c r="P60" s="10">
        <v>1.4999999999999999E-2</v>
      </c>
      <c r="Q60" s="10">
        <v>1.4999999999999999E-2</v>
      </c>
      <c r="R60" s="42">
        <f t="shared" si="36"/>
        <v>1.5000000000000005E-2</v>
      </c>
    </row>
    <row r="61" spans="2:18" s="6" customFormat="1" x14ac:dyDescent="0.25">
      <c r="B61" s="8">
        <v>8</v>
      </c>
      <c r="C61" s="9" t="s">
        <v>33</v>
      </c>
      <c r="D61" s="281" t="s">
        <v>24</v>
      </c>
      <c r="E61" s="904">
        <v>0.02</v>
      </c>
      <c r="F61" s="904">
        <v>0.02</v>
      </c>
      <c r="G61" s="904">
        <v>0.02</v>
      </c>
      <c r="H61" s="904">
        <v>0.02</v>
      </c>
      <c r="I61" s="904">
        <v>0.02</v>
      </c>
      <c r="J61" s="904">
        <v>0.02</v>
      </c>
      <c r="K61" s="904">
        <v>0.02</v>
      </c>
      <c r="L61" s="904">
        <v>0.02</v>
      </c>
      <c r="M61" s="904">
        <v>0.02</v>
      </c>
      <c r="N61" s="904">
        <v>0.02</v>
      </c>
      <c r="O61" s="904">
        <v>0.02</v>
      </c>
      <c r="P61" s="904">
        <v>0.02</v>
      </c>
      <c r="Q61" s="904">
        <v>0.02</v>
      </c>
      <c r="R61" s="42">
        <f t="shared" si="36"/>
        <v>1.9999999999999997E-2</v>
      </c>
    </row>
    <row r="62" spans="2:18" s="6" customFormat="1" x14ac:dyDescent="0.25">
      <c r="B62" s="8">
        <v>9</v>
      </c>
      <c r="C62" s="9" t="s">
        <v>37</v>
      </c>
      <c r="D62" s="281" t="s">
        <v>24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42">
        <f t="shared" si="36"/>
        <v>0</v>
      </c>
    </row>
    <row r="63" spans="2:18" s="6" customFormat="1" x14ac:dyDescent="0.25">
      <c r="B63" s="8">
        <v>10</v>
      </c>
      <c r="C63" s="9" t="s">
        <v>38</v>
      </c>
      <c r="D63" s="281" t="s">
        <v>24</v>
      </c>
      <c r="E63" s="903">
        <v>0.24</v>
      </c>
      <c r="F63" s="904">
        <v>0.24</v>
      </c>
      <c r="G63" s="904">
        <v>0.24</v>
      </c>
      <c r="H63" s="904">
        <v>0.24</v>
      </c>
      <c r="I63" s="904">
        <v>0.24</v>
      </c>
      <c r="J63" s="904">
        <v>0.24</v>
      </c>
      <c r="K63" s="904">
        <v>0.24</v>
      </c>
      <c r="L63" s="904">
        <v>0.24</v>
      </c>
      <c r="M63" s="904">
        <v>0.24</v>
      </c>
      <c r="N63" s="904">
        <v>0.24</v>
      </c>
      <c r="O63" s="904">
        <v>0.24</v>
      </c>
      <c r="P63" s="904">
        <v>0.24</v>
      </c>
      <c r="Q63" s="904">
        <v>0.24</v>
      </c>
      <c r="R63" s="42">
        <f t="shared" si="36"/>
        <v>0.24000000000000007</v>
      </c>
    </row>
    <row r="64" spans="2:18" s="6" customFormat="1" x14ac:dyDescent="0.25">
      <c r="B64" s="8">
        <v>11</v>
      </c>
      <c r="C64" s="9" t="s">
        <v>402</v>
      </c>
      <c r="D64" s="281" t="s">
        <v>24</v>
      </c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42">
        <f t="shared" si="36"/>
        <v>0</v>
      </c>
    </row>
    <row r="65" spans="2:18" s="6" customFormat="1" x14ac:dyDescent="0.25">
      <c r="B65" s="8">
        <v>12</v>
      </c>
      <c r="C65" s="9" t="s">
        <v>311</v>
      </c>
      <c r="D65" s="281" t="s">
        <v>24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42">
        <f t="shared" si="36"/>
        <v>0</v>
      </c>
    </row>
    <row r="66" spans="2:18" s="6" customFormat="1" x14ac:dyDescent="0.25">
      <c r="B66" s="8">
        <v>13</v>
      </c>
      <c r="C66" s="22" t="s">
        <v>403</v>
      </c>
      <c r="D66" s="281" t="s">
        <v>24</v>
      </c>
      <c r="E66" s="905">
        <v>0.01</v>
      </c>
      <c r="F66" s="905">
        <v>0.01</v>
      </c>
      <c r="G66" s="905">
        <v>0.01</v>
      </c>
      <c r="H66" s="905">
        <v>0.01</v>
      </c>
      <c r="I66" s="905">
        <v>0.01</v>
      </c>
      <c r="J66" s="905">
        <v>0.01</v>
      </c>
      <c r="K66" s="905">
        <v>0.01</v>
      </c>
      <c r="L66" s="905">
        <v>0.01</v>
      </c>
      <c r="M66" s="905">
        <v>0.01</v>
      </c>
      <c r="N66" s="905">
        <v>0.01</v>
      </c>
      <c r="O66" s="905">
        <v>0.01</v>
      </c>
      <c r="P66" s="905">
        <v>0.01</v>
      </c>
      <c r="Q66" s="905">
        <v>0.01</v>
      </c>
      <c r="R66" s="42">
        <f t="shared" si="36"/>
        <v>9.9999999999999985E-3</v>
      </c>
    </row>
    <row r="67" spans="2:18" s="6" customFormat="1" x14ac:dyDescent="0.25">
      <c r="B67" s="8">
        <v>14</v>
      </c>
      <c r="C67" s="9" t="s">
        <v>404</v>
      </c>
      <c r="D67" s="281" t="s">
        <v>24</v>
      </c>
      <c r="E67" s="904">
        <v>0.03</v>
      </c>
      <c r="F67" s="904">
        <v>0.03</v>
      </c>
      <c r="G67" s="904">
        <v>0.03</v>
      </c>
      <c r="H67" s="904">
        <v>0.03</v>
      </c>
      <c r="I67" s="904">
        <v>0.03</v>
      </c>
      <c r="J67" s="904">
        <v>0.03</v>
      </c>
      <c r="K67" s="904">
        <v>0.03</v>
      </c>
      <c r="L67" s="904">
        <v>0.03</v>
      </c>
      <c r="M67" s="904">
        <v>0.03</v>
      </c>
      <c r="N67" s="904">
        <v>0.03</v>
      </c>
      <c r="O67" s="904">
        <v>0.03</v>
      </c>
      <c r="P67" s="904">
        <v>0.03</v>
      </c>
      <c r="Q67" s="904">
        <v>0.03</v>
      </c>
      <c r="R67" s="42">
        <f t="shared" si="36"/>
        <v>3.0000000000000009E-2</v>
      </c>
    </row>
    <row r="68" spans="2:18" s="6" customFormat="1" x14ac:dyDescent="0.25">
      <c r="B68" s="8">
        <v>15</v>
      </c>
      <c r="C68" s="9" t="s">
        <v>25</v>
      </c>
      <c r="D68" s="281" t="s">
        <v>24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42">
        <f t="shared" si="36"/>
        <v>0</v>
      </c>
    </row>
    <row r="69" spans="2:18" s="6" customFormat="1" ht="13" x14ac:dyDescent="0.25">
      <c r="B69" s="23"/>
      <c r="C69" s="24" t="s">
        <v>41</v>
      </c>
      <c r="D69" s="368" t="s">
        <v>24</v>
      </c>
      <c r="E69" s="907">
        <f>SUM(E54:E67)</f>
        <v>0.9</v>
      </c>
      <c r="F69" s="906">
        <f t="shared" ref="F69:R69" si="37">SUM(F54:F68)</f>
        <v>0.9</v>
      </c>
      <c r="G69" s="906">
        <f t="shared" si="37"/>
        <v>0.9</v>
      </c>
      <c r="H69" s="906">
        <f t="shared" si="37"/>
        <v>0.9</v>
      </c>
      <c r="I69" s="906">
        <f t="shared" si="37"/>
        <v>0.9</v>
      </c>
      <c r="J69" s="906">
        <f t="shared" si="37"/>
        <v>0.9</v>
      </c>
      <c r="K69" s="906">
        <f t="shared" si="37"/>
        <v>0.9</v>
      </c>
      <c r="L69" s="906">
        <f t="shared" si="37"/>
        <v>0.9</v>
      </c>
      <c r="M69" s="906">
        <f t="shared" si="37"/>
        <v>0.9</v>
      </c>
      <c r="N69" s="906">
        <f t="shared" si="37"/>
        <v>0.9</v>
      </c>
      <c r="O69" s="906">
        <f t="shared" si="37"/>
        <v>0.9</v>
      </c>
      <c r="P69" s="906">
        <f t="shared" si="37"/>
        <v>0.9</v>
      </c>
      <c r="Q69" s="906">
        <f t="shared" si="37"/>
        <v>0.9</v>
      </c>
      <c r="R69" s="906">
        <f t="shared" si="37"/>
        <v>0.90000000000000036</v>
      </c>
    </row>
    <row r="70" spans="2:18" s="6" customFormat="1" ht="15" customHeight="1" x14ac:dyDescent="0.25">
      <c r="D70" s="49"/>
      <c r="E70" s="235">
        <f>100%-E69-E8</f>
        <v>0</v>
      </c>
      <c r="F70" s="235">
        <f>100%-F69-F8</f>
        <v>0</v>
      </c>
      <c r="G70" s="235">
        <f t="shared" ref="G70:R70" si="38">100%-G69-G8</f>
        <v>0</v>
      </c>
      <c r="H70" s="235">
        <f t="shared" si="38"/>
        <v>0</v>
      </c>
      <c r="I70" s="235">
        <f t="shared" si="38"/>
        <v>0</v>
      </c>
      <c r="J70" s="235">
        <f t="shared" si="38"/>
        <v>0</v>
      </c>
      <c r="K70" s="235">
        <f t="shared" si="38"/>
        <v>0</v>
      </c>
      <c r="L70" s="235">
        <f t="shared" si="38"/>
        <v>0</v>
      </c>
      <c r="M70" s="235">
        <f t="shared" si="38"/>
        <v>0</v>
      </c>
      <c r="N70" s="235">
        <f t="shared" si="38"/>
        <v>0</v>
      </c>
      <c r="O70" s="235">
        <f t="shared" si="38"/>
        <v>0</v>
      </c>
      <c r="P70" s="235">
        <f t="shared" si="38"/>
        <v>0</v>
      </c>
      <c r="Q70" s="235">
        <f t="shared" si="38"/>
        <v>0</v>
      </c>
      <c r="R70" s="235">
        <f t="shared" si="38"/>
        <v>-3.4694469519536142E-16</v>
      </c>
    </row>
    <row r="71" spans="2:18" s="6" customFormat="1" ht="13" x14ac:dyDescent="0.3">
      <c r="B71" s="6" t="s">
        <v>1624</v>
      </c>
      <c r="D71" s="49"/>
    </row>
    <row r="72" spans="2:18" s="6" customFormat="1" ht="39" x14ac:dyDescent="0.25">
      <c r="B72" s="141" t="s">
        <v>0</v>
      </c>
      <c r="C72" s="141" t="s">
        <v>81</v>
      </c>
      <c r="D72" s="269" t="s">
        <v>11</v>
      </c>
      <c r="E72" s="7" t="s">
        <v>405</v>
      </c>
      <c r="F72" s="7" t="s">
        <v>56</v>
      </c>
      <c r="G72" s="7" t="s">
        <v>57</v>
      </c>
      <c r="H72" s="7" t="s">
        <v>58</v>
      </c>
      <c r="I72" s="7" t="s">
        <v>59</v>
      </c>
      <c r="J72" s="7" t="s">
        <v>60</v>
      </c>
      <c r="K72" s="7" t="s">
        <v>61</v>
      </c>
      <c r="L72" s="7" t="s">
        <v>62</v>
      </c>
      <c r="M72" s="7" t="s">
        <v>63</v>
      </c>
      <c r="N72" s="7" t="s">
        <v>64</v>
      </c>
      <c r="O72" s="7" t="s">
        <v>65</v>
      </c>
      <c r="P72" s="7" t="s">
        <v>66</v>
      </c>
      <c r="Q72" s="7" t="s">
        <v>67</v>
      </c>
      <c r="R72" s="7" t="s">
        <v>2246</v>
      </c>
    </row>
    <row r="73" spans="2:18" s="6" customFormat="1" x14ac:dyDescent="0.25">
      <c r="B73" s="8">
        <v>1</v>
      </c>
      <c r="C73" s="9" t="s">
        <v>35</v>
      </c>
      <c r="D73" s="281" t="s">
        <v>24</v>
      </c>
      <c r="E73" s="904">
        <v>0.46</v>
      </c>
      <c r="F73" s="903">
        <v>0.46</v>
      </c>
      <c r="G73" s="903">
        <v>0.46</v>
      </c>
      <c r="H73" s="903">
        <v>0.46</v>
      </c>
      <c r="I73" s="903">
        <v>0.46</v>
      </c>
      <c r="J73" s="903">
        <v>0.46</v>
      </c>
      <c r="K73" s="903">
        <v>0.46</v>
      </c>
      <c r="L73" s="903">
        <v>0.46</v>
      </c>
      <c r="M73" s="903">
        <v>0.46</v>
      </c>
      <c r="N73" s="903">
        <v>0.46</v>
      </c>
      <c r="O73" s="903">
        <v>0.46</v>
      </c>
      <c r="P73" s="903">
        <v>0.46</v>
      </c>
      <c r="Q73" s="903">
        <v>0.46</v>
      </c>
      <c r="R73" s="42">
        <f>IFERROR(AVERAGEA(F73:Q73),0)</f>
        <v>0.46</v>
      </c>
    </row>
    <row r="74" spans="2:18" s="6" customFormat="1" x14ac:dyDescent="0.25">
      <c r="B74" s="8">
        <v>2</v>
      </c>
      <c r="C74" s="9" t="s">
        <v>401</v>
      </c>
      <c r="D74" s="281" t="s">
        <v>24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42">
        <f t="shared" ref="R74:R87" si="39">IFERROR(AVERAGEA(F74:Q74),0)</f>
        <v>0</v>
      </c>
    </row>
    <row r="75" spans="2:18" s="6" customFormat="1" x14ac:dyDescent="0.25">
      <c r="B75" s="8">
        <v>3</v>
      </c>
      <c r="C75" s="9" t="s">
        <v>42</v>
      </c>
      <c r="D75" s="281" t="s">
        <v>24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42">
        <f t="shared" si="39"/>
        <v>0</v>
      </c>
    </row>
    <row r="76" spans="2:18" s="6" customFormat="1" x14ac:dyDescent="0.25">
      <c r="B76" s="8">
        <v>4</v>
      </c>
      <c r="C76" s="9" t="s">
        <v>39</v>
      </c>
      <c r="D76" s="281" t="s">
        <v>24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42">
        <f t="shared" si="39"/>
        <v>0</v>
      </c>
    </row>
    <row r="77" spans="2:18" s="6" customFormat="1" x14ac:dyDescent="0.25">
      <c r="B77" s="8">
        <v>5</v>
      </c>
      <c r="C77" s="9" t="s">
        <v>32</v>
      </c>
      <c r="D77" s="281" t="s">
        <v>24</v>
      </c>
      <c r="E77" s="10">
        <v>9.5000000000000001E-2</v>
      </c>
      <c r="F77" s="10">
        <v>9.5000000000000001E-2</v>
      </c>
      <c r="G77" s="10">
        <v>9.5000000000000001E-2</v>
      </c>
      <c r="H77" s="10">
        <v>9.5000000000000001E-2</v>
      </c>
      <c r="I77" s="10">
        <v>9.5000000000000001E-2</v>
      </c>
      <c r="J77" s="10">
        <v>9.5000000000000001E-2</v>
      </c>
      <c r="K77" s="10">
        <v>9.5000000000000001E-2</v>
      </c>
      <c r="L77" s="10">
        <v>9.5000000000000001E-2</v>
      </c>
      <c r="M77" s="10">
        <v>9.5000000000000001E-2</v>
      </c>
      <c r="N77" s="10">
        <v>9.5000000000000001E-2</v>
      </c>
      <c r="O77" s="10">
        <v>9.5000000000000001E-2</v>
      </c>
      <c r="P77" s="10">
        <v>9.5000000000000001E-2</v>
      </c>
      <c r="Q77" s="10">
        <v>9.5000000000000001E-2</v>
      </c>
      <c r="R77" s="42">
        <f t="shared" si="39"/>
        <v>9.4999999999999987E-2</v>
      </c>
    </row>
    <row r="78" spans="2:18" s="6" customFormat="1" ht="14.15" customHeight="1" x14ac:dyDescent="0.25">
      <c r="B78" s="8">
        <v>6</v>
      </c>
      <c r="C78" s="9" t="s">
        <v>36</v>
      </c>
      <c r="D78" s="281" t="s">
        <v>24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42">
        <f t="shared" si="39"/>
        <v>0</v>
      </c>
    </row>
    <row r="79" spans="2:18" s="6" customFormat="1" x14ac:dyDescent="0.25">
      <c r="B79" s="8">
        <v>7</v>
      </c>
      <c r="C79" s="9" t="s">
        <v>34</v>
      </c>
      <c r="D79" s="281" t="s">
        <v>24</v>
      </c>
      <c r="E79" s="10">
        <v>1.4999999999999999E-2</v>
      </c>
      <c r="F79" s="10">
        <v>1.4999999999999999E-2</v>
      </c>
      <c r="G79" s="10">
        <v>1.4999999999999999E-2</v>
      </c>
      <c r="H79" s="10">
        <v>1.4999999999999999E-2</v>
      </c>
      <c r="I79" s="10">
        <v>1.4999999999999999E-2</v>
      </c>
      <c r="J79" s="10">
        <v>1.4999999999999999E-2</v>
      </c>
      <c r="K79" s="10">
        <v>1.4999999999999999E-2</v>
      </c>
      <c r="L79" s="10">
        <v>1.4999999999999999E-2</v>
      </c>
      <c r="M79" s="10">
        <v>1.4999999999999999E-2</v>
      </c>
      <c r="N79" s="10">
        <v>1.4999999999999999E-2</v>
      </c>
      <c r="O79" s="10">
        <v>1.4999999999999999E-2</v>
      </c>
      <c r="P79" s="10">
        <v>1.4999999999999999E-2</v>
      </c>
      <c r="Q79" s="10">
        <v>1.4999999999999999E-2</v>
      </c>
      <c r="R79" s="42">
        <f t="shared" si="39"/>
        <v>1.5000000000000005E-2</v>
      </c>
    </row>
    <row r="80" spans="2:18" s="6" customFormat="1" x14ac:dyDescent="0.25">
      <c r="B80" s="8">
        <v>8</v>
      </c>
      <c r="C80" s="9" t="s">
        <v>33</v>
      </c>
      <c r="D80" s="281" t="s">
        <v>24</v>
      </c>
      <c r="E80" s="904">
        <v>0.02</v>
      </c>
      <c r="F80" s="904">
        <v>0.02</v>
      </c>
      <c r="G80" s="904">
        <v>0.02</v>
      </c>
      <c r="H80" s="904">
        <v>0.02</v>
      </c>
      <c r="I80" s="904">
        <v>0.02</v>
      </c>
      <c r="J80" s="904">
        <v>0.02</v>
      </c>
      <c r="K80" s="904">
        <v>0.02</v>
      </c>
      <c r="L80" s="904">
        <v>0.02</v>
      </c>
      <c r="M80" s="904">
        <v>0.02</v>
      </c>
      <c r="N80" s="904">
        <v>0.02</v>
      </c>
      <c r="O80" s="904">
        <v>0.02</v>
      </c>
      <c r="P80" s="904">
        <v>0.02</v>
      </c>
      <c r="Q80" s="904">
        <v>0.02</v>
      </c>
      <c r="R80" s="42">
        <f t="shared" si="39"/>
        <v>1.9999999999999997E-2</v>
      </c>
    </row>
    <row r="81" spans="2:18" s="6" customFormat="1" x14ac:dyDescent="0.25">
      <c r="B81" s="8">
        <v>9</v>
      </c>
      <c r="C81" s="9" t="s">
        <v>37</v>
      </c>
      <c r="D81" s="281" t="s">
        <v>24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42">
        <f t="shared" si="39"/>
        <v>0</v>
      </c>
    </row>
    <row r="82" spans="2:18" s="6" customFormat="1" x14ac:dyDescent="0.25">
      <c r="B82" s="8">
        <v>10</v>
      </c>
      <c r="C82" s="9" t="s">
        <v>38</v>
      </c>
      <c r="D82" s="281" t="s">
        <v>24</v>
      </c>
      <c r="E82" s="903">
        <v>0.24</v>
      </c>
      <c r="F82" s="904">
        <v>0.24</v>
      </c>
      <c r="G82" s="904">
        <v>0.24</v>
      </c>
      <c r="H82" s="904">
        <v>0.24</v>
      </c>
      <c r="I82" s="904">
        <v>0.24</v>
      </c>
      <c r="J82" s="904">
        <v>0.24</v>
      </c>
      <c r="K82" s="904">
        <v>0.24</v>
      </c>
      <c r="L82" s="904">
        <v>0.24</v>
      </c>
      <c r="M82" s="904">
        <v>0.24</v>
      </c>
      <c r="N82" s="904">
        <v>0.24</v>
      </c>
      <c r="O82" s="904">
        <v>0.24</v>
      </c>
      <c r="P82" s="904">
        <v>0.24</v>
      </c>
      <c r="Q82" s="904">
        <v>0.24</v>
      </c>
      <c r="R82" s="42">
        <f t="shared" si="39"/>
        <v>0.24000000000000007</v>
      </c>
    </row>
    <row r="83" spans="2:18" s="6" customFormat="1" x14ac:dyDescent="0.25">
      <c r="B83" s="8">
        <v>11</v>
      </c>
      <c r="C83" s="9" t="s">
        <v>402</v>
      </c>
      <c r="D83" s="281" t="s">
        <v>24</v>
      </c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42">
        <f t="shared" si="39"/>
        <v>0</v>
      </c>
    </row>
    <row r="84" spans="2:18" s="6" customFormat="1" x14ac:dyDescent="0.25">
      <c r="B84" s="8">
        <v>12</v>
      </c>
      <c r="C84" s="9" t="s">
        <v>311</v>
      </c>
      <c r="D84" s="281" t="s">
        <v>24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42">
        <f t="shared" si="39"/>
        <v>0</v>
      </c>
    </row>
    <row r="85" spans="2:18" s="6" customFormat="1" x14ac:dyDescent="0.25">
      <c r="B85" s="8">
        <v>13</v>
      </c>
      <c r="C85" s="22" t="s">
        <v>403</v>
      </c>
      <c r="D85" s="281" t="s">
        <v>24</v>
      </c>
      <c r="E85" s="905">
        <v>0.01</v>
      </c>
      <c r="F85" s="905">
        <v>0.01</v>
      </c>
      <c r="G85" s="905">
        <v>0.01</v>
      </c>
      <c r="H85" s="905">
        <v>0.01</v>
      </c>
      <c r="I85" s="905">
        <v>0.01</v>
      </c>
      <c r="J85" s="905">
        <v>0.01</v>
      </c>
      <c r="K85" s="905">
        <v>0.01</v>
      </c>
      <c r="L85" s="905">
        <v>0.01</v>
      </c>
      <c r="M85" s="905">
        <v>0.01</v>
      </c>
      <c r="N85" s="905">
        <v>0.01</v>
      </c>
      <c r="O85" s="905">
        <v>0.01</v>
      </c>
      <c r="P85" s="905">
        <v>0.01</v>
      </c>
      <c r="Q85" s="905">
        <v>0.01</v>
      </c>
      <c r="R85" s="42">
        <f t="shared" si="39"/>
        <v>9.9999999999999985E-3</v>
      </c>
    </row>
    <row r="86" spans="2:18" s="6" customFormat="1" x14ac:dyDescent="0.25">
      <c r="B86" s="8">
        <v>14</v>
      </c>
      <c r="C86" s="9" t="s">
        <v>404</v>
      </c>
      <c r="D86" s="281" t="s">
        <v>24</v>
      </c>
      <c r="E86" s="904">
        <v>0.03</v>
      </c>
      <c r="F86" s="18">
        <v>0.03</v>
      </c>
      <c r="G86" s="18">
        <v>0.03</v>
      </c>
      <c r="H86" s="18">
        <v>0.03</v>
      </c>
      <c r="I86" s="18">
        <v>0.03</v>
      </c>
      <c r="J86" s="18">
        <v>0.03</v>
      </c>
      <c r="K86" s="18">
        <v>0.03</v>
      </c>
      <c r="L86" s="18">
        <v>0.03</v>
      </c>
      <c r="M86" s="18">
        <v>0.03</v>
      </c>
      <c r="N86" s="18">
        <v>0.03</v>
      </c>
      <c r="O86" s="18">
        <v>0.03</v>
      </c>
      <c r="P86" s="18">
        <v>0.03</v>
      </c>
      <c r="Q86" s="18">
        <v>0.03</v>
      </c>
      <c r="R86" s="42">
        <f t="shared" si="39"/>
        <v>3.0000000000000009E-2</v>
      </c>
    </row>
    <row r="87" spans="2:18" s="6" customFormat="1" x14ac:dyDescent="0.25">
      <c r="B87" s="8">
        <v>15</v>
      </c>
      <c r="C87" s="9" t="s">
        <v>25</v>
      </c>
      <c r="D87" s="281" t="s">
        <v>24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42">
        <f t="shared" si="39"/>
        <v>0</v>
      </c>
    </row>
    <row r="88" spans="2:18" s="6" customFormat="1" ht="13" x14ac:dyDescent="0.25">
      <c r="B88" s="23"/>
      <c r="C88" s="24" t="s">
        <v>41</v>
      </c>
      <c r="D88" s="368" t="s">
        <v>24</v>
      </c>
      <c r="E88" s="907">
        <f>SUM(E73:E86)</f>
        <v>0.87000000000000011</v>
      </c>
      <c r="F88" s="906">
        <f t="shared" ref="F88:R88" si="40">SUM(F73:F87)</f>
        <v>0.87000000000000011</v>
      </c>
      <c r="G88" s="906">
        <f t="shared" si="40"/>
        <v>0.87000000000000011</v>
      </c>
      <c r="H88" s="906">
        <f t="shared" si="40"/>
        <v>0.87000000000000011</v>
      </c>
      <c r="I88" s="906">
        <f t="shared" si="40"/>
        <v>0.87000000000000011</v>
      </c>
      <c r="J88" s="906">
        <f t="shared" si="40"/>
        <v>0.87000000000000011</v>
      </c>
      <c r="K88" s="906">
        <f t="shared" si="40"/>
        <v>0.87000000000000011</v>
      </c>
      <c r="L88" s="906">
        <f t="shared" si="40"/>
        <v>0.87000000000000011</v>
      </c>
      <c r="M88" s="906">
        <f t="shared" si="40"/>
        <v>0.87000000000000011</v>
      </c>
      <c r="N88" s="906">
        <f t="shared" si="40"/>
        <v>0.87000000000000011</v>
      </c>
      <c r="O88" s="906">
        <f t="shared" si="40"/>
        <v>0.87000000000000011</v>
      </c>
      <c r="P88" s="906">
        <f t="shared" si="40"/>
        <v>0.87000000000000011</v>
      </c>
      <c r="Q88" s="906">
        <f t="shared" si="40"/>
        <v>0.87000000000000011</v>
      </c>
      <c r="R88" s="906">
        <f t="shared" si="40"/>
        <v>0.87000000000000022</v>
      </c>
    </row>
    <row r="89" spans="2:18" s="6" customFormat="1" x14ac:dyDescent="0.25">
      <c r="D89" s="49"/>
      <c r="E89" s="236">
        <f>100%-E88-E14</f>
        <v>0</v>
      </c>
      <c r="F89" s="236">
        <f>100%-F88-F14</f>
        <v>0</v>
      </c>
      <c r="G89" s="236">
        <f t="shared" ref="G89:Q89" si="41">100%-G88-G14</f>
        <v>0</v>
      </c>
      <c r="H89" s="236">
        <f t="shared" si="41"/>
        <v>0</v>
      </c>
      <c r="I89" s="236">
        <f t="shared" si="41"/>
        <v>0</v>
      </c>
      <c r="J89" s="236">
        <f t="shared" si="41"/>
        <v>0</v>
      </c>
      <c r="K89" s="236">
        <f t="shared" si="41"/>
        <v>0</v>
      </c>
      <c r="L89" s="236">
        <f t="shared" si="41"/>
        <v>0</v>
      </c>
      <c r="M89" s="236">
        <f t="shared" si="41"/>
        <v>0</v>
      </c>
      <c r="N89" s="236">
        <f t="shared" si="41"/>
        <v>0</v>
      </c>
      <c r="O89" s="236">
        <f t="shared" si="41"/>
        <v>0</v>
      </c>
      <c r="P89" s="236">
        <f t="shared" si="41"/>
        <v>0</v>
      </c>
      <c r="Q89" s="236">
        <f t="shared" si="41"/>
        <v>0</v>
      </c>
    </row>
    <row r="90" spans="2:18" s="6" customFormat="1" ht="13" x14ac:dyDescent="0.3">
      <c r="B90" s="6" t="s">
        <v>1625</v>
      </c>
      <c r="D90" s="49"/>
      <c r="K90" s="353"/>
    </row>
    <row r="91" spans="2:18" s="6" customFormat="1" ht="39" x14ac:dyDescent="0.25">
      <c r="B91" s="141" t="s">
        <v>0</v>
      </c>
      <c r="C91" s="141" t="s">
        <v>81</v>
      </c>
      <c r="D91" s="269" t="s">
        <v>11</v>
      </c>
      <c r="E91" s="7" t="s">
        <v>405</v>
      </c>
      <c r="F91" s="7" t="s">
        <v>56</v>
      </c>
      <c r="G91" s="7" t="s">
        <v>57</v>
      </c>
      <c r="H91" s="7" t="s">
        <v>58</v>
      </c>
      <c r="I91" s="7" t="s">
        <v>59</v>
      </c>
      <c r="J91" s="7" t="s">
        <v>60</v>
      </c>
      <c r="K91" s="7" t="s">
        <v>61</v>
      </c>
      <c r="L91" s="7" t="s">
        <v>62</v>
      </c>
      <c r="M91" s="7" t="s">
        <v>63</v>
      </c>
      <c r="N91" s="7" t="s">
        <v>64</v>
      </c>
      <c r="O91" s="7" t="s">
        <v>65</v>
      </c>
      <c r="P91" s="7" t="s">
        <v>66</v>
      </c>
      <c r="Q91" s="7" t="s">
        <v>67</v>
      </c>
      <c r="R91" s="7" t="s">
        <v>2246</v>
      </c>
    </row>
    <row r="92" spans="2:18" s="6" customFormat="1" x14ac:dyDescent="0.25">
      <c r="B92" s="8">
        <v>1</v>
      </c>
      <c r="C92" s="9" t="s">
        <v>35</v>
      </c>
      <c r="D92" s="281" t="s">
        <v>24</v>
      </c>
      <c r="E92" s="904">
        <v>0.65</v>
      </c>
      <c r="F92" s="903">
        <v>0.65</v>
      </c>
      <c r="G92" s="903">
        <v>0.65</v>
      </c>
      <c r="H92" s="903">
        <v>0.65</v>
      </c>
      <c r="I92" s="903">
        <v>0.65</v>
      </c>
      <c r="J92" s="903">
        <v>0.65</v>
      </c>
      <c r="K92" s="903">
        <v>0.65</v>
      </c>
      <c r="L92" s="903">
        <v>0.65</v>
      </c>
      <c r="M92" s="903">
        <v>0.65</v>
      </c>
      <c r="N92" s="903">
        <v>0.65</v>
      </c>
      <c r="O92" s="903">
        <v>0.65</v>
      </c>
      <c r="P92" s="903">
        <v>0.65</v>
      </c>
      <c r="Q92" s="903">
        <v>0.65</v>
      </c>
      <c r="R92" s="42">
        <f>IFERROR(AVERAGEA(F92:Q92),0)</f>
        <v>0.65000000000000013</v>
      </c>
    </row>
    <row r="93" spans="2:18" s="6" customFormat="1" x14ac:dyDescent="0.25">
      <c r="B93" s="8">
        <v>2</v>
      </c>
      <c r="C93" s="9" t="s">
        <v>401</v>
      </c>
      <c r="D93" s="281" t="s">
        <v>24</v>
      </c>
      <c r="E93" s="904"/>
      <c r="F93" s="904"/>
      <c r="G93" s="904"/>
      <c r="H93" s="904"/>
      <c r="I93" s="904"/>
      <c r="J93" s="904"/>
      <c r="K93" s="904"/>
      <c r="L93" s="904"/>
      <c r="M93" s="904"/>
      <c r="N93" s="904"/>
      <c r="O93" s="904"/>
      <c r="P93" s="904"/>
      <c r="Q93" s="904"/>
      <c r="R93" s="42">
        <f t="shared" ref="R93:R106" si="42">IFERROR(AVERAGEA(F93:Q93),0)</f>
        <v>0</v>
      </c>
    </row>
    <row r="94" spans="2:18" s="6" customFormat="1" x14ac:dyDescent="0.25">
      <c r="B94" s="8">
        <v>3</v>
      </c>
      <c r="C94" s="9" t="s">
        <v>42</v>
      </c>
      <c r="D94" s="281" t="s">
        <v>24</v>
      </c>
      <c r="E94" s="904"/>
      <c r="F94" s="904"/>
      <c r="G94" s="904"/>
      <c r="H94" s="904"/>
      <c r="I94" s="904"/>
      <c r="J94" s="904"/>
      <c r="K94" s="904"/>
      <c r="L94" s="904"/>
      <c r="M94" s="904"/>
      <c r="N94" s="904"/>
      <c r="O94" s="904"/>
      <c r="P94" s="904"/>
      <c r="Q94" s="904"/>
      <c r="R94" s="42">
        <f t="shared" si="42"/>
        <v>0</v>
      </c>
    </row>
    <row r="95" spans="2:18" s="6" customFormat="1" x14ac:dyDescent="0.25">
      <c r="B95" s="8">
        <v>4</v>
      </c>
      <c r="C95" s="9" t="s">
        <v>39</v>
      </c>
      <c r="D95" s="281" t="s">
        <v>24</v>
      </c>
      <c r="E95" s="904"/>
      <c r="F95" s="904"/>
      <c r="G95" s="904"/>
      <c r="H95" s="904"/>
      <c r="I95" s="904"/>
      <c r="J95" s="904"/>
      <c r="K95" s="904"/>
      <c r="L95" s="904"/>
      <c r="M95" s="904"/>
      <c r="N95" s="904"/>
      <c r="O95" s="904"/>
      <c r="P95" s="904"/>
      <c r="Q95" s="904"/>
      <c r="R95" s="42">
        <f t="shared" si="42"/>
        <v>0</v>
      </c>
    </row>
    <row r="96" spans="2:18" s="6" customFormat="1" x14ac:dyDescent="0.25">
      <c r="B96" s="8">
        <v>5</v>
      </c>
      <c r="C96" s="9" t="s">
        <v>32</v>
      </c>
      <c r="D96" s="281" t="s">
        <v>24</v>
      </c>
      <c r="E96" s="904"/>
      <c r="F96" s="904"/>
      <c r="G96" s="904"/>
      <c r="H96" s="904"/>
      <c r="I96" s="904"/>
      <c r="J96" s="904"/>
      <c r="K96" s="904"/>
      <c r="L96" s="904"/>
      <c r="M96" s="904"/>
      <c r="N96" s="904"/>
      <c r="O96" s="904"/>
      <c r="P96" s="904"/>
      <c r="Q96" s="904"/>
      <c r="R96" s="42">
        <f t="shared" si="42"/>
        <v>0</v>
      </c>
    </row>
    <row r="97" spans="2:18" s="6" customFormat="1" x14ac:dyDescent="0.25">
      <c r="B97" s="8">
        <v>6</v>
      </c>
      <c r="C97" s="9" t="s">
        <v>36</v>
      </c>
      <c r="D97" s="281" t="s">
        <v>24</v>
      </c>
      <c r="E97" s="904"/>
      <c r="F97" s="904"/>
      <c r="G97" s="904"/>
      <c r="H97" s="904"/>
      <c r="I97" s="904"/>
      <c r="J97" s="904"/>
      <c r="K97" s="904"/>
      <c r="L97" s="904"/>
      <c r="M97" s="904"/>
      <c r="N97" s="904"/>
      <c r="O97" s="904"/>
      <c r="P97" s="904"/>
      <c r="Q97" s="904"/>
      <c r="R97" s="42">
        <f t="shared" si="42"/>
        <v>0</v>
      </c>
    </row>
    <row r="98" spans="2:18" s="6" customFormat="1" x14ac:dyDescent="0.25">
      <c r="B98" s="8">
        <v>7</v>
      </c>
      <c r="C98" s="9" t="s">
        <v>34</v>
      </c>
      <c r="D98" s="281" t="s">
        <v>24</v>
      </c>
      <c r="E98" s="904"/>
      <c r="F98" s="904"/>
      <c r="G98" s="904"/>
      <c r="H98" s="904"/>
      <c r="I98" s="904"/>
      <c r="J98" s="904"/>
      <c r="K98" s="904"/>
      <c r="L98" s="904"/>
      <c r="M98" s="904"/>
      <c r="N98" s="904"/>
      <c r="O98" s="904"/>
      <c r="P98" s="904"/>
      <c r="Q98" s="904"/>
      <c r="R98" s="42">
        <f t="shared" si="42"/>
        <v>0</v>
      </c>
    </row>
    <row r="99" spans="2:18" s="6" customFormat="1" x14ac:dyDescent="0.25">
      <c r="B99" s="8">
        <v>8</v>
      </c>
      <c r="C99" s="9" t="s">
        <v>33</v>
      </c>
      <c r="D99" s="281" t="s">
        <v>24</v>
      </c>
      <c r="E99" s="904"/>
      <c r="F99" s="904"/>
      <c r="G99" s="904"/>
      <c r="H99" s="904"/>
      <c r="I99" s="904"/>
      <c r="J99" s="904"/>
      <c r="K99" s="904"/>
      <c r="L99" s="904"/>
      <c r="M99" s="904"/>
      <c r="N99" s="904"/>
      <c r="O99" s="904"/>
      <c r="P99" s="904"/>
      <c r="Q99" s="904"/>
      <c r="R99" s="42">
        <f t="shared" si="42"/>
        <v>0</v>
      </c>
    </row>
    <row r="100" spans="2:18" s="6" customFormat="1" x14ac:dyDescent="0.25">
      <c r="B100" s="8">
        <v>9</v>
      </c>
      <c r="C100" s="9" t="s">
        <v>37</v>
      </c>
      <c r="D100" s="281" t="s">
        <v>24</v>
      </c>
      <c r="E100" s="904"/>
      <c r="F100" s="904"/>
      <c r="G100" s="904"/>
      <c r="H100" s="904"/>
      <c r="I100" s="904"/>
      <c r="J100" s="904"/>
      <c r="K100" s="904"/>
      <c r="L100" s="904"/>
      <c r="M100" s="904"/>
      <c r="N100" s="904"/>
      <c r="O100" s="904"/>
      <c r="P100" s="904"/>
      <c r="Q100" s="904"/>
      <c r="R100" s="42">
        <f t="shared" si="42"/>
        <v>0</v>
      </c>
    </row>
    <row r="101" spans="2:18" s="6" customFormat="1" x14ac:dyDescent="0.25">
      <c r="B101" s="8">
        <v>10</v>
      </c>
      <c r="C101" s="9" t="s">
        <v>38</v>
      </c>
      <c r="D101" s="281" t="s">
        <v>24</v>
      </c>
      <c r="E101" s="903">
        <v>0.28000000000000003</v>
      </c>
      <c r="F101" s="904">
        <v>0.28000000000000003</v>
      </c>
      <c r="G101" s="904">
        <v>0.28000000000000003</v>
      </c>
      <c r="H101" s="904">
        <v>0.28000000000000003</v>
      </c>
      <c r="I101" s="904">
        <v>0.28000000000000003</v>
      </c>
      <c r="J101" s="904">
        <v>0.28000000000000003</v>
      </c>
      <c r="K101" s="904">
        <v>0.28000000000000003</v>
      </c>
      <c r="L101" s="904">
        <v>0.28000000000000003</v>
      </c>
      <c r="M101" s="904">
        <v>0.28000000000000003</v>
      </c>
      <c r="N101" s="904">
        <v>0.28000000000000003</v>
      </c>
      <c r="O101" s="904">
        <v>0.28000000000000003</v>
      </c>
      <c r="P101" s="904">
        <v>0.28000000000000003</v>
      </c>
      <c r="Q101" s="904">
        <v>0.28000000000000003</v>
      </c>
      <c r="R101" s="42">
        <f t="shared" si="42"/>
        <v>0.28000000000000008</v>
      </c>
    </row>
    <row r="102" spans="2:18" s="6" customFormat="1" x14ac:dyDescent="0.25">
      <c r="B102" s="8">
        <v>11</v>
      </c>
      <c r="C102" s="9" t="s">
        <v>402</v>
      </c>
      <c r="D102" s="281" t="s">
        <v>24</v>
      </c>
      <c r="E102" s="903"/>
      <c r="F102" s="903"/>
      <c r="G102" s="903"/>
      <c r="H102" s="903"/>
      <c r="I102" s="903"/>
      <c r="J102" s="903"/>
      <c r="K102" s="903"/>
      <c r="L102" s="903"/>
      <c r="M102" s="903"/>
      <c r="N102" s="903"/>
      <c r="O102" s="903"/>
      <c r="P102" s="903"/>
      <c r="Q102" s="903"/>
      <c r="R102" s="42">
        <f t="shared" si="42"/>
        <v>0</v>
      </c>
    </row>
    <row r="103" spans="2:18" s="6" customFormat="1" x14ac:dyDescent="0.25">
      <c r="B103" s="8">
        <v>12</v>
      </c>
      <c r="C103" s="9" t="s">
        <v>311</v>
      </c>
      <c r="D103" s="281" t="s">
        <v>24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42">
        <f t="shared" si="42"/>
        <v>0</v>
      </c>
    </row>
    <row r="104" spans="2:18" s="6" customFormat="1" x14ac:dyDescent="0.25">
      <c r="B104" s="8">
        <v>13</v>
      </c>
      <c r="C104" s="22" t="s">
        <v>403</v>
      </c>
      <c r="D104" s="281" t="s">
        <v>24</v>
      </c>
      <c r="E104" s="34">
        <v>5.0000000000000001E-3</v>
      </c>
      <c r="F104" s="34">
        <v>5.0000000000000001E-3</v>
      </c>
      <c r="G104" s="34">
        <v>5.0000000000000001E-3</v>
      </c>
      <c r="H104" s="34">
        <v>5.0000000000000001E-3</v>
      </c>
      <c r="I104" s="34">
        <v>5.0000000000000001E-3</v>
      </c>
      <c r="J104" s="34">
        <v>5.0000000000000001E-3</v>
      </c>
      <c r="K104" s="34">
        <v>5.0000000000000001E-3</v>
      </c>
      <c r="L104" s="34">
        <v>5.0000000000000001E-3</v>
      </c>
      <c r="M104" s="34">
        <v>5.0000000000000001E-3</v>
      </c>
      <c r="N104" s="34">
        <v>5.0000000000000001E-3</v>
      </c>
      <c r="O104" s="34">
        <v>5.0000000000000001E-3</v>
      </c>
      <c r="P104" s="34">
        <v>5.0000000000000001E-3</v>
      </c>
      <c r="Q104" s="34">
        <v>5.0000000000000001E-3</v>
      </c>
      <c r="R104" s="42">
        <f t="shared" si="42"/>
        <v>4.9999999999999992E-3</v>
      </c>
    </row>
    <row r="105" spans="2:18" s="6" customFormat="1" x14ac:dyDescent="0.25">
      <c r="B105" s="8">
        <v>14</v>
      </c>
      <c r="C105" s="9" t="s">
        <v>404</v>
      </c>
      <c r="D105" s="281" t="s">
        <v>24</v>
      </c>
      <c r="E105" s="34">
        <v>5.0000000000000001E-3</v>
      </c>
      <c r="F105" s="10">
        <v>5.0000000000000001E-3</v>
      </c>
      <c r="G105" s="10">
        <v>5.0000000000000001E-3</v>
      </c>
      <c r="H105" s="10">
        <v>5.0000000000000001E-3</v>
      </c>
      <c r="I105" s="10">
        <v>5.0000000000000001E-3</v>
      </c>
      <c r="J105" s="10">
        <v>5.0000000000000001E-3</v>
      </c>
      <c r="K105" s="10">
        <v>5.0000000000000001E-3</v>
      </c>
      <c r="L105" s="10">
        <v>5.0000000000000001E-3</v>
      </c>
      <c r="M105" s="10">
        <v>5.0000000000000001E-3</v>
      </c>
      <c r="N105" s="10">
        <v>5.0000000000000001E-3</v>
      </c>
      <c r="O105" s="10">
        <v>5.0000000000000001E-3</v>
      </c>
      <c r="P105" s="10">
        <v>5.0000000000000001E-3</v>
      </c>
      <c r="Q105" s="10">
        <v>5.0000000000000001E-3</v>
      </c>
      <c r="R105" s="42">
        <f t="shared" si="42"/>
        <v>4.9999999999999992E-3</v>
      </c>
    </row>
    <row r="106" spans="2:18" s="6" customFormat="1" x14ac:dyDescent="0.25">
      <c r="B106" s="8">
        <v>15</v>
      </c>
      <c r="C106" s="9" t="s">
        <v>25</v>
      </c>
      <c r="D106" s="281" t="s">
        <v>24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42">
        <f t="shared" si="42"/>
        <v>0</v>
      </c>
    </row>
    <row r="107" spans="2:18" s="6" customFormat="1" ht="13" x14ac:dyDescent="0.25">
      <c r="B107" s="23"/>
      <c r="C107" s="24" t="s">
        <v>41</v>
      </c>
      <c r="D107" s="368" t="s">
        <v>24</v>
      </c>
      <c r="E107" s="906">
        <f>SUM(E92:E105)</f>
        <v>0.94000000000000006</v>
      </c>
      <c r="F107" s="906">
        <f t="shared" ref="F107:R107" si="43">SUM(F92:F106)</f>
        <v>0.94000000000000006</v>
      </c>
      <c r="G107" s="906">
        <f t="shared" si="43"/>
        <v>0.94000000000000006</v>
      </c>
      <c r="H107" s="906">
        <f t="shared" si="43"/>
        <v>0.94000000000000006</v>
      </c>
      <c r="I107" s="906">
        <f t="shared" si="43"/>
        <v>0.94000000000000006</v>
      </c>
      <c r="J107" s="906">
        <f t="shared" si="43"/>
        <v>0.94000000000000006</v>
      </c>
      <c r="K107" s="906">
        <f t="shared" si="43"/>
        <v>0.94000000000000006</v>
      </c>
      <c r="L107" s="906">
        <f t="shared" si="43"/>
        <v>0.94000000000000006</v>
      </c>
      <c r="M107" s="906">
        <f t="shared" si="43"/>
        <v>0.94000000000000006</v>
      </c>
      <c r="N107" s="906">
        <f t="shared" si="43"/>
        <v>0.94000000000000006</v>
      </c>
      <c r="O107" s="906">
        <f t="shared" si="43"/>
        <v>0.94000000000000006</v>
      </c>
      <c r="P107" s="906">
        <f t="shared" si="43"/>
        <v>0.94000000000000006</v>
      </c>
      <c r="Q107" s="906">
        <f t="shared" si="43"/>
        <v>0.94000000000000006</v>
      </c>
      <c r="R107" s="906">
        <f t="shared" si="43"/>
        <v>0.94000000000000017</v>
      </c>
    </row>
    <row r="108" spans="2:18" s="6" customFormat="1" x14ac:dyDescent="0.25">
      <c r="D108" s="49"/>
      <c r="E108" s="356">
        <f>1-E107-E20</f>
        <v>-5.5511151231257827E-17</v>
      </c>
      <c r="F108" s="356">
        <f>1-F107-F20</f>
        <v>-5.5511151231257827E-17</v>
      </c>
      <c r="G108" s="356">
        <f t="shared" ref="G108:R108" si="44">1-G107-G20</f>
        <v>-5.5511151231257827E-17</v>
      </c>
      <c r="H108" s="356">
        <f t="shared" si="44"/>
        <v>-5.5511151231257827E-17</v>
      </c>
      <c r="I108" s="356">
        <f t="shared" si="44"/>
        <v>-5.5511151231257827E-17</v>
      </c>
      <c r="J108" s="356">
        <f t="shared" si="44"/>
        <v>-5.5511151231257827E-17</v>
      </c>
      <c r="K108" s="356">
        <f t="shared" si="44"/>
        <v>-5.5511151231257827E-17</v>
      </c>
      <c r="L108" s="356">
        <f t="shared" si="44"/>
        <v>-5.5511151231257827E-17</v>
      </c>
      <c r="M108" s="356">
        <f t="shared" si="44"/>
        <v>-5.5511151231257827E-17</v>
      </c>
      <c r="N108" s="356">
        <f t="shared" si="44"/>
        <v>-5.5511151231257827E-17</v>
      </c>
      <c r="O108" s="356">
        <f t="shared" si="44"/>
        <v>-5.5511151231257827E-17</v>
      </c>
      <c r="P108" s="356">
        <f t="shared" si="44"/>
        <v>-5.5511151231257827E-17</v>
      </c>
      <c r="Q108" s="356">
        <f t="shared" si="44"/>
        <v>-5.5511151231257827E-17</v>
      </c>
      <c r="R108" s="356">
        <f t="shared" si="44"/>
        <v>-1.8041124150158794E-16</v>
      </c>
    </row>
    <row r="109" spans="2:18" s="6" customFormat="1" ht="28.4" customHeight="1" x14ac:dyDescent="0.25">
      <c r="B109" s="714" t="s">
        <v>1626</v>
      </c>
      <c r="D109" s="49"/>
    </row>
    <row r="110" spans="2:18" s="6" customFormat="1" ht="39" x14ac:dyDescent="0.25">
      <c r="B110" s="141" t="s">
        <v>0</v>
      </c>
      <c r="C110" s="141" t="s">
        <v>414</v>
      </c>
      <c r="D110" s="269" t="s">
        <v>11</v>
      </c>
      <c r="E110" s="7" t="s">
        <v>405</v>
      </c>
      <c r="F110" s="7" t="s">
        <v>56</v>
      </c>
      <c r="G110" s="7" t="s">
        <v>57</v>
      </c>
      <c r="H110" s="7" t="s">
        <v>58</v>
      </c>
      <c r="I110" s="7" t="s">
        <v>59</v>
      </c>
      <c r="J110" s="7" t="s">
        <v>60</v>
      </c>
      <c r="K110" s="7" t="s">
        <v>61</v>
      </c>
      <c r="L110" s="7" t="s">
        <v>62</v>
      </c>
      <c r="M110" s="7" t="s">
        <v>63</v>
      </c>
      <c r="N110" s="7" t="s">
        <v>64</v>
      </c>
      <c r="O110" s="7" t="s">
        <v>65</v>
      </c>
      <c r="P110" s="7" t="s">
        <v>66</v>
      </c>
      <c r="Q110" s="7" t="s">
        <v>67</v>
      </c>
      <c r="R110" s="7" t="s">
        <v>2246</v>
      </c>
    </row>
    <row r="111" spans="2:18" s="6" customFormat="1" x14ac:dyDescent="0.25">
      <c r="B111" s="8">
        <v>1</v>
      </c>
      <c r="C111" s="9" t="s">
        <v>35</v>
      </c>
      <c r="D111" s="281"/>
      <c r="E111" s="28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283"/>
    </row>
    <row r="112" spans="2:18" s="6" customFormat="1" x14ac:dyDescent="0.25">
      <c r="B112" s="8">
        <v>2</v>
      </c>
      <c r="C112" s="9" t="s">
        <v>401</v>
      </c>
      <c r="D112" s="281"/>
      <c r="E112" s="28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0"/>
    </row>
    <row r="113" spans="2:18" s="6" customFormat="1" x14ac:dyDescent="0.25">
      <c r="B113" s="8">
        <v>3</v>
      </c>
      <c r="C113" s="9" t="s">
        <v>42</v>
      </c>
      <c r="D113" s="281"/>
      <c r="E113" s="28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0"/>
    </row>
    <row r="114" spans="2:18" s="6" customFormat="1" x14ac:dyDescent="0.25">
      <c r="B114" s="8">
        <v>4</v>
      </c>
      <c r="C114" s="9" t="s">
        <v>39</v>
      </c>
      <c r="D114" s="281"/>
      <c r="E114" s="28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0"/>
    </row>
    <row r="115" spans="2:18" s="6" customFormat="1" x14ac:dyDescent="0.25">
      <c r="B115" s="8">
        <v>5</v>
      </c>
      <c r="C115" s="9" t="s">
        <v>32</v>
      </c>
      <c r="D115" s="281"/>
      <c r="E115" s="28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0"/>
    </row>
    <row r="116" spans="2:18" s="6" customFormat="1" x14ac:dyDescent="0.25">
      <c r="B116" s="8">
        <v>6</v>
      </c>
      <c r="C116" s="9" t="s">
        <v>36</v>
      </c>
      <c r="D116" s="281"/>
      <c r="E116" s="28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0"/>
    </row>
    <row r="117" spans="2:18" s="6" customFormat="1" x14ac:dyDescent="0.25">
      <c r="B117" s="8">
        <v>7</v>
      </c>
      <c r="C117" s="9" t="s">
        <v>34</v>
      </c>
      <c r="D117" s="281"/>
      <c r="E117" s="28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0"/>
    </row>
    <row r="118" spans="2:18" s="6" customFormat="1" x14ac:dyDescent="0.25">
      <c r="B118" s="8">
        <v>8</v>
      </c>
      <c r="C118" s="9" t="s">
        <v>33</v>
      </c>
      <c r="D118" s="281"/>
      <c r="E118" s="28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0"/>
    </row>
    <row r="119" spans="2:18" s="6" customFormat="1" x14ac:dyDescent="0.25">
      <c r="B119" s="8">
        <v>9</v>
      </c>
      <c r="C119" s="9" t="s">
        <v>37</v>
      </c>
      <c r="D119" s="281"/>
      <c r="E119" s="28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0"/>
    </row>
    <row r="120" spans="2:18" s="6" customFormat="1" x14ac:dyDescent="0.25">
      <c r="B120" s="8">
        <v>10</v>
      </c>
      <c r="C120" s="9" t="s">
        <v>38</v>
      </c>
      <c r="D120" s="281"/>
      <c r="E120" s="28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0"/>
    </row>
    <row r="121" spans="2:18" s="6" customFormat="1" x14ac:dyDescent="0.25">
      <c r="B121" s="8">
        <v>11</v>
      </c>
      <c r="C121" s="9" t="s">
        <v>402</v>
      </c>
      <c r="D121" s="281"/>
      <c r="E121" s="28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283"/>
    </row>
    <row r="122" spans="2:18" s="6" customFormat="1" x14ac:dyDescent="0.25">
      <c r="B122" s="8">
        <v>12</v>
      </c>
      <c r="C122" s="9" t="s">
        <v>311</v>
      </c>
      <c r="D122" s="281"/>
      <c r="E122" s="28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0"/>
    </row>
    <row r="123" spans="2:18" s="6" customFormat="1" x14ac:dyDescent="0.25">
      <c r="B123" s="8">
        <v>13</v>
      </c>
      <c r="C123" s="22" t="s">
        <v>403</v>
      </c>
      <c r="D123" s="468"/>
      <c r="E123" s="28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34"/>
    </row>
    <row r="124" spans="2:18" x14ac:dyDescent="0.35">
      <c r="B124" s="8">
        <v>14</v>
      </c>
      <c r="C124" s="9" t="s">
        <v>404</v>
      </c>
      <c r="D124" s="281"/>
      <c r="E124" s="28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"/>
    </row>
    <row r="125" spans="2:18" x14ac:dyDescent="0.35">
      <c r="B125" s="8">
        <v>15</v>
      </c>
      <c r="C125" s="9" t="s">
        <v>25</v>
      </c>
      <c r="D125" s="281"/>
      <c r="E125" s="28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0"/>
    </row>
    <row r="126" spans="2:18" s="6" customFormat="1" ht="13" x14ac:dyDescent="0.25">
      <c r="B126" s="23"/>
      <c r="C126" s="24" t="s">
        <v>41</v>
      </c>
      <c r="D126" s="368"/>
      <c r="E126" s="329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</row>
    <row r="128" spans="2:18" s="6" customFormat="1" ht="20.5" customHeight="1" x14ac:dyDescent="0.25">
      <c r="B128" s="195" t="s">
        <v>1627</v>
      </c>
      <c r="D128" s="49"/>
    </row>
    <row r="129" spans="2:18" s="6" customFormat="1" ht="39" x14ac:dyDescent="0.25">
      <c r="B129" s="141" t="s">
        <v>0</v>
      </c>
      <c r="C129" s="141" t="s">
        <v>414</v>
      </c>
      <c r="D129" s="269" t="s">
        <v>11</v>
      </c>
      <c r="E129" s="7" t="s">
        <v>405</v>
      </c>
      <c r="F129" s="7" t="s">
        <v>56</v>
      </c>
      <c r="G129" s="7" t="s">
        <v>57</v>
      </c>
      <c r="H129" s="7" t="s">
        <v>58</v>
      </c>
      <c r="I129" s="7" t="s">
        <v>59</v>
      </c>
      <c r="J129" s="7" t="s">
        <v>60</v>
      </c>
      <c r="K129" s="7" t="s">
        <v>61</v>
      </c>
      <c r="L129" s="7" t="s">
        <v>62</v>
      </c>
      <c r="M129" s="7" t="s">
        <v>63</v>
      </c>
      <c r="N129" s="7" t="s">
        <v>64</v>
      </c>
      <c r="O129" s="7" t="s">
        <v>65</v>
      </c>
      <c r="P129" s="7" t="s">
        <v>66</v>
      </c>
      <c r="Q129" s="7" t="s">
        <v>67</v>
      </c>
      <c r="R129" s="7" t="s">
        <v>2246</v>
      </c>
    </row>
    <row r="130" spans="2:18" s="6" customFormat="1" x14ac:dyDescent="0.25">
      <c r="B130" s="8">
        <v>1</v>
      </c>
      <c r="C130" s="9" t="s">
        <v>35</v>
      </c>
      <c r="D130" s="281"/>
      <c r="E130" s="28"/>
      <c r="F130" s="183">
        <f>F$27</f>
        <v>0</v>
      </c>
      <c r="G130" s="183">
        <f t="shared" ref="G130:Q132" si="45">G$27</f>
        <v>0</v>
      </c>
      <c r="H130" s="183">
        <f t="shared" si="45"/>
        <v>0</v>
      </c>
      <c r="I130" s="183">
        <f t="shared" si="45"/>
        <v>0</v>
      </c>
      <c r="J130" s="183">
        <f t="shared" si="45"/>
        <v>0</v>
      </c>
      <c r="K130" s="183">
        <f t="shared" si="45"/>
        <v>0</v>
      </c>
      <c r="L130" s="183">
        <f t="shared" si="45"/>
        <v>0</v>
      </c>
      <c r="M130" s="183">
        <f t="shared" si="45"/>
        <v>0</v>
      </c>
      <c r="N130" s="183">
        <f t="shared" si="45"/>
        <v>0</v>
      </c>
      <c r="O130" s="183">
        <f t="shared" si="45"/>
        <v>0</v>
      </c>
      <c r="P130" s="183">
        <f t="shared" si="45"/>
        <v>0</v>
      </c>
      <c r="Q130" s="183">
        <f t="shared" si="45"/>
        <v>0</v>
      </c>
      <c r="R130" s="283"/>
    </row>
    <row r="131" spans="2:18" s="6" customFormat="1" x14ac:dyDescent="0.25">
      <c r="B131" s="8">
        <v>2</v>
      </c>
      <c r="C131" s="9" t="s">
        <v>401</v>
      </c>
      <c r="D131" s="281"/>
      <c r="E131" s="28"/>
      <c r="F131" s="183">
        <f t="shared" ref="F131:F132" si="46">F$27</f>
        <v>0</v>
      </c>
      <c r="G131" s="183">
        <f t="shared" si="45"/>
        <v>0</v>
      </c>
      <c r="H131" s="183">
        <f t="shared" si="45"/>
        <v>0</v>
      </c>
      <c r="I131" s="183">
        <f t="shared" si="45"/>
        <v>0</v>
      </c>
      <c r="J131" s="183">
        <f t="shared" si="45"/>
        <v>0</v>
      </c>
      <c r="K131" s="183">
        <f t="shared" si="45"/>
        <v>0</v>
      </c>
      <c r="L131" s="183">
        <f t="shared" si="45"/>
        <v>0</v>
      </c>
      <c r="M131" s="183">
        <f t="shared" si="45"/>
        <v>0</v>
      </c>
      <c r="N131" s="183">
        <f t="shared" si="45"/>
        <v>0</v>
      </c>
      <c r="O131" s="183">
        <f t="shared" si="45"/>
        <v>0</v>
      </c>
      <c r="P131" s="183">
        <f t="shared" si="45"/>
        <v>0</v>
      </c>
      <c r="Q131" s="183">
        <f t="shared" si="45"/>
        <v>0</v>
      </c>
      <c r="R131" s="10"/>
    </row>
    <row r="132" spans="2:18" s="6" customFormat="1" x14ac:dyDescent="0.25">
      <c r="B132" s="8">
        <v>3</v>
      </c>
      <c r="C132" s="9" t="s">
        <v>42</v>
      </c>
      <c r="D132" s="281"/>
      <c r="E132" s="28"/>
      <c r="F132" s="183">
        <f t="shared" si="46"/>
        <v>0</v>
      </c>
      <c r="G132" s="183">
        <f t="shared" si="45"/>
        <v>0</v>
      </c>
      <c r="H132" s="183">
        <f t="shared" si="45"/>
        <v>0</v>
      </c>
      <c r="I132" s="183">
        <f t="shared" si="45"/>
        <v>0</v>
      </c>
      <c r="J132" s="183">
        <f t="shared" si="45"/>
        <v>0</v>
      </c>
      <c r="K132" s="183">
        <f t="shared" si="45"/>
        <v>0</v>
      </c>
      <c r="L132" s="183">
        <f t="shared" si="45"/>
        <v>0</v>
      </c>
      <c r="M132" s="183">
        <f t="shared" si="45"/>
        <v>0</v>
      </c>
      <c r="N132" s="183">
        <f t="shared" si="45"/>
        <v>0</v>
      </c>
      <c r="O132" s="183">
        <f t="shared" si="45"/>
        <v>0</v>
      </c>
      <c r="P132" s="183">
        <f t="shared" si="45"/>
        <v>0</v>
      </c>
      <c r="Q132" s="183">
        <f t="shared" si="45"/>
        <v>0</v>
      </c>
      <c r="R132" s="10"/>
    </row>
    <row r="133" spans="2:18" s="6" customFormat="1" x14ac:dyDescent="0.25">
      <c r="B133" s="8">
        <v>4</v>
      </c>
      <c r="C133" s="9" t="s">
        <v>39</v>
      </c>
      <c r="D133" s="281"/>
      <c r="E133" s="28"/>
      <c r="F133" s="183">
        <f>F$34</f>
        <v>0</v>
      </c>
      <c r="G133" s="183">
        <f t="shared" ref="G133:Q137" si="47">G$34</f>
        <v>0</v>
      </c>
      <c r="H133" s="183">
        <f t="shared" si="47"/>
        <v>0</v>
      </c>
      <c r="I133" s="183">
        <f t="shared" si="47"/>
        <v>0</v>
      </c>
      <c r="J133" s="183">
        <f t="shared" si="47"/>
        <v>0</v>
      </c>
      <c r="K133" s="183">
        <f t="shared" si="47"/>
        <v>0</v>
      </c>
      <c r="L133" s="183">
        <f t="shared" si="47"/>
        <v>0</v>
      </c>
      <c r="M133" s="183">
        <f t="shared" si="47"/>
        <v>0</v>
      </c>
      <c r="N133" s="183">
        <f t="shared" si="47"/>
        <v>0</v>
      </c>
      <c r="O133" s="183">
        <f t="shared" si="47"/>
        <v>0</v>
      </c>
      <c r="P133" s="183">
        <f t="shared" si="47"/>
        <v>0</v>
      </c>
      <c r="Q133" s="183">
        <f t="shared" si="47"/>
        <v>0</v>
      </c>
      <c r="R133" s="10"/>
    </row>
    <row r="134" spans="2:18" s="6" customFormat="1" x14ac:dyDescent="0.25">
      <c r="B134" s="8">
        <v>5</v>
      </c>
      <c r="C134" s="9" t="s">
        <v>32</v>
      </c>
      <c r="D134" s="281"/>
      <c r="E134" s="28"/>
      <c r="F134" s="183">
        <f t="shared" ref="F134" si="48">F$34</f>
        <v>0</v>
      </c>
      <c r="G134" s="183">
        <f t="shared" si="47"/>
        <v>0</v>
      </c>
      <c r="H134" s="183">
        <f t="shared" si="47"/>
        <v>0</v>
      </c>
      <c r="I134" s="183">
        <f t="shared" si="47"/>
        <v>0</v>
      </c>
      <c r="J134" s="183">
        <f t="shared" si="47"/>
        <v>0</v>
      </c>
      <c r="K134" s="183">
        <f t="shared" si="47"/>
        <v>0</v>
      </c>
      <c r="L134" s="183">
        <f t="shared" si="47"/>
        <v>0</v>
      </c>
      <c r="M134" s="183">
        <f t="shared" si="47"/>
        <v>0</v>
      </c>
      <c r="N134" s="183">
        <f t="shared" si="47"/>
        <v>0</v>
      </c>
      <c r="O134" s="183">
        <f t="shared" si="47"/>
        <v>0</v>
      </c>
      <c r="P134" s="183">
        <f t="shared" si="47"/>
        <v>0</v>
      </c>
      <c r="Q134" s="183">
        <f t="shared" si="47"/>
        <v>0</v>
      </c>
      <c r="R134" s="10"/>
    </row>
    <row r="135" spans="2:18" s="6" customFormat="1" x14ac:dyDescent="0.25">
      <c r="B135" s="8">
        <v>6</v>
      </c>
      <c r="C135" s="9" t="s">
        <v>36</v>
      </c>
      <c r="D135" s="281"/>
      <c r="E135" s="28"/>
      <c r="F135" s="183">
        <f>F$27</f>
        <v>0</v>
      </c>
      <c r="G135" s="183">
        <f t="shared" ref="G135:Q135" si="49">G$27</f>
        <v>0</v>
      </c>
      <c r="H135" s="183">
        <f t="shared" si="49"/>
        <v>0</v>
      </c>
      <c r="I135" s="183">
        <f t="shared" si="49"/>
        <v>0</v>
      </c>
      <c r="J135" s="183">
        <f t="shared" si="49"/>
        <v>0</v>
      </c>
      <c r="K135" s="183">
        <f t="shared" si="49"/>
        <v>0</v>
      </c>
      <c r="L135" s="183">
        <f t="shared" si="49"/>
        <v>0</v>
      </c>
      <c r="M135" s="183">
        <f t="shared" si="49"/>
        <v>0</v>
      </c>
      <c r="N135" s="183">
        <f t="shared" si="49"/>
        <v>0</v>
      </c>
      <c r="O135" s="183">
        <f t="shared" si="49"/>
        <v>0</v>
      </c>
      <c r="P135" s="183">
        <f t="shared" si="49"/>
        <v>0</v>
      </c>
      <c r="Q135" s="183">
        <f t="shared" si="49"/>
        <v>0</v>
      </c>
      <c r="R135" s="10"/>
    </row>
    <row r="136" spans="2:18" s="6" customFormat="1" x14ac:dyDescent="0.25">
      <c r="B136" s="8">
        <v>7</v>
      </c>
      <c r="C136" s="9" t="s">
        <v>34</v>
      </c>
      <c r="D136" s="281"/>
      <c r="E136" s="28"/>
      <c r="F136" s="183">
        <f t="shared" ref="F136:F137" si="50">F$34</f>
        <v>0</v>
      </c>
      <c r="G136" s="183">
        <f t="shared" si="47"/>
        <v>0</v>
      </c>
      <c r="H136" s="183">
        <f t="shared" si="47"/>
        <v>0</v>
      </c>
      <c r="I136" s="183">
        <f t="shared" si="47"/>
        <v>0</v>
      </c>
      <c r="J136" s="183">
        <f t="shared" si="47"/>
        <v>0</v>
      </c>
      <c r="K136" s="183">
        <f t="shared" si="47"/>
        <v>0</v>
      </c>
      <c r="L136" s="183">
        <f t="shared" si="47"/>
        <v>0</v>
      </c>
      <c r="M136" s="183">
        <f t="shared" si="47"/>
        <v>0</v>
      </c>
      <c r="N136" s="183">
        <f t="shared" si="47"/>
        <v>0</v>
      </c>
      <c r="O136" s="183">
        <f t="shared" si="47"/>
        <v>0</v>
      </c>
      <c r="P136" s="183">
        <f t="shared" si="47"/>
        <v>0</v>
      </c>
      <c r="Q136" s="183">
        <f t="shared" si="47"/>
        <v>0</v>
      </c>
      <c r="R136" s="10"/>
    </row>
    <row r="137" spans="2:18" s="6" customFormat="1" x14ac:dyDescent="0.25">
      <c r="B137" s="8">
        <v>8</v>
      </c>
      <c r="C137" s="9" t="s">
        <v>33</v>
      </c>
      <c r="D137" s="281"/>
      <c r="E137" s="28"/>
      <c r="F137" s="183">
        <f t="shared" si="50"/>
        <v>0</v>
      </c>
      <c r="G137" s="183">
        <f t="shared" si="47"/>
        <v>0</v>
      </c>
      <c r="H137" s="183">
        <f t="shared" si="47"/>
        <v>0</v>
      </c>
      <c r="I137" s="183">
        <f t="shared" si="47"/>
        <v>0</v>
      </c>
      <c r="J137" s="183">
        <f t="shared" si="47"/>
        <v>0</v>
      </c>
      <c r="K137" s="183">
        <f t="shared" si="47"/>
        <v>0</v>
      </c>
      <c r="L137" s="183">
        <f t="shared" si="47"/>
        <v>0</v>
      </c>
      <c r="M137" s="183">
        <f t="shared" si="47"/>
        <v>0</v>
      </c>
      <c r="N137" s="183">
        <f t="shared" si="47"/>
        <v>0</v>
      </c>
      <c r="O137" s="183">
        <f t="shared" si="47"/>
        <v>0</v>
      </c>
      <c r="P137" s="183">
        <f t="shared" si="47"/>
        <v>0</v>
      </c>
      <c r="Q137" s="183">
        <f t="shared" si="47"/>
        <v>0</v>
      </c>
      <c r="R137" s="10"/>
    </row>
    <row r="138" spans="2:18" s="6" customFormat="1" x14ac:dyDescent="0.25">
      <c r="B138" s="8">
        <v>9</v>
      </c>
      <c r="C138" s="9" t="s">
        <v>37</v>
      </c>
      <c r="D138" s="281"/>
      <c r="E138" s="28"/>
      <c r="F138" s="183">
        <f>F$41</f>
        <v>0</v>
      </c>
      <c r="G138" s="183">
        <f t="shared" ref="G138:Q141" si="51">G$41</f>
        <v>0</v>
      </c>
      <c r="H138" s="183">
        <f t="shared" si="51"/>
        <v>0</v>
      </c>
      <c r="I138" s="183">
        <f t="shared" si="51"/>
        <v>0</v>
      </c>
      <c r="J138" s="183">
        <f t="shared" si="51"/>
        <v>0</v>
      </c>
      <c r="K138" s="183">
        <f t="shared" si="51"/>
        <v>0</v>
      </c>
      <c r="L138" s="183">
        <f t="shared" si="51"/>
        <v>0</v>
      </c>
      <c r="M138" s="183">
        <f t="shared" si="51"/>
        <v>0</v>
      </c>
      <c r="N138" s="183">
        <f t="shared" si="51"/>
        <v>0</v>
      </c>
      <c r="O138" s="183">
        <f t="shared" si="51"/>
        <v>0</v>
      </c>
      <c r="P138" s="183">
        <f t="shared" si="51"/>
        <v>0</v>
      </c>
      <c r="Q138" s="183">
        <f t="shared" si="51"/>
        <v>0</v>
      </c>
      <c r="R138" s="10"/>
    </row>
    <row r="139" spans="2:18" s="6" customFormat="1" x14ac:dyDescent="0.25">
      <c r="B139" s="8">
        <v>10</v>
      </c>
      <c r="C139" s="9" t="s">
        <v>38</v>
      </c>
      <c r="D139" s="281"/>
      <c r="E139" s="28"/>
      <c r="F139" s="183">
        <f t="shared" ref="F139:F141" si="52">F$41</f>
        <v>0</v>
      </c>
      <c r="G139" s="183">
        <f t="shared" si="51"/>
        <v>0</v>
      </c>
      <c r="H139" s="183">
        <f t="shared" si="51"/>
        <v>0</v>
      </c>
      <c r="I139" s="183">
        <f t="shared" si="51"/>
        <v>0</v>
      </c>
      <c r="J139" s="183">
        <f t="shared" si="51"/>
        <v>0</v>
      </c>
      <c r="K139" s="183">
        <f t="shared" si="51"/>
        <v>0</v>
      </c>
      <c r="L139" s="183">
        <f t="shared" si="51"/>
        <v>0</v>
      </c>
      <c r="M139" s="183">
        <f t="shared" si="51"/>
        <v>0</v>
      </c>
      <c r="N139" s="183">
        <f t="shared" si="51"/>
        <v>0</v>
      </c>
      <c r="O139" s="183">
        <f t="shared" si="51"/>
        <v>0</v>
      </c>
      <c r="P139" s="183">
        <f t="shared" si="51"/>
        <v>0</v>
      </c>
      <c r="Q139" s="183">
        <f t="shared" si="51"/>
        <v>0</v>
      </c>
      <c r="R139" s="10"/>
    </row>
    <row r="140" spans="2:18" s="6" customFormat="1" x14ac:dyDescent="0.25">
      <c r="B140" s="8">
        <v>11</v>
      </c>
      <c r="C140" s="9" t="s">
        <v>402</v>
      </c>
      <c r="D140" s="281"/>
      <c r="E140" s="28"/>
      <c r="F140" s="183">
        <f t="shared" si="52"/>
        <v>0</v>
      </c>
      <c r="G140" s="183">
        <f t="shared" si="51"/>
        <v>0</v>
      </c>
      <c r="H140" s="183">
        <f t="shared" si="51"/>
        <v>0</v>
      </c>
      <c r="I140" s="183">
        <f t="shared" si="51"/>
        <v>0</v>
      </c>
      <c r="J140" s="183">
        <f t="shared" si="51"/>
        <v>0</v>
      </c>
      <c r="K140" s="183">
        <f t="shared" si="51"/>
        <v>0</v>
      </c>
      <c r="L140" s="183">
        <f t="shared" si="51"/>
        <v>0</v>
      </c>
      <c r="M140" s="183">
        <f t="shared" si="51"/>
        <v>0</v>
      </c>
      <c r="N140" s="183">
        <f t="shared" si="51"/>
        <v>0</v>
      </c>
      <c r="O140" s="183">
        <f t="shared" si="51"/>
        <v>0</v>
      </c>
      <c r="P140" s="183">
        <f t="shared" si="51"/>
        <v>0</v>
      </c>
      <c r="Q140" s="183">
        <f t="shared" si="51"/>
        <v>0</v>
      </c>
      <c r="R140" s="283"/>
    </row>
    <row r="141" spans="2:18" s="6" customFormat="1" x14ac:dyDescent="0.25">
      <c r="B141" s="8">
        <v>12</v>
      </c>
      <c r="C141" s="9" t="s">
        <v>311</v>
      </c>
      <c r="D141" s="281"/>
      <c r="E141" s="28"/>
      <c r="F141" s="183">
        <f t="shared" si="52"/>
        <v>0</v>
      </c>
      <c r="G141" s="183">
        <f t="shared" si="51"/>
        <v>0</v>
      </c>
      <c r="H141" s="183">
        <f t="shared" si="51"/>
        <v>0</v>
      </c>
      <c r="I141" s="183">
        <f t="shared" si="51"/>
        <v>0</v>
      </c>
      <c r="J141" s="183">
        <f t="shared" si="51"/>
        <v>0</v>
      </c>
      <c r="K141" s="183">
        <f t="shared" si="51"/>
        <v>0</v>
      </c>
      <c r="L141" s="183">
        <f t="shared" si="51"/>
        <v>0</v>
      </c>
      <c r="M141" s="183">
        <f t="shared" si="51"/>
        <v>0</v>
      </c>
      <c r="N141" s="183">
        <f t="shared" si="51"/>
        <v>0</v>
      </c>
      <c r="O141" s="183">
        <f t="shared" si="51"/>
        <v>0</v>
      </c>
      <c r="P141" s="183">
        <f t="shared" si="51"/>
        <v>0</v>
      </c>
      <c r="Q141" s="183">
        <f t="shared" si="51"/>
        <v>0</v>
      </c>
      <c r="R141" s="10"/>
    </row>
    <row r="142" spans="2:18" s="6" customFormat="1" x14ac:dyDescent="0.25">
      <c r="B142" s="8">
        <v>13</v>
      </c>
      <c r="C142" s="22" t="s">
        <v>403</v>
      </c>
      <c r="D142" s="468"/>
      <c r="E142" s="28"/>
      <c r="F142" s="183">
        <v>0.02</v>
      </c>
      <c r="G142" s="183">
        <v>0.02</v>
      </c>
      <c r="H142" s="183">
        <v>0.02</v>
      </c>
      <c r="I142" s="183">
        <v>0.02</v>
      </c>
      <c r="J142" s="183">
        <v>0.02</v>
      </c>
      <c r="K142" s="183">
        <v>0.02</v>
      </c>
      <c r="L142" s="183">
        <v>0.02</v>
      </c>
      <c r="M142" s="183">
        <v>0.02</v>
      </c>
      <c r="N142" s="183">
        <v>0.02</v>
      </c>
      <c r="O142" s="183">
        <v>0.02</v>
      </c>
      <c r="P142" s="183">
        <v>0.02</v>
      </c>
      <c r="Q142" s="183">
        <v>0.02</v>
      </c>
      <c r="R142" s="34"/>
    </row>
    <row r="143" spans="2:18" x14ac:dyDescent="0.35">
      <c r="B143" s="8">
        <v>14</v>
      </c>
      <c r="C143" s="9" t="s">
        <v>404</v>
      </c>
      <c r="D143" s="281"/>
      <c r="E143" s="28"/>
      <c r="F143" s="183">
        <v>0.02</v>
      </c>
      <c r="G143" s="183">
        <v>0.02</v>
      </c>
      <c r="H143" s="183">
        <v>0.02</v>
      </c>
      <c r="I143" s="183">
        <v>0.02</v>
      </c>
      <c r="J143" s="183">
        <v>0.02</v>
      </c>
      <c r="K143" s="183">
        <v>0.02</v>
      </c>
      <c r="L143" s="183">
        <v>0.02</v>
      </c>
      <c r="M143" s="183">
        <v>0.02</v>
      </c>
      <c r="N143" s="183">
        <v>0.02</v>
      </c>
      <c r="O143" s="183">
        <v>0.02</v>
      </c>
      <c r="P143" s="183">
        <v>0.02</v>
      </c>
      <c r="Q143" s="183">
        <v>0.02</v>
      </c>
      <c r="R143" s="18"/>
    </row>
    <row r="144" spans="2:18" x14ac:dyDescent="0.35">
      <c r="B144" s="8">
        <v>15</v>
      </c>
      <c r="C144" s="9" t="s">
        <v>25</v>
      </c>
      <c r="D144" s="281"/>
      <c r="E144" s="28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0"/>
    </row>
    <row r="145" spans="2:18" s="6" customFormat="1" ht="13" x14ac:dyDescent="0.25">
      <c r="B145" s="23"/>
      <c r="C145" s="24" t="s">
        <v>41</v>
      </c>
      <c r="D145" s="368"/>
      <c r="E145" s="329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</row>
  </sheetData>
  <phoneticPr fontId="8" type="noConversion"/>
  <pageMargins left="0.7" right="0.7" top="0.75" bottom="0.75" header="0.3" footer="0.3"/>
  <ignoredErrors>
    <ignoredError sqref="F135:Q135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F994-5F9A-45CF-9AA3-98556BD7D873}">
  <sheetPr>
    <tabColor theme="9" tint="0.79998168889431442"/>
  </sheetPr>
  <dimension ref="B1:U206"/>
  <sheetViews>
    <sheetView showGridLines="0" topLeftCell="A183" zoomScale="85" zoomScaleNormal="85" workbookViewId="0">
      <selection activeCell="N192" sqref="N192"/>
    </sheetView>
  </sheetViews>
  <sheetFormatPr defaultColWidth="8.54296875" defaultRowHeight="13" x14ac:dyDescent="0.35"/>
  <cols>
    <col min="1" max="1" width="2.1796875" style="36" customWidth="1"/>
    <col min="2" max="2" width="7.81640625" style="36" customWidth="1"/>
    <col min="3" max="3" width="37.81640625" style="36" bestFit="1" customWidth="1"/>
    <col min="4" max="4" width="7.81640625" style="36" customWidth="1"/>
    <col min="5" max="5" width="10.453125" style="36" customWidth="1"/>
    <col min="6" max="6" width="9.1796875" style="36" customWidth="1"/>
    <col min="7" max="7" width="10.81640625" style="37" customWidth="1"/>
    <col min="8" max="19" width="7.453125" style="36" customWidth="1"/>
    <col min="20" max="20" width="10.54296875" style="37" customWidth="1"/>
    <col min="21" max="21" width="12.54296875" style="36" bestFit="1" customWidth="1"/>
    <col min="22" max="22" width="8.54296875" style="36"/>
    <col min="23" max="23" width="18.1796875" style="36" bestFit="1" customWidth="1"/>
    <col min="24" max="16384" width="8.54296875" style="36"/>
  </cols>
  <sheetData>
    <row r="1" spans="2:21" ht="15.5" x14ac:dyDescent="0.35">
      <c r="B1" s="223"/>
    </row>
    <row r="2" spans="2:21" ht="12" customHeight="1" x14ac:dyDescent="0.35"/>
    <row r="3" spans="2:21" x14ac:dyDescent="0.35">
      <c r="B3" s="138" t="s">
        <v>1628</v>
      </c>
    </row>
    <row r="4" spans="2:21" x14ac:dyDescent="0.35">
      <c r="B4" s="37" t="s">
        <v>1629</v>
      </c>
      <c r="T4" s="37" t="s">
        <v>82</v>
      </c>
    </row>
    <row r="5" spans="2:21" ht="26" x14ac:dyDescent="0.35">
      <c r="B5" s="141" t="s">
        <v>0</v>
      </c>
      <c r="C5" s="141" t="s">
        <v>81</v>
      </c>
      <c r="D5" s="397" t="s">
        <v>11</v>
      </c>
      <c r="E5" s="397" t="s">
        <v>1943</v>
      </c>
      <c r="F5" s="397" t="s">
        <v>1942</v>
      </c>
      <c r="G5" s="7" t="s">
        <v>405</v>
      </c>
      <c r="H5" s="7" t="s">
        <v>56</v>
      </c>
      <c r="I5" s="7" t="s">
        <v>57</v>
      </c>
      <c r="J5" s="7" t="s">
        <v>58</v>
      </c>
      <c r="K5" s="7" t="s">
        <v>59</v>
      </c>
      <c r="L5" s="7" t="s">
        <v>60</v>
      </c>
      <c r="M5" s="7" t="s">
        <v>61</v>
      </c>
      <c r="N5" s="7" t="s">
        <v>62</v>
      </c>
      <c r="O5" s="7" t="s">
        <v>63</v>
      </c>
      <c r="P5" s="7" t="s">
        <v>64</v>
      </c>
      <c r="Q5" s="7" t="s">
        <v>65</v>
      </c>
      <c r="R5" s="7" t="s">
        <v>66</v>
      </c>
      <c r="S5" s="7" t="s">
        <v>67</v>
      </c>
      <c r="T5" s="7" t="s">
        <v>2246</v>
      </c>
    </row>
    <row r="6" spans="2:21" ht="14.5" x14ac:dyDescent="0.35">
      <c r="B6" s="610">
        <v>1</v>
      </c>
      <c r="C6" s="611" t="s">
        <v>35</v>
      </c>
      <c r="D6" s="611" t="s">
        <v>22</v>
      </c>
      <c r="E6" s="910">
        <f>2048973*0.86-E7</f>
        <v>942459.89600000007</v>
      </c>
      <c r="F6" s="910">
        <f>1903630.5*0.9</f>
        <v>1713267.45</v>
      </c>
      <c r="G6" s="910">
        <f>2394760.69-G7-G8</f>
        <v>1821639.69</v>
      </c>
      <c r="H6" s="613">
        <f>'1.NVL Chai'!H$13*'2.Hao hut &amp; % chai '!F54</f>
        <v>187200</v>
      </c>
      <c r="I6" s="613">
        <f>'1.NVL Chai'!I$13*'2.Hao hut &amp; % chai '!G54</f>
        <v>140400</v>
      </c>
      <c r="J6" s="613">
        <f>'1.NVL Chai'!J$13*'2.Hao hut &amp; % chai '!H54</f>
        <v>202800</v>
      </c>
      <c r="K6" s="613">
        <f>'1.NVL Chai'!K$13*'2.Hao hut &amp; % chai '!I54</f>
        <v>218400</v>
      </c>
      <c r="L6" s="613">
        <f>'1.NVL Chai'!L$13*'2.Hao hut &amp; % chai '!J54</f>
        <v>218400</v>
      </c>
      <c r="M6" s="613">
        <f>'1.NVL Chai'!M$13*'2.Hao hut &amp; % chai '!K54</f>
        <v>218400</v>
      </c>
      <c r="N6" s="613">
        <f>'1.NVL Chai'!N$13*'2.Hao hut &amp; % chai '!L54</f>
        <v>218400</v>
      </c>
      <c r="O6" s="613">
        <f>'1.NVL Chai'!O$13*'2.Hao hut &amp; % chai '!M54</f>
        <v>218400</v>
      </c>
      <c r="P6" s="613">
        <f>'1.NVL Chai'!P$13*'2.Hao hut &amp; % chai '!N54</f>
        <v>218400</v>
      </c>
      <c r="Q6" s="613">
        <f>'1.NVL Chai'!Q$13*'2.Hao hut &amp; % chai '!O54</f>
        <v>218400</v>
      </c>
      <c r="R6" s="613">
        <f>'1.NVL Chai'!R$13*'2.Hao hut &amp; % chai '!P54</f>
        <v>218400</v>
      </c>
      <c r="S6" s="613">
        <f>'1.NVL Chai'!S$13*'2.Hao hut &amp; % chai '!Q54</f>
        <v>218400</v>
      </c>
      <c r="T6" s="612">
        <f>SUM(H6:S6)</f>
        <v>2496000</v>
      </c>
      <c r="U6" s="634"/>
    </row>
    <row r="7" spans="2:21" ht="14.5" x14ac:dyDescent="0.35">
      <c r="B7" s="614">
        <v>2</v>
      </c>
      <c r="C7" s="615" t="s">
        <v>401</v>
      </c>
      <c r="D7" s="611" t="s">
        <v>22</v>
      </c>
      <c r="E7" s="911">
        <f>953089.4*0.86</f>
        <v>819656.88399999996</v>
      </c>
      <c r="F7" s="911">
        <f>675241*0.9</f>
        <v>607716.9</v>
      </c>
      <c r="G7" s="911">
        <v>101133</v>
      </c>
      <c r="H7" s="617">
        <f>'1.NVL Chai'!H$13*'2.Hao hut &amp; % chai '!F55</f>
        <v>0</v>
      </c>
      <c r="I7" s="617">
        <f>'1.NVL Chai'!I$13*'2.Hao hut &amp; % chai '!G55</f>
        <v>0</v>
      </c>
      <c r="J7" s="617">
        <f>'1.NVL Chai'!J$13*'2.Hao hut &amp; % chai '!H55</f>
        <v>0</v>
      </c>
      <c r="K7" s="617">
        <f>'1.NVL Chai'!K$13*'2.Hao hut &amp; % chai '!I55</f>
        <v>0</v>
      </c>
      <c r="L7" s="617">
        <f>'1.NVL Chai'!L$13*'2.Hao hut &amp; % chai '!J55</f>
        <v>0</v>
      </c>
      <c r="M7" s="617">
        <f>'1.NVL Chai'!M$13*'2.Hao hut &amp; % chai '!K55</f>
        <v>0</v>
      </c>
      <c r="N7" s="617">
        <f>'1.NVL Chai'!N$13*'2.Hao hut &amp; % chai '!L55</f>
        <v>0</v>
      </c>
      <c r="O7" s="617">
        <f>'1.NVL Chai'!O$13*'2.Hao hut &amp; % chai '!M55</f>
        <v>0</v>
      </c>
      <c r="P7" s="617">
        <f>'1.NVL Chai'!P$13*'2.Hao hut &amp; % chai '!N55</f>
        <v>0</v>
      </c>
      <c r="Q7" s="617">
        <f>'1.NVL Chai'!Q$13*'2.Hao hut &amp; % chai '!O55</f>
        <v>0</v>
      </c>
      <c r="R7" s="617">
        <f>'1.NVL Chai'!R$13*'2.Hao hut &amp; % chai '!P55</f>
        <v>0</v>
      </c>
      <c r="S7" s="617">
        <f>'1.NVL Chai'!S$13*'2.Hao hut &amp; % chai '!Q55</f>
        <v>0</v>
      </c>
      <c r="T7" s="616">
        <f t="shared" ref="T7:T20" si="0">SUM(H7:S7)</f>
        <v>0</v>
      </c>
      <c r="U7" s="634"/>
    </row>
    <row r="8" spans="2:21" ht="14.5" x14ac:dyDescent="0.35">
      <c r="B8" s="614">
        <v>3</v>
      </c>
      <c r="C8" s="615" t="s">
        <v>42</v>
      </c>
      <c r="D8" s="611" t="s">
        <v>22</v>
      </c>
      <c r="E8" s="911"/>
      <c r="F8" s="911"/>
      <c r="G8" s="911">
        <v>471988</v>
      </c>
      <c r="H8" s="617">
        <f>'1.NVL Chai'!H$13*'2.Hao hut &amp; % chai '!F56</f>
        <v>0</v>
      </c>
      <c r="I8" s="617">
        <f>'1.NVL Chai'!I$13*'2.Hao hut &amp; % chai '!G56</f>
        <v>0</v>
      </c>
      <c r="J8" s="617">
        <f>'1.NVL Chai'!J$13*'2.Hao hut &amp; % chai '!H56</f>
        <v>0</v>
      </c>
      <c r="K8" s="617">
        <f>'1.NVL Chai'!K$13*'2.Hao hut &amp; % chai '!I56</f>
        <v>0</v>
      </c>
      <c r="L8" s="617">
        <f>'1.NVL Chai'!L$13*'2.Hao hut &amp; % chai '!J56</f>
        <v>0</v>
      </c>
      <c r="M8" s="617">
        <f>'1.NVL Chai'!M$13*'2.Hao hut &amp; % chai '!K56</f>
        <v>0</v>
      </c>
      <c r="N8" s="617">
        <f>'1.NVL Chai'!N$13*'2.Hao hut &amp; % chai '!L56</f>
        <v>0</v>
      </c>
      <c r="O8" s="617">
        <f>'1.NVL Chai'!O$13*'2.Hao hut &amp; % chai '!M56</f>
        <v>0</v>
      </c>
      <c r="P8" s="617">
        <f>'1.NVL Chai'!P$13*'2.Hao hut &amp; % chai '!N56</f>
        <v>0</v>
      </c>
      <c r="Q8" s="617">
        <f>'1.NVL Chai'!Q$13*'2.Hao hut &amp; % chai '!O56</f>
        <v>0</v>
      </c>
      <c r="R8" s="617">
        <f>'1.NVL Chai'!R$13*'2.Hao hut &amp; % chai '!P56</f>
        <v>0</v>
      </c>
      <c r="S8" s="617">
        <f>'1.NVL Chai'!S$13*'2.Hao hut &amp; % chai '!Q56</f>
        <v>0</v>
      </c>
      <c r="T8" s="616">
        <f t="shared" si="0"/>
        <v>0</v>
      </c>
      <c r="U8" s="634"/>
    </row>
    <row r="9" spans="2:21" ht="14.5" x14ac:dyDescent="0.35">
      <c r="B9" s="614">
        <v>4</v>
      </c>
      <c r="C9" s="615" t="s">
        <v>39</v>
      </c>
      <c r="D9" s="611" t="s">
        <v>22</v>
      </c>
      <c r="E9" s="911">
        <f>138836*0.86</f>
        <v>119398.95999999999</v>
      </c>
      <c r="F9" s="911">
        <f>5713*0.9</f>
        <v>5141.7</v>
      </c>
      <c r="G9" s="911">
        <v>85</v>
      </c>
      <c r="H9" s="617">
        <f>'1.NVL Chai'!H$13*'2.Hao hut &amp; % chai '!F57</f>
        <v>0</v>
      </c>
      <c r="I9" s="617">
        <f>'1.NVL Chai'!I$13*'2.Hao hut &amp; % chai '!G57</f>
        <v>0</v>
      </c>
      <c r="J9" s="617">
        <f>'1.NVL Chai'!J$13*'2.Hao hut &amp; % chai '!H57</f>
        <v>0</v>
      </c>
      <c r="K9" s="617">
        <f>'1.NVL Chai'!K$13*'2.Hao hut &amp; % chai '!I57</f>
        <v>0</v>
      </c>
      <c r="L9" s="617">
        <f>'1.NVL Chai'!L$13*'2.Hao hut &amp; % chai '!J57</f>
        <v>0</v>
      </c>
      <c r="M9" s="617">
        <f>'1.NVL Chai'!M$13*'2.Hao hut &amp; % chai '!K57</f>
        <v>0</v>
      </c>
      <c r="N9" s="617">
        <f>'1.NVL Chai'!N$13*'2.Hao hut &amp; % chai '!L57</f>
        <v>0</v>
      </c>
      <c r="O9" s="617">
        <f>'1.NVL Chai'!O$13*'2.Hao hut &amp; % chai '!M57</f>
        <v>0</v>
      </c>
      <c r="P9" s="617">
        <f>'1.NVL Chai'!P$13*'2.Hao hut &amp; % chai '!N57</f>
        <v>0</v>
      </c>
      <c r="Q9" s="617">
        <f>'1.NVL Chai'!Q$13*'2.Hao hut &amp; % chai '!O57</f>
        <v>0</v>
      </c>
      <c r="R9" s="617">
        <f>'1.NVL Chai'!R$13*'2.Hao hut &amp; % chai '!P57</f>
        <v>0</v>
      </c>
      <c r="S9" s="617">
        <f>'1.NVL Chai'!S$13*'2.Hao hut &amp; % chai '!Q57</f>
        <v>0</v>
      </c>
      <c r="T9" s="616">
        <f t="shared" si="0"/>
        <v>0</v>
      </c>
      <c r="U9" s="634"/>
    </row>
    <row r="10" spans="2:21" ht="14.5" x14ac:dyDescent="0.35">
      <c r="B10" s="614">
        <v>5</v>
      </c>
      <c r="C10" s="615" t="s">
        <v>32</v>
      </c>
      <c r="D10" s="611" t="s">
        <v>22</v>
      </c>
      <c r="E10" s="911">
        <f>553609*0.86</f>
        <v>476103.74</v>
      </c>
      <c r="F10" s="911">
        <f>629237.5*0.9</f>
        <v>566313.75</v>
      </c>
      <c r="G10" s="911">
        <f>401201.22-G9</f>
        <v>401116.22</v>
      </c>
      <c r="H10" s="617">
        <f>'1.NVL Chai'!H$13*'2.Hao hut &amp; % chai '!F58</f>
        <v>40950</v>
      </c>
      <c r="I10" s="617">
        <f>'1.NVL Chai'!I$13*'2.Hao hut &amp; % chai '!G58</f>
        <v>30712.5</v>
      </c>
      <c r="J10" s="617">
        <f>'1.NVL Chai'!J$13*'2.Hao hut &amp; % chai '!H58</f>
        <v>44362.5</v>
      </c>
      <c r="K10" s="617">
        <f>'1.NVL Chai'!K$13*'2.Hao hut &amp; % chai '!I58</f>
        <v>47775</v>
      </c>
      <c r="L10" s="617">
        <f>'1.NVL Chai'!L$13*'2.Hao hut &amp; % chai '!J58</f>
        <v>47775</v>
      </c>
      <c r="M10" s="617">
        <f>'1.NVL Chai'!M$13*'2.Hao hut &amp; % chai '!K58</f>
        <v>47775</v>
      </c>
      <c r="N10" s="617">
        <f>'1.NVL Chai'!N$13*'2.Hao hut &amp; % chai '!L58</f>
        <v>47775</v>
      </c>
      <c r="O10" s="617">
        <f>'1.NVL Chai'!O$13*'2.Hao hut &amp; % chai '!M58</f>
        <v>47775</v>
      </c>
      <c r="P10" s="617">
        <f>'1.NVL Chai'!P$13*'2.Hao hut &amp; % chai '!N58</f>
        <v>47775</v>
      </c>
      <c r="Q10" s="617">
        <f>'1.NVL Chai'!Q$13*'2.Hao hut &amp; % chai '!O58</f>
        <v>47775</v>
      </c>
      <c r="R10" s="617">
        <f>'1.NVL Chai'!R$13*'2.Hao hut &amp; % chai '!P58</f>
        <v>47775</v>
      </c>
      <c r="S10" s="617">
        <f>'1.NVL Chai'!S$13*'2.Hao hut &amp; % chai '!Q58</f>
        <v>47775</v>
      </c>
      <c r="T10" s="616">
        <f t="shared" si="0"/>
        <v>546000</v>
      </c>
      <c r="U10" s="634"/>
    </row>
    <row r="11" spans="2:21" ht="14.5" x14ac:dyDescent="0.35">
      <c r="B11" s="614">
        <v>6</v>
      </c>
      <c r="C11" s="615" t="s">
        <v>36</v>
      </c>
      <c r="D11" s="611" t="s">
        <v>22</v>
      </c>
      <c r="E11" s="911">
        <f>349078*0.86</f>
        <v>300207.08</v>
      </c>
      <c r="F11" s="911">
        <v>381</v>
      </c>
      <c r="G11" s="911">
        <v>11080.3</v>
      </c>
      <c r="H11" s="617">
        <f>'1.NVL Chai'!H$13*'2.Hao hut &amp; % chai '!F59</f>
        <v>0</v>
      </c>
      <c r="I11" s="617">
        <f>'1.NVL Chai'!I$13*'2.Hao hut &amp; % chai '!G59</f>
        <v>0</v>
      </c>
      <c r="J11" s="617">
        <f>'1.NVL Chai'!J$13*'2.Hao hut &amp; % chai '!H59</f>
        <v>0</v>
      </c>
      <c r="K11" s="617">
        <f>'1.NVL Chai'!K$13*'2.Hao hut &amp; % chai '!I59</f>
        <v>0</v>
      </c>
      <c r="L11" s="617">
        <f>'1.NVL Chai'!L$13*'2.Hao hut &amp; % chai '!J59</f>
        <v>0</v>
      </c>
      <c r="M11" s="617">
        <f>'1.NVL Chai'!M$13*'2.Hao hut &amp; % chai '!K59</f>
        <v>0</v>
      </c>
      <c r="N11" s="617">
        <f>'1.NVL Chai'!N$13*'2.Hao hut &amp; % chai '!L59</f>
        <v>0</v>
      </c>
      <c r="O11" s="617">
        <f>'1.NVL Chai'!O$13*'2.Hao hut &amp; % chai '!M59</f>
        <v>0</v>
      </c>
      <c r="P11" s="617">
        <f>'1.NVL Chai'!P$13*'2.Hao hut &amp; % chai '!N59</f>
        <v>0</v>
      </c>
      <c r="Q11" s="617">
        <f>'1.NVL Chai'!Q$13*'2.Hao hut &amp; % chai '!O59</f>
        <v>0</v>
      </c>
      <c r="R11" s="617">
        <f>'1.NVL Chai'!R$13*'2.Hao hut &amp; % chai '!P59</f>
        <v>0</v>
      </c>
      <c r="S11" s="617">
        <f>'1.NVL Chai'!S$13*'2.Hao hut &amp; % chai '!Q59</f>
        <v>0</v>
      </c>
      <c r="T11" s="616">
        <f t="shared" si="0"/>
        <v>0</v>
      </c>
      <c r="U11" s="634"/>
    </row>
    <row r="12" spans="2:21" ht="14.5" x14ac:dyDescent="0.35">
      <c r="B12" s="614">
        <v>7</v>
      </c>
      <c r="C12" s="615" t="s">
        <v>34</v>
      </c>
      <c r="D12" s="611" t="s">
        <v>22</v>
      </c>
      <c r="E12" s="911">
        <f>73873.5*0.86</f>
        <v>63531.21</v>
      </c>
      <c r="F12" s="911">
        <f>83665*0.9</f>
        <v>75298.5</v>
      </c>
      <c r="G12" s="911">
        <v>71900.429999999993</v>
      </c>
      <c r="H12" s="617">
        <f>'1.NVL Chai'!H$13*'2.Hao hut &amp; % chai '!F60</f>
        <v>5850</v>
      </c>
      <c r="I12" s="617">
        <f>'1.NVL Chai'!I$13*'2.Hao hut &amp; % chai '!G60</f>
        <v>4387.5</v>
      </c>
      <c r="J12" s="617">
        <f>'1.NVL Chai'!J$13*'2.Hao hut &amp; % chai '!H60</f>
        <v>6337.5</v>
      </c>
      <c r="K12" s="617">
        <f>'1.NVL Chai'!K$13*'2.Hao hut &amp; % chai '!I60</f>
        <v>6825</v>
      </c>
      <c r="L12" s="617">
        <f>'1.NVL Chai'!L$13*'2.Hao hut &amp; % chai '!J60</f>
        <v>6825</v>
      </c>
      <c r="M12" s="617">
        <f>'1.NVL Chai'!M$13*'2.Hao hut &amp; % chai '!K60</f>
        <v>6825</v>
      </c>
      <c r="N12" s="617">
        <f>'1.NVL Chai'!N$13*'2.Hao hut &amp; % chai '!L60</f>
        <v>6825</v>
      </c>
      <c r="O12" s="617">
        <f>'1.NVL Chai'!O$13*'2.Hao hut &amp; % chai '!M60</f>
        <v>6825</v>
      </c>
      <c r="P12" s="617">
        <f>'1.NVL Chai'!P$13*'2.Hao hut &amp; % chai '!N60</f>
        <v>6825</v>
      </c>
      <c r="Q12" s="617">
        <f>'1.NVL Chai'!Q$13*'2.Hao hut &amp; % chai '!O60</f>
        <v>6825</v>
      </c>
      <c r="R12" s="617">
        <f>'1.NVL Chai'!R$13*'2.Hao hut &amp; % chai '!P60</f>
        <v>6825</v>
      </c>
      <c r="S12" s="617">
        <f>'1.NVL Chai'!S$13*'2.Hao hut &amp; % chai '!Q60</f>
        <v>6825</v>
      </c>
      <c r="T12" s="616">
        <f t="shared" si="0"/>
        <v>78000</v>
      </c>
      <c r="U12" s="634"/>
    </row>
    <row r="13" spans="2:21" ht="14.5" x14ac:dyDescent="0.35">
      <c r="B13" s="614">
        <v>8</v>
      </c>
      <c r="C13" s="615" t="s">
        <v>33</v>
      </c>
      <c r="D13" s="611" t="s">
        <v>22</v>
      </c>
      <c r="E13" s="911">
        <f>142273*0.86</f>
        <v>122354.78</v>
      </c>
      <c r="F13" s="911">
        <f>125421.5*0.9</f>
        <v>112879.35</v>
      </c>
      <c r="G13" s="911">
        <v>95097.099999999991</v>
      </c>
      <c r="H13" s="617">
        <f>'1.NVL Chai'!H$13*'2.Hao hut &amp; % chai '!F61</f>
        <v>7800</v>
      </c>
      <c r="I13" s="617">
        <f>'1.NVL Chai'!I$13*'2.Hao hut &amp; % chai '!G61</f>
        <v>5850</v>
      </c>
      <c r="J13" s="617">
        <f>'1.NVL Chai'!J$13*'2.Hao hut &amp; % chai '!H61</f>
        <v>8450</v>
      </c>
      <c r="K13" s="617">
        <f>'1.NVL Chai'!K$13*'2.Hao hut &amp; % chai '!I61</f>
        <v>9100</v>
      </c>
      <c r="L13" s="617">
        <f>'1.NVL Chai'!L$13*'2.Hao hut &amp; % chai '!J61</f>
        <v>9100</v>
      </c>
      <c r="M13" s="617">
        <f>'1.NVL Chai'!M$13*'2.Hao hut &amp; % chai '!K61</f>
        <v>9100</v>
      </c>
      <c r="N13" s="617">
        <f>'1.NVL Chai'!N$13*'2.Hao hut &amp; % chai '!L61</f>
        <v>9100</v>
      </c>
      <c r="O13" s="617">
        <f>'1.NVL Chai'!O$13*'2.Hao hut &amp; % chai '!M61</f>
        <v>9100</v>
      </c>
      <c r="P13" s="617">
        <f>'1.NVL Chai'!P$13*'2.Hao hut &amp; % chai '!N61</f>
        <v>9100</v>
      </c>
      <c r="Q13" s="617">
        <f>'1.NVL Chai'!Q$13*'2.Hao hut &amp; % chai '!O61</f>
        <v>9100</v>
      </c>
      <c r="R13" s="617">
        <f>'1.NVL Chai'!R$13*'2.Hao hut &amp; % chai '!P61</f>
        <v>9100</v>
      </c>
      <c r="S13" s="617">
        <f>'1.NVL Chai'!S$13*'2.Hao hut &amp; % chai '!Q61</f>
        <v>9100</v>
      </c>
      <c r="T13" s="616">
        <f t="shared" si="0"/>
        <v>104000</v>
      </c>
      <c r="U13" s="634"/>
    </row>
    <row r="14" spans="2:21" ht="14.5" x14ac:dyDescent="0.35">
      <c r="B14" s="614">
        <v>9</v>
      </c>
      <c r="C14" s="615" t="s">
        <v>37</v>
      </c>
      <c r="D14" s="611" t="s">
        <v>22</v>
      </c>
      <c r="E14" s="911"/>
      <c r="F14" s="911"/>
      <c r="G14" s="911"/>
      <c r="H14" s="617">
        <f>'1.NVL Chai'!H$13*'2.Hao hut &amp; % chai '!F62</f>
        <v>0</v>
      </c>
      <c r="I14" s="617">
        <f>'1.NVL Chai'!I$13*'2.Hao hut &amp; % chai '!G62</f>
        <v>0</v>
      </c>
      <c r="J14" s="617">
        <f>'1.NVL Chai'!J$13*'2.Hao hut &amp; % chai '!H62</f>
        <v>0</v>
      </c>
      <c r="K14" s="617">
        <f>'1.NVL Chai'!K$13*'2.Hao hut &amp; % chai '!I62</f>
        <v>0</v>
      </c>
      <c r="L14" s="617">
        <f>'1.NVL Chai'!L$13*'2.Hao hut &amp; % chai '!J62</f>
        <v>0</v>
      </c>
      <c r="M14" s="617">
        <f>'1.NVL Chai'!M$13*'2.Hao hut &amp; % chai '!K62</f>
        <v>0</v>
      </c>
      <c r="N14" s="617">
        <f>'1.NVL Chai'!N$13*'2.Hao hut &amp; % chai '!L62</f>
        <v>0</v>
      </c>
      <c r="O14" s="617">
        <f>'1.NVL Chai'!O$13*'2.Hao hut &amp; % chai '!M62</f>
        <v>0</v>
      </c>
      <c r="P14" s="617">
        <f>'1.NVL Chai'!P$13*'2.Hao hut &amp; % chai '!N62</f>
        <v>0</v>
      </c>
      <c r="Q14" s="617">
        <f>'1.NVL Chai'!Q$13*'2.Hao hut &amp; % chai '!O62</f>
        <v>0</v>
      </c>
      <c r="R14" s="617">
        <f>'1.NVL Chai'!R$13*'2.Hao hut &amp; % chai '!P62</f>
        <v>0</v>
      </c>
      <c r="S14" s="617">
        <f>'1.NVL Chai'!S$13*'2.Hao hut &amp; % chai '!Q62</f>
        <v>0</v>
      </c>
      <c r="T14" s="616">
        <f t="shared" si="0"/>
        <v>0</v>
      </c>
      <c r="U14" s="634"/>
    </row>
    <row r="15" spans="2:21" ht="14.5" x14ac:dyDescent="0.35">
      <c r="B15" s="614">
        <v>10</v>
      </c>
      <c r="C15" s="615" t="s">
        <v>38</v>
      </c>
      <c r="D15" s="611" t="s">
        <v>22</v>
      </c>
      <c r="E15" s="911">
        <f>1233058*0.86</f>
        <v>1060429.8799999999</v>
      </c>
      <c r="F15" s="911">
        <f>934724.5*0.9</f>
        <v>841252.05</v>
      </c>
      <c r="G15" s="911">
        <v>1125745.3899999999</v>
      </c>
      <c r="H15" s="617">
        <f>'1.NVL Chai'!H$13*'2.Hao hut &amp; % chai '!F63</f>
        <v>93600</v>
      </c>
      <c r="I15" s="617">
        <f>'1.NVL Chai'!I$13*'2.Hao hut &amp; % chai '!G63</f>
        <v>70200</v>
      </c>
      <c r="J15" s="617">
        <f>'1.NVL Chai'!J$13*'2.Hao hut &amp; % chai '!H63</f>
        <v>101400</v>
      </c>
      <c r="K15" s="617">
        <f>'1.NVL Chai'!K$13*'2.Hao hut &amp; % chai '!I63</f>
        <v>109200</v>
      </c>
      <c r="L15" s="617">
        <f>'1.NVL Chai'!L$13*'2.Hao hut &amp; % chai '!J63</f>
        <v>109200</v>
      </c>
      <c r="M15" s="617">
        <f>'1.NVL Chai'!M$13*'2.Hao hut &amp; % chai '!K63</f>
        <v>109200</v>
      </c>
      <c r="N15" s="617">
        <f>'1.NVL Chai'!N$13*'2.Hao hut &amp; % chai '!L63</f>
        <v>109200</v>
      </c>
      <c r="O15" s="617">
        <f>'1.NVL Chai'!O$13*'2.Hao hut &amp; % chai '!M63</f>
        <v>109200</v>
      </c>
      <c r="P15" s="617">
        <f>'1.NVL Chai'!P$13*'2.Hao hut &amp; % chai '!N63</f>
        <v>109200</v>
      </c>
      <c r="Q15" s="617">
        <f>'1.NVL Chai'!Q$13*'2.Hao hut &amp; % chai '!O63</f>
        <v>109200</v>
      </c>
      <c r="R15" s="617">
        <f>'1.NVL Chai'!R$13*'2.Hao hut &amp; % chai '!P63</f>
        <v>109200</v>
      </c>
      <c r="S15" s="617">
        <f>'1.NVL Chai'!S$13*'2.Hao hut &amp; % chai '!Q63</f>
        <v>109200</v>
      </c>
      <c r="T15" s="616">
        <f t="shared" si="0"/>
        <v>1248000</v>
      </c>
      <c r="U15" s="634"/>
    </row>
    <row r="16" spans="2:21" ht="14.5" x14ac:dyDescent="0.35">
      <c r="B16" s="614">
        <v>11</v>
      </c>
      <c r="C16" s="615" t="s">
        <v>402</v>
      </c>
      <c r="D16" s="611" t="s">
        <v>22</v>
      </c>
      <c r="E16" s="911"/>
      <c r="F16" s="911"/>
      <c r="G16" s="911"/>
      <c r="H16" s="617">
        <f>'1.NVL Chai'!H$13*'2.Hao hut &amp; % chai '!F64</f>
        <v>0</v>
      </c>
      <c r="I16" s="617">
        <f>'1.NVL Chai'!I$13*'2.Hao hut &amp; % chai '!G64</f>
        <v>0</v>
      </c>
      <c r="J16" s="617">
        <f>'1.NVL Chai'!J$13*'2.Hao hut &amp; % chai '!H64</f>
        <v>0</v>
      </c>
      <c r="K16" s="617">
        <f>'1.NVL Chai'!K$13*'2.Hao hut &amp; % chai '!I64</f>
        <v>0</v>
      </c>
      <c r="L16" s="617">
        <f>'1.NVL Chai'!L$13*'2.Hao hut &amp; % chai '!J64</f>
        <v>0</v>
      </c>
      <c r="M16" s="617">
        <f>'1.NVL Chai'!M$13*'2.Hao hut &amp; % chai '!K64</f>
        <v>0</v>
      </c>
      <c r="N16" s="617">
        <f>'1.NVL Chai'!N$13*'2.Hao hut &amp; % chai '!L64</f>
        <v>0</v>
      </c>
      <c r="O16" s="617">
        <f>'1.NVL Chai'!O$13*'2.Hao hut &amp; % chai '!M64</f>
        <v>0</v>
      </c>
      <c r="P16" s="617">
        <f>'1.NVL Chai'!P$13*'2.Hao hut &amp; % chai '!N64</f>
        <v>0</v>
      </c>
      <c r="Q16" s="617">
        <f>'1.NVL Chai'!Q$13*'2.Hao hut &amp; % chai '!O64</f>
        <v>0</v>
      </c>
      <c r="R16" s="617">
        <f>'1.NVL Chai'!R$13*'2.Hao hut &amp; % chai '!P64</f>
        <v>0</v>
      </c>
      <c r="S16" s="617">
        <f>'1.NVL Chai'!S$13*'2.Hao hut &amp; % chai '!Q64</f>
        <v>0</v>
      </c>
      <c r="T16" s="616">
        <f t="shared" si="0"/>
        <v>0</v>
      </c>
      <c r="U16" s="634"/>
    </row>
    <row r="17" spans="2:21" ht="14.5" x14ac:dyDescent="0.35">
      <c r="B17" s="614">
        <v>12</v>
      </c>
      <c r="C17" s="615" t="s">
        <v>311</v>
      </c>
      <c r="D17" s="611" t="s">
        <v>22</v>
      </c>
      <c r="E17" s="911"/>
      <c r="F17" s="911"/>
      <c r="G17" s="911"/>
      <c r="H17" s="617">
        <f>'1.NVL Chai'!H$13*'2.Hao hut &amp; % chai '!F65</f>
        <v>0</v>
      </c>
      <c r="I17" s="617">
        <f>'1.NVL Chai'!I$13*'2.Hao hut &amp; % chai '!G65</f>
        <v>0</v>
      </c>
      <c r="J17" s="617">
        <f>'1.NVL Chai'!J$13*'2.Hao hut &amp; % chai '!H65</f>
        <v>0</v>
      </c>
      <c r="K17" s="617">
        <f>'1.NVL Chai'!K$13*'2.Hao hut &amp; % chai '!I65</f>
        <v>0</v>
      </c>
      <c r="L17" s="617">
        <f>'1.NVL Chai'!L$13*'2.Hao hut &amp; % chai '!J65</f>
        <v>0</v>
      </c>
      <c r="M17" s="617">
        <f>'1.NVL Chai'!M$13*'2.Hao hut &amp; % chai '!K65</f>
        <v>0</v>
      </c>
      <c r="N17" s="617">
        <f>'1.NVL Chai'!N$13*'2.Hao hut &amp; % chai '!L65</f>
        <v>0</v>
      </c>
      <c r="O17" s="617">
        <f>'1.NVL Chai'!O$13*'2.Hao hut &amp; % chai '!M65</f>
        <v>0</v>
      </c>
      <c r="P17" s="617">
        <f>'1.NVL Chai'!P$13*'2.Hao hut &amp; % chai '!N65</f>
        <v>0</v>
      </c>
      <c r="Q17" s="617">
        <f>'1.NVL Chai'!Q$13*'2.Hao hut &amp; % chai '!O65</f>
        <v>0</v>
      </c>
      <c r="R17" s="617">
        <f>'1.NVL Chai'!R$13*'2.Hao hut &amp; % chai '!P65</f>
        <v>0</v>
      </c>
      <c r="S17" s="617">
        <f>'1.NVL Chai'!S$13*'2.Hao hut &amp; % chai '!Q65</f>
        <v>0</v>
      </c>
      <c r="T17" s="616">
        <f t="shared" si="0"/>
        <v>0</v>
      </c>
      <c r="U17" s="634"/>
    </row>
    <row r="18" spans="2:21" ht="14.5" x14ac:dyDescent="0.35">
      <c r="B18" s="614">
        <v>13</v>
      </c>
      <c r="C18" s="615" t="s">
        <v>403</v>
      </c>
      <c r="D18" s="611" t="s">
        <v>22</v>
      </c>
      <c r="E18" s="911">
        <f>(92622*1/4)*0.86</f>
        <v>19913.73</v>
      </c>
      <c r="F18" s="911">
        <f>(166851.5*1/4)*0.9</f>
        <v>37541.587500000001</v>
      </c>
      <c r="G18" s="911">
        <v>44673.142499999994</v>
      </c>
      <c r="H18" s="617">
        <f>'1.NVL Chai'!H$13*'2.Hao hut &amp; % chai '!F66</f>
        <v>3900</v>
      </c>
      <c r="I18" s="617">
        <f>'1.NVL Chai'!I$13*'2.Hao hut &amp; % chai '!G66</f>
        <v>2925</v>
      </c>
      <c r="J18" s="617">
        <f>'1.NVL Chai'!J$13*'2.Hao hut &amp; % chai '!H66</f>
        <v>4225</v>
      </c>
      <c r="K18" s="617">
        <f>'1.NVL Chai'!K$13*'2.Hao hut &amp; % chai '!I66</f>
        <v>4550</v>
      </c>
      <c r="L18" s="617">
        <f>'1.NVL Chai'!L$13*'2.Hao hut &amp; % chai '!J66</f>
        <v>4550</v>
      </c>
      <c r="M18" s="617">
        <f>'1.NVL Chai'!M$13*'2.Hao hut &amp; % chai '!K66</f>
        <v>4550</v>
      </c>
      <c r="N18" s="617">
        <f>'1.NVL Chai'!N$13*'2.Hao hut &amp; % chai '!L66</f>
        <v>4550</v>
      </c>
      <c r="O18" s="617">
        <f>'1.NVL Chai'!O$13*'2.Hao hut &amp; % chai '!M66</f>
        <v>4550</v>
      </c>
      <c r="P18" s="617">
        <f>'1.NVL Chai'!P$13*'2.Hao hut &amp; % chai '!N66</f>
        <v>4550</v>
      </c>
      <c r="Q18" s="617">
        <f>'1.NVL Chai'!Q$13*'2.Hao hut &amp; % chai '!O66</f>
        <v>4550</v>
      </c>
      <c r="R18" s="617">
        <f>'1.NVL Chai'!R$13*'2.Hao hut &amp; % chai '!P66</f>
        <v>4550</v>
      </c>
      <c r="S18" s="617">
        <f>'1.NVL Chai'!S$13*'2.Hao hut &amp; % chai '!Q66</f>
        <v>4550</v>
      </c>
      <c r="T18" s="616">
        <f t="shared" si="0"/>
        <v>52000</v>
      </c>
      <c r="U18" s="634"/>
    </row>
    <row r="19" spans="2:21" ht="14.5" x14ac:dyDescent="0.35">
      <c r="B19" s="614">
        <v>14</v>
      </c>
      <c r="C19" s="615" t="s">
        <v>404</v>
      </c>
      <c r="D19" s="611" t="s">
        <v>22</v>
      </c>
      <c r="E19" s="911">
        <f>(92622*3/4)*0.86</f>
        <v>59741.19</v>
      </c>
      <c r="F19" s="911">
        <f>(166851.5*3/4)*0.9</f>
        <v>112624.7625</v>
      </c>
      <c r="G19" s="911">
        <v>134019.42749999999</v>
      </c>
      <c r="H19" s="617">
        <f>'1.NVL Chai'!H$13*'2.Hao hut &amp; % chai '!F67</f>
        <v>11700</v>
      </c>
      <c r="I19" s="617">
        <f>'1.NVL Chai'!I$13*'2.Hao hut &amp; % chai '!G67</f>
        <v>8775</v>
      </c>
      <c r="J19" s="617">
        <f>'1.NVL Chai'!J$13*'2.Hao hut &amp; % chai '!H67</f>
        <v>12675</v>
      </c>
      <c r="K19" s="617">
        <f>'1.NVL Chai'!K$13*'2.Hao hut &amp; % chai '!I67</f>
        <v>13650</v>
      </c>
      <c r="L19" s="617">
        <f>'1.NVL Chai'!L$13*'2.Hao hut &amp; % chai '!J67</f>
        <v>13650</v>
      </c>
      <c r="M19" s="617">
        <f>'1.NVL Chai'!M$13*'2.Hao hut &amp; % chai '!K67</f>
        <v>13650</v>
      </c>
      <c r="N19" s="617">
        <f>'1.NVL Chai'!N$13*'2.Hao hut &amp; % chai '!L67</f>
        <v>13650</v>
      </c>
      <c r="O19" s="617">
        <f>'1.NVL Chai'!O$13*'2.Hao hut &amp; % chai '!M67</f>
        <v>13650</v>
      </c>
      <c r="P19" s="617">
        <f>'1.NVL Chai'!P$13*'2.Hao hut &amp; % chai '!N67</f>
        <v>13650</v>
      </c>
      <c r="Q19" s="617">
        <f>'1.NVL Chai'!Q$13*'2.Hao hut &amp; % chai '!O67</f>
        <v>13650</v>
      </c>
      <c r="R19" s="617">
        <f>'1.NVL Chai'!R$13*'2.Hao hut &amp; % chai '!P67</f>
        <v>13650</v>
      </c>
      <c r="S19" s="617">
        <f>'1.NVL Chai'!S$13*'2.Hao hut &amp; % chai '!Q67</f>
        <v>13650</v>
      </c>
      <c r="T19" s="616">
        <f t="shared" si="0"/>
        <v>156000</v>
      </c>
      <c r="U19" s="634"/>
    </row>
    <row r="20" spans="2:21" x14ac:dyDescent="0.35">
      <c r="B20" s="618">
        <v>15</v>
      </c>
      <c r="C20" s="619" t="s">
        <v>25</v>
      </c>
      <c r="D20" s="611" t="s">
        <v>22</v>
      </c>
      <c r="E20" s="912">
        <f>96057*0.86</f>
        <v>82609.02</v>
      </c>
      <c r="F20" s="912">
        <f>8753.4*0.9</f>
        <v>7878.0599999999995</v>
      </c>
      <c r="G20" s="912"/>
      <c r="H20" s="621">
        <f>'1.NVL Chai'!H$13*'2.Hao hut &amp; % chai '!F68</f>
        <v>0</v>
      </c>
      <c r="I20" s="621">
        <f>'1.NVL Chai'!I$13*'2.Hao hut &amp; % chai '!G68</f>
        <v>0</v>
      </c>
      <c r="J20" s="621">
        <f>'1.NVL Chai'!J$13*'2.Hao hut &amp; % chai '!H68</f>
        <v>0</v>
      </c>
      <c r="K20" s="621">
        <f>'1.NVL Chai'!K$13*'2.Hao hut &amp; % chai '!I68</f>
        <v>0</v>
      </c>
      <c r="L20" s="621">
        <f>'1.NVL Chai'!L$13*'2.Hao hut &amp; % chai '!J68</f>
        <v>0</v>
      </c>
      <c r="M20" s="621">
        <f>'1.NVL Chai'!M$13*'2.Hao hut &amp; % chai '!K68</f>
        <v>0</v>
      </c>
      <c r="N20" s="621">
        <f>'1.NVL Chai'!N$13*'2.Hao hut &amp; % chai '!L68</f>
        <v>0</v>
      </c>
      <c r="O20" s="621">
        <f>'1.NVL Chai'!O$13*'2.Hao hut &amp; % chai '!M68</f>
        <v>0</v>
      </c>
      <c r="P20" s="621">
        <f>'1.NVL Chai'!P$13*'2.Hao hut &amp; % chai '!N68</f>
        <v>0</v>
      </c>
      <c r="Q20" s="621">
        <f>'1.NVL Chai'!Q$13*'2.Hao hut &amp; % chai '!O68</f>
        <v>0</v>
      </c>
      <c r="R20" s="621">
        <f>'1.NVL Chai'!R$13*'2.Hao hut &amp; % chai '!P68</f>
        <v>0</v>
      </c>
      <c r="S20" s="621">
        <f>'1.NVL Chai'!S$13*'2.Hao hut &amp; % chai '!Q68</f>
        <v>0</v>
      </c>
      <c r="T20" s="620">
        <f t="shared" si="0"/>
        <v>0</v>
      </c>
    </row>
    <row r="21" spans="2:21" x14ac:dyDescent="0.35">
      <c r="B21" s="23"/>
      <c r="C21" s="24" t="s">
        <v>41</v>
      </c>
      <c r="D21" s="369" t="s">
        <v>22</v>
      </c>
      <c r="E21" s="29">
        <f t="shared" ref="E21:K21" si="1">SUM(E6:E20)</f>
        <v>4066406.3699999996</v>
      </c>
      <c r="F21" s="29">
        <f t="shared" si="1"/>
        <v>4080295.1100000003</v>
      </c>
      <c r="G21" s="29">
        <f t="shared" si="1"/>
        <v>4278477.7</v>
      </c>
      <c r="H21" s="29">
        <f t="shared" si="1"/>
        <v>351000</v>
      </c>
      <c r="I21" s="29">
        <f t="shared" si="1"/>
        <v>263250</v>
      </c>
      <c r="J21" s="29">
        <f t="shared" si="1"/>
        <v>380250</v>
      </c>
      <c r="K21" s="29">
        <f t="shared" si="1"/>
        <v>409500</v>
      </c>
      <c r="L21" s="29">
        <f t="shared" ref="L21:S21" si="2">SUM(L6:L20)</f>
        <v>409500</v>
      </c>
      <c r="M21" s="29">
        <f t="shared" si="2"/>
        <v>409500</v>
      </c>
      <c r="N21" s="29">
        <f t="shared" si="2"/>
        <v>409500</v>
      </c>
      <c r="O21" s="29">
        <f t="shared" si="2"/>
        <v>409500</v>
      </c>
      <c r="P21" s="29">
        <f t="shared" si="2"/>
        <v>409500</v>
      </c>
      <c r="Q21" s="29">
        <f t="shared" si="2"/>
        <v>409500</v>
      </c>
      <c r="R21" s="29">
        <f t="shared" si="2"/>
        <v>409500</v>
      </c>
      <c r="S21" s="29">
        <f t="shared" si="2"/>
        <v>409500</v>
      </c>
      <c r="T21" s="29">
        <f>SUM(T6:T20)</f>
        <v>4680000</v>
      </c>
    </row>
    <row r="23" spans="2:21" x14ac:dyDescent="0.35">
      <c r="B23" s="37" t="s">
        <v>1630</v>
      </c>
      <c r="T23" s="37" t="s">
        <v>82</v>
      </c>
    </row>
    <row r="24" spans="2:21" ht="25.5" customHeight="1" x14ac:dyDescent="0.35">
      <c r="B24" s="141" t="s">
        <v>0</v>
      </c>
      <c r="C24" s="141" t="s">
        <v>81</v>
      </c>
      <c r="D24" s="397" t="s">
        <v>11</v>
      </c>
      <c r="E24" s="397" t="s">
        <v>1943</v>
      </c>
      <c r="F24" s="397" t="s">
        <v>1942</v>
      </c>
      <c r="G24" s="7" t="s">
        <v>405</v>
      </c>
      <c r="H24" s="7" t="s">
        <v>56</v>
      </c>
      <c r="I24" s="7" t="s">
        <v>57</v>
      </c>
      <c r="J24" s="7" t="s">
        <v>58</v>
      </c>
      <c r="K24" s="7" t="s">
        <v>59</v>
      </c>
      <c r="L24" s="7" t="s">
        <v>60</v>
      </c>
      <c r="M24" s="7" t="s">
        <v>61</v>
      </c>
      <c r="N24" s="7" t="s">
        <v>62</v>
      </c>
      <c r="O24" s="7" t="s">
        <v>63</v>
      </c>
      <c r="P24" s="7" t="s">
        <v>64</v>
      </c>
      <c r="Q24" s="7" t="s">
        <v>65</v>
      </c>
      <c r="R24" s="7" t="s">
        <v>66</v>
      </c>
      <c r="S24" s="7" t="s">
        <v>67</v>
      </c>
      <c r="T24" s="7" t="s">
        <v>2246</v>
      </c>
    </row>
    <row r="25" spans="2:21" ht="14.5" x14ac:dyDescent="0.35">
      <c r="B25" s="610">
        <v>1</v>
      </c>
      <c r="C25" s="611" t="s">
        <v>35</v>
      </c>
      <c r="D25" s="611" t="s">
        <v>22</v>
      </c>
      <c r="E25" s="910">
        <f>2048973*0.14-E26</f>
        <v>153423.70400000003</v>
      </c>
      <c r="F25" s="910">
        <f>1903630.5*0.1</f>
        <v>190363.05000000002</v>
      </c>
      <c r="G25" s="910">
        <f>957904.276-G26-G27</f>
        <v>712280.27599999995</v>
      </c>
      <c r="H25" s="613">
        <f>'1.NVL Chai'!H$14*'2.Hao hut &amp; % chai '!F73</f>
        <v>96600</v>
      </c>
      <c r="I25" s="613">
        <f>'1.NVL Chai'!I$14*'2.Hao hut &amp; % chai '!G73</f>
        <v>72450</v>
      </c>
      <c r="J25" s="613">
        <f>'1.NVL Chai'!J$14*'2.Hao hut &amp; % chai '!H73</f>
        <v>104650</v>
      </c>
      <c r="K25" s="613">
        <f>'1.NVL Chai'!K$14*'2.Hao hut &amp; % chai '!I73</f>
        <v>112699.99999999999</v>
      </c>
      <c r="L25" s="613">
        <f>'1.NVL Chai'!L$14*'2.Hao hut &amp; % chai '!J73</f>
        <v>112699.99999999999</v>
      </c>
      <c r="M25" s="613">
        <f>'1.NVL Chai'!M$14*'2.Hao hut &amp; % chai '!K73</f>
        <v>112699.99999999999</v>
      </c>
      <c r="N25" s="613">
        <f>'1.NVL Chai'!N$14*'2.Hao hut &amp; % chai '!L73</f>
        <v>112699.99999999999</v>
      </c>
      <c r="O25" s="613">
        <f>'1.NVL Chai'!O$14*'2.Hao hut &amp; % chai '!M73</f>
        <v>112699.99999999999</v>
      </c>
      <c r="P25" s="613">
        <f>'1.NVL Chai'!P$14*'2.Hao hut &amp; % chai '!N73</f>
        <v>112699.99999999999</v>
      </c>
      <c r="Q25" s="613">
        <f>'1.NVL Chai'!Q$14*'2.Hao hut &amp; % chai '!O73</f>
        <v>112699.99999999999</v>
      </c>
      <c r="R25" s="613">
        <f>'1.NVL Chai'!R$14*'2.Hao hut &amp; % chai '!P73</f>
        <v>112699.99999999999</v>
      </c>
      <c r="S25" s="613">
        <f>'1.NVL Chai'!S$14*'2.Hao hut &amp; % chai '!Q73</f>
        <v>112699.99999999999</v>
      </c>
      <c r="T25" s="612">
        <f>SUM(H25:S25)</f>
        <v>1288000</v>
      </c>
      <c r="U25" s="634"/>
    </row>
    <row r="26" spans="2:21" ht="14.5" x14ac:dyDescent="0.35">
      <c r="B26" s="614">
        <v>2</v>
      </c>
      <c r="C26" s="615" t="s">
        <v>401</v>
      </c>
      <c r="D26" s="611" t="s">
        <v>22</v>
      </c>
      <c r="E26" s="911">
        <f>953089.4*0.14</f>
        <v>133432.516</v>
      </c>
      <c r="F26" s="911">
        <f>675241*0.1</f>
        <v>67524.100000000006</v>
      </c>
      <c r="G26" s="911">
        <v>43343</v>
      </c>
      <c r="H26" s="617">
        <f>'1.NVL Chai'!H$14*'2.Hao hut &amp; % chai '!F74</f>
        <v>0</v>
      </c>
      <c r="I26" s="617">
        <f>'1.NVL Chai'!I$14*'2.Hao hut &amp; % chai '!G74</f>
        <v>0</v>
      </c>
      <c r="J26" s="617">
        <f>'1.NVL Chai'!J$14*'2.Hao hut &amp; % chai '!H74</f>
        <v>0</v>
      </c>
      <c r="K26" s="617">
        <f>'1.NVL Chai'!K$14*'2.Hao hut &amp; % chai '!I74</f>
        <v>0</v>
      </c>
      <c r="L26" s="617">
        <f>'1.NVL Chai'!L$14*'2.Hao hut &amp; % chai '!J74</f>
        <v>0</v>
      </c>
      <c r="M26" s="617">
        <f>'1.NVL Chai'!M$14*'2.Hao hut &amp; % chai '!K74</f>
        <v>0</v>
      </c>
      <c r="N26" s="617">
        <f>'1.NVL Chai'!N$14*'2.Hao hut &amp; % chai '!L74</f>
        <v>0</v>
      </c>
      <c r="O26" s="617">
        <f>'1.NVL Chai'!O$14*'2.Hao hut &amp; % chai '!M74</f>
        <v>0</v>
      </c>
      <c r="P26" s="617">
        <f>'1.NVL Chai'!P$14*'2.Hao hut &amp; % chai '!N74</f>
        <v>0</v>
      </c>
      <c r="Q26" s="617">
        <f>'1.NVL Chai'!Q$14*'2.Hao hut &amp; % chai '!O74</f>
        <v>0</v>
      </c>
      <c r="R26" s="617">
        <f>'1.NVL Chai'!R$14*'2.Hao hut &amp; % chai '!P74</f>
        <v>0</v>
      </c>
      <c r="S26" s="617">
        <f>'1.NVL Chai'!S$14*'2.Hao hut &amp; % chai '!Q74</f>
        <v>0</v>
      </c>
      <c r="T26" s="616">
        <f t="shared" ref="T26:T39" si="3">SUM(H26:S26)</f>
        <v>0</v>
      </c>
      <c r="U26" s="634"/>
    </row>
    <row r="27" spans="2:21" ht="14.5" x14ac:dyDescent="0.35">
      <c r="B27" s="614">
        <v>3</v>
      </c>
      <c r="C27" s="615" t="s">
        <v>42</v>
      </c>
      <c r="D27" s="611" t="s">
        <v>22</v>
      </c>
      <c r="E27" s="911"/>
      <c r="F27" s="911"/>
      <c r="G27" s="911">
        <v>202281</v>
      </c>
      <c r="H27" s="617">
        <f>'1.NVL Chai'!H$14*'2.Hao hut &amp; % chai '!F75</f>
        <v>0</v>
      </c>
      <c r="I27" s="617">
        <f>'1.NVL Chai'!I$14*'2.Hao hut &amp; % chai '!G75</f>
        <v>0</v>
      </c>
      <c r="J27" s="617">
        <f>'1.NVL Chai'!J$14*'2.Hao hut &amp; % chai '!H75</f>
        <v>0</v>
      </c>
      <c r="K27" s="617">
        <f>'1.NVL Chai'!K$14*'2.Hao hut &amp; % chai '!I75</f>
        <v>0</v>
      </c>
      <c r="L27" s="617">
        <f>'1.NVL Chai'!L$14*'2.Hao hut &amp; % chai '!J75</f>
        <v>0</v>
      </c>
      <c r="M27" s="617">
        <f>'1.NVL Chai'!M$14*'2.Hao hut &amp; % chai '!K75</f>
        <v>0</v>
      </c>
      <c r="N27" s="617">
        <f>'1.NVL Chai'!N$14*'2.Hao hut &amp; % chai '!L75</f>
        <v>0</v>
      </c>
      <c r="O27" s="617">
        <f>'1.NVL Chai'!O$14*'2.Hao hut &amp; % chai '!M75</f>
        <v>0</v>
      </c>
      <c r="P27" s="617">
        <f>'1.NVL Chai'!P$14*'2.Hao hut &amp; % chai '!N75</f>
        <v>0</v>
      </c>
      <c r="Q27" s="617">
        <f>'1.NVL Chai'!Q$14*'2.Hao hut &amp; % chai '!O75</f>
        <v>0</v>
      </c>
      <c r="R27" s="617">
        <f>'1.NVL Chai'!R$14*'2.Hao hut &amp; % chai '!P75</f>
        <v>0</v>
      </c>
      <c r="S27" s="617">
        <f>'1.NVL Chai'!S$14*'2.Hao hut &amp; % chai '!Q75</f>
        <v>0</v>
      </c>
      <c r="T27" s="616">
        <f t="shared" si="3"/>
        <v>0</v>
      </c>
      <c r="U27" s="634"/>
    </row>
    <row r="28" spans="2:21" ht="14.5" x14ac:dyDescent="0.35">
      <c r="B28" s="614">
        <v>4</v>
      </c>
      <c r="C28" s="615" t="s">
        <v>39</v>
      </c>
      <c r="D28" s="611" t="s">
        <v>22</v>
      </c>
      <c r="E28" s="911">
        <f>138836*0.14</f>
        <v>19437.04</v>
      </c>
      <c r="F28" s="911">
        <f>5713*0.1</f>
        <v>571.30000000000007</v>
      </c>
      <c r="G28" s="911"/>
      <c r="H28" s="617">
        <f>'1.NVL Chai'!H$14*'2.Hao hut &amp; % chai '!F76</f>
        <v>0</v>
      </c>
      <c r="I28" s="617">
        <f>'1.NVL Chai'!I$14*'2.Hao hut &amp; % chai '!G76</f>
        <v>0</v>
      </c>
      <c r="J28" s="617">
        <f>'1.NVL Chai'!J$14*'2.Hao hut &amp; % chai '!H76</f>
        <v>0</v>
      </c>
      <c r="K28" s="617">
        <f>'1.NVL Chai'!K$14*'2.Hao hut &amp; % chai '!I76</f>
        <v>0</v>
      </c>
      <c r="L28" s="617">
        <f>'1.NVL Chai'!L$14*'2.Hao hut &amp; % chai '!J76</f>
        <v>0</v>
      </c>
      <c r="M28" s="617">
        <f>'1.NVL Chai'!M$14*'2.Hao hut &amp; % chai '!K76</f>
        <v>0</v>
      </c>
      <c r="N28" s="617">
        <f>'1.NVL Chai'!N$14*'2.Hao hut &amp; % chai '!L76</f>
        <v>0</v>
      </c>
      <c r="O28" s="617">
        <f>'1.NVL Chai'!O$14*'2.Hao hut &amp; % chai '!M76</f>
        <v>0</v>
      </c>
      <c r="P28" s="617">
        <f>'1.NVL Chai'!P$14*'2.Hao hut &amp; % chai '!N76</f>
        <v>0</v>
      </c>
      <c r="Q28" s="617">
        <f>'1.NVL Chai'!Q$14*'2.Hao hut &amp; % chai '!O76</f>
        <v>0</v>
      </c>
      <c r="R28" s="617">
        <f>'1.NVL Chai'!R$14*'2.Hao hut &amp; % chai '!P76</f>
        <v>0</v>
      </c>
      <c r="S28" s="617">
        <f>'1.NVL Chai'!S$14*'2.Hao hut &amp; % chai '!Q76</f>
        <v>0</v>
      </c>
      <c r="T28" s="616">
        <f t="shared" si="3"/>
        <v>0</v>
      </c>
      <c r="U28" s="634"/>
    </row>
    <row r="29" spans="2:21" ht="14.5" x14ac:dyDescent="0.35">
      <c r="B29" s="614">
        <v>5</v>
      </c>
      <c r="C29" s="615" t="s">
        <v>32</v>
      </c>
      <c r="D29" s="611" t="s">
        <v>22</v>
      </c>
      <c r="E29" s="911">
        <f>553609*0.14</f>
        <v>77505.260000000009</v>
      </c>
      <c r="F29" s="911">
        <f>629237.5*0.1</f>
        <v>62923.75</v>
      </c>
      <c r="G29" s="911">
        <v>171943.38</v>
      </c>
      <c r="H29" s="617">
        <f>'1.NVL Chai'!H$14*'2.Hao hut &amp; % chai '!F77</f>
        <v>19950</v>
      </c>
      <c r="I29" s="617">
        <f>'1.NVL Chai'!I$14*'2.Hao hut &amp; % chai '!G77</f>
        <v>14962.5</v>
      </c>
      <c r="J29" s="617">
        <f>'1.NVL Chai'!J$14*'2.Hao hut &amp; % chai '!H77</f>
        <v>21612.5</v>
      </c>
      <c r="K29" s="617">
        <f>'1.NVL Chai'!K$14*'2.Hao hut &amp; % chai '!I77</f>
        <v>23274.999999999996</v>
      </c>
      <c r="L29" s="617">
        <f>'1.NVL Chai'!L$14*'2.Hao hut &amp; % chai '!J77</f>
        <v>23274.999999999996</v>
      </c>
      <c r="M29" s="617">
        <f>'1.NVL Chai'!M$14*'2.Hao hut &amp; % chai '!K77</f>
        <v>23274.999999999996</v>
      </c>
      <c r="N29" s="617">
        <f>'1.NVL Chai'!N$14*'2.Hao hut &amp; % chai '!L77</f>
        <v>23274.999999999996</v>
      </c>
      <c r="O29" s="617">
        <f>'1.NVL Chai'!O$14*'2.Hao hut &amp; % chai '!M77</f>
        <v>23274.999999999996</v>
      </c>
      <c r="P29" s="617">
        <f>'1.NVL Chai'!P$14*'2.Hao hut &amp; % chai '!N77</f>
        <v>23274.999999999996</v>
      </c>
      <c r="Q29" s="617">
        <f>'1.NVL Chai'!Q$14*'2.Hao hut &amp; % chai '!O77</f>
        <v>23274.999999999996</v>
      </c>
      <c r="R29" s="617">
        <f>'1.NVL Chai'!R$14*'2.Hao hut &amp; % chai '!P77</f>
        <v>23274.999999999996</v>
      </c>
      <c r="S29" s="617">
        <f>'1.NVL Chai'!S$14*'2.Hao hut &amp; % chai '!Q77</f>
        <v>23274.999999999996</v>
      </c>
      <c r="T29" s="616">
        <f t="shared" si="3"/>
        <v>266000</v>
      </c>
      <c r="U29" s="634"/>
    </row>
    <row r="30" spans="2:21" ht="14.5" x14ac:dyDescent="0.35">
      <c r="B30" s="614">
        <v>6</v>
      </c>
      <c r="C30" s="615" t="s">
        <v>36</v>
      </c>
      <c r="D30" s="611" t="s">
        <v>22</v>
      </c>
      <c r="E30" s="911">
        <f>349078*0.14</f>
        <v>48870.920000000006</v>
      </c>
      <c r="F30" s="911">
        <v>381</v>
      </c>
      <c r="G30" s="911">
        <v>4748.7</v>
      </c>
      <c r="H30" s="617">
        <f>'1.NVL Chai'!H$14*'2.Hao hut &amp; % chai '!F78</f>
        <v>0</v>
      </c>
      <c r="I30" s="617">
        <f>'1.NVL Chai'!I$14*'2.Hao hut &amp; % chai '!G78</f>
        <v>0</v>
      </c>
      <c r="J30" s="617">
        <f>'1.NVL Chai'!J$14*'2.Hao hut &amp; % chai '!H78</f>
        <v>0</v>
      </c>
      <c r="K30" s="617">
        <f>'1.NVL Chai'!K$14*'2.Hao hut &amp; % chai '!I78</f>
        <v>0</v>
      </c>
      <c r="L30" s="617">
        <f>'1.NVL Chai'!L$14*'2.Hao hut &amp; % chai '!J78</f>
        <v>0</v>
      </c>
      <c r="M30" s="617">
        <f>'1.NVL Chai'!M$14*'2.Hao hut &amp; % chai '!K78</f>
        <v>0</v>
      </c>
      <c r="N30" s="617">
        <f>'1.NVL Chai'!N$14*'2.Hao hut &amp; % chai '!L78</f>
        <v>0</v>
      </c>
      <c r="O30" s="617">
        <f>'1.NVL Chai'!O$14*'2.Hao hut &amp; % chai '!M78</f>
        <v>0</v>
      </c>
      <c r="P30" s="617">
        <f>'1.NVL Chai'!P$14*'2.Hao hut &amp; % chai '!N78</f>
        <v>0</v>
      </c>
      <c r="Q30" s="617">
        <f>'1.NVL Chai'!Q$14*'2.Hao hut &amp; % chai '!O78</f>
        <v>0</v>
      </c>
      <c r="R30" s="617">
        <f>'1.NVL Chai'!R$14*'2.Hao hut &amp; % chai '!P78</f>
        <v>0</v>
      </c>
      <c r="S30" s="617">
        <f>'1.NVL Chai'!S$14*'2.Hao hut &amp; % chai '!Q78</f>
        <v>0</v>
      </c>
      <c r="T30" s="616">
        <f t="shared" si="3"/>
        <v>0</v>
      </c>
      <c r="U30" s="634"/>
    </row>
    <row r="31" spans="2:21" ht="14.5" x14ac:dyDescent="0.35">
      <c r="B31" s="614">
        <v>7</v>
      </c>
      <c r="C31" s="615" t="s">
        <v>34</v>
      </c>
      <c r="D31" s="611" t="s">
        <v>22</v>
      </c>
      <c r="E31" s="911">
        <f>73873.5*0.14</f>
        <v>10342.290000000001</v>
      </c>
      <c r="F31" s="911">
        <f>83665*0.1</f>
        <v>8366.5</v>
      </c>
      <c r="G31" s="911">
        <v>30814.47</v>
      </c>
      <c r="H31" s="617">
        <f>'1.NVL Chai'!H$14*'2.Hao hut &amp; % chai '!F79</f>
        <v>3150</v>
      </c>
      <c r="I31" s="617">
        <f>'1.NVL Chai'!I$14*'2.Hao hut &amp; % chai '!G79</f>
        <v>2362.5</v>
      </c>
      <c r="J31" s="617">
        <f>'1.NVL Chai'!J$14*'2.Hao hut &amp; % chai '!H79</f>
        <v>3412.5</v>
      </c>
      <c r="K31" s="617">
        <f>'1.NVL Chai'!K$14*'2.Hao hut &amp; % chai '!I79</f>
        <v>3674.9999999999995</v>
      </c>
      <c r="L31" s="617">
        <f>'1.NVL Chai'!L$14*'2.Hao hut &amp; % chai '!J79</f>
        <v>3674.9999999999995</v>
      </c>
      <c r="M31" s="617">
        <f>'1.NVL Chai'!M$14*'2.Hao hut &amp; % chai '!K79</f>
        <v>3674.9999999999995</v>
      </c>
      <c r="N31" s="617">
        <f>'1.NVL Chai'!N$14*'2.Hao hut &amp; % chai '!L79</f>
        <v>3674.9999999999995</v>
      </c>
      <c r="O31" s="617">
        <f>'1.NVL Chai'!O$14*'2.Hao hut &amp; % chai '!M79</f>
        <v>3674.9999999999995</v>
      </c>
      <c r="P31" s="617">
        <f>'1.NVL Chai'!P$14*'2.Hao hut &amp; % chai '!N79</f>
        <v>3674.9999999999995</v>
      </c>
      <c r="Q31" s="617">
        <f>'1.NVL Chai'!Q$14*'2.Hao hut &amp; % chai '!O79</f>
        <v>3674.9999999999995</v>
      </c>
      <c r="R31" s="617">
        <f>'1.NVL Chai'!R$14*'2.Hao hut &amp; % chai '!P79</f>
        <v>3674.9999999999995</v>
      </c>
      <c r="S31" s="617">
        <f>'1.NVL Chai'!S$14*'2.Hao hut &amp; % chai '!Q79</f>
        <v>3674.9999999999995</v>
      </c>
      <c r="T31" s="616">
        <f t="shared" si="3"/>
        <v>42000</v>
      </c>
      <c r="U31" s="634"/>
    </row>
    <row r="32" spans="2:21" ht="14.5" x14ac:dyDescent="0.35">
      <c r="B32" s="614">
        <v>8</v>
      </c>
      <c r="C32" s="615" t="s">
        <v>33</v>
      </c>
      <c r="D32" s="611" t="s">
        <v>22</v>
      </c>
      <c r="E32" s="911">
        <f>142273*0.14</f>
        <v>19918.22</v>
      </c>
      <c r="F32" s="911">
        <f>125421.5*0.1</f>
        <v>12542.150000000001</v>
      </c>
      <c r="G32" s="911">
        <v>40755.9</v>
      </c>
      <c r="H32" s="617">
        <f>'1.NVL Chai'!H$14*'2.Hao hut &amp; % chai '!F80</f>
        <v>4200</v>
      </c>
      <c r="I32" s="617">
        <f>'1.NVL Chai'!I$14*'2.Hao hut &amp; % chai '!G80</f>
        <v>3150</v>
      </c>
      <c r="J32" s="617">
        <f>'1.NVL Chai'!J$14*'2.Hao hut &amp; % chai '!H80</f>
        <v>4550</v>
      </c>
      <c r="K32" s="617">
        <f>'1.NVL Chai'!K$14*'2.Hao hut &amp; % chai '!I80</f>
        <v>4899.9999999999991</v>
      </c>
      <c r="L32" s="617">
        <f>'1.NVL Chai'!L$14*'2.Hao hut &amp; % chai '!J80</f>
        <v>4899.9999999999991</v>
      </c>
      <c r="M32" s="617">
        <f>'1.NVL Chai'!M$14*'2.Hao hut &amp; % chai '!K80</f>
        <v>4899.9999999999991</v>
      </c>
      <c r="N32" s="617">
        <f>'1.NVL Chai'!N$14*'2.Hao hut &amp; % chai '!L80</f>
        <v>4899.9999999999991</v>
      </c>
      <c r="O32" s="617">
        <f>'1.NVL Chai'!O$14*'2.Hao hut &amp; % chai '!M80</f>
        <v>4899.9999999999991</v>
      </c>
      <c r="P32" s="617">
        <f>'1.NVL Chai'!P$14*'2.Hao hut &amp; % chai '!N80</f>
        <v>4899.9999999999991</v>
      </c>
      <c r="Q32" s="617">
        <f>'1.NVL Chai'!Q$14*'2.Hao hut &amp; % chai '!O80</f>
        <v>4899.9999999999991</v>
      </c>
      <c r="R32" s="617">
        <f>'1.NVL Chai'!R$14*'2.Hao hut &amp; % chai '!P80</f>
        <v>4899.9999999999991</v>
      </c>
      <c r="S32" s="617">
        <f>'1.NVL Chai'!S$14*'2.Hao hut &amp; % chai '!Q80</f>
        <v>4899.9999999999991</v>
      </c>
      <c r="T32" s="616">
        <f t="shared" si="3"/>
        <v>56000</v>
      </c>
      <c r="U32" s="634"/>
    </row>
    <row r="33" spans="2:21" ht="14.5" x14ac:dyDescent="0.35">
      <c r="B33" s="614">
        <v>9</v>
      </c>
      <c r="C33" s="615" t="s">
        <v>37</v>
      </c>
      <c r="D33" s="611" t="s">
        <v>22</v>
      </c>
      <c r="E33" s="911"/>
      <c r="F33" s="911"/>
      <c r="G33" s="911"/>
      <c r="H33" s="617">
        <f>'1.NVL Chai'!H$14*'2.Hao hut &amp; % chai '!F81</f>
        <v>0</v>
      </c>
      <c r="I33" s="617">
        <f>'1.NVL Chai'!I$14*'2.Hao hut &amp; % chai '!G81</f>
        <v>0</v>
      </c>
      <c r="J33" s="617">
        <f>'1.NVL Chai'!J$14*'2.Hao hut &amp; % chai '!H81</f>
        <v>0</v>
      </c>
      <c r="K33" s="617">
        <f>'1.NVL Chai'!K$14*'2.Hao hut &amp; % chai '!I81</f>
        <v>0</v>
      </c>
      <c r="L33" s="617">
        <f>'1.NVL Chai'!L$14*'2.Hao hut &amp; % chai '!J81</f>
        <v>0</v>
      </c>
      <c r="M33" s="617">
        <f>'1.NVL Chai'!M$14*'2.Hao hut &amp; % chai '!K81</f>
        <v>0</v>
      </c>
      <c r="N33" s="617">
        <f>'1.NVL Chai'!N$14*'2.Hao hut &amp; % chai '!L81</f>
        <v>0</v>
      </c>
      <c r="O33" s="617">
        <f>'1.NVL Chai'!O$14*'2.Hao hut &amp; % chai '!M81</f>
        <v>0</v>
      </c>
      <c r="P33" s="617">
        <f>'1.NVL Chai'!P$14*'2.Hao hut &amp; % chai '!N81</f>
        <v>0</v>
      </c>
      <c r="Q33" s="617">
        <f>'1.NVL Chai'!Q$14*'2.Hao hut &amp; % chai '!O81</f>
        <v>0</v>
      </c>
      <c r="R33" s="617">
        <f>'1.NVL Chai'!R$14*'2.Hao hut &amp; % chai '!P81</f>
        <v>0</v>
      </c>
      <c r="S33" s="617">
        <f>'1.NVL Chai'!S$14*'2.Hao hut &amp; % chai '!Q81</f>
        <v>0</v>
      </c>
      <c r="T33" s="616">
        <f t="shared" si="3"/>
        <v>0</v>
      </c>
      <c r="U33" s="634"/>
    </row>
    <row r="34" spans="2:21" ht="14.5" x14ac:dyDescent="0.35">
      <c r="B34" s="614">
        <v>10</v>
      </c>
      <c r="C34" s="615" t="s">
        <v>38</v>
      </c>
      <c r="D34" s="611" t="s">
        <v>22</v>
      </c>
      <c r="E34" s="911">
        <f>1233058*0.14</f>
        <v>172628.12000000002</v>
      </c>
      <c r="F34" s="911">
        <f>934724.5*0.1</f>
        <v>93472.450000000012</v>
      </c>
      <c r="G34" s="911">
        <v>450298.15599999996</v>
      </c>
      <c r="H34" s="617">
        <f>'1.NVL Chai'!H$14*'2.Hao hut &amp; % chai '!F82</f>
        <v>50400</v>
      </c>
      <c r="I34" s="617">
        <f>'1.NVL Chai'!I$14*'2.Hao hut &amp; % chai '!G82</f>
        <v>37800</v>
      </c>
      <c r="J34" s="617">
        <f>'1.NVL Chai'!J$14*'2.Hao hut &amp; % chai '!H82</f>
        <v>54600</v>
      </c>
      <c r="K34" s="617">
        <f>'1.NVL Chai'!K$14*'2.Hao hut &amp; % chai '!I82</f>
        <v>58799.999999999993</v>
      </c>
      <c r="L34" s="617">
        <f>'1.NVL Chai'!L$14*'2.Hao hut &amp; % chai '!J82</f>
        <v>58799.999999999993</v>
      </c>
      <c r="M34" s="617">
        <f>'1.NVL Chai'!M$14*'2.Hao hut &amp; % chai '!K82</f>
        <v>58799.999999999993</v>
      </c>
      <c r="N34" s="617">
        <f>'1.NVL Chai'!N$14*'2.Hao hut &amp; % chai '!L82</f>
        <v>58799.999999999993</v>
      </c>
      <c r="O34" s="617">
        <f>'1.NVL Chai'!O$14*'2.Hao hut &amp; % chai '!M82</f>
        <v>58799.999999999993</v>
      </c>
      <c r="P34" s="617">
        <f>'1.NVL Chai'!P$14*'2.Hao hut &amp; % chai '!N82</f>
        <v>58799.999999999993</v>
      </c>
      <c r="Q34" s="617">
        <f>'1.NVL Chai'!Q$14*'2.Hao hut &amp; % chai '!O82</f>
        <v>58799.999999999993</v>
      </c>
      <c r="R34" s="617">
        <f>'1.NVL Chai'!R$14*'2.Hao hut &amp; % chai '!P82</f>
        <v>58799.999999999993</v>
      </c>
      <c r="S34" s="617">
        <f>'1.NVL Chai'!S$14*'2.Hao hut &amp; % chai '!Q82</f>
        <v>58799.999999999993</v>
      </c>
      <c r="T34" s="616">
        <f t="shared" si="3"/>
        <v>672000</v>
      </c>
      <c r="U34" s="634"/>
    </row>
    <row r="35" spans="2:21" ht="14.5" x14ac:dyDescent="0.35">
      <c r="B35" s="614">
        <v>11</v>
      </c>
      <c r="C35" s="615" t="s">
        <v>402</v>
      </c>
      <c r="D35" s="611" t="s">
        <v>22</v>
      </c>
      <c r="E35" s="911"/>
      <c r="F35" s="911"/>
      <c r="G35" s="911"/>
      <c r="H35" s="617">
        <f>'1.NVL Chai'!H$14*'2.Hao hut &amp; % chai '!F83</f>
        <v>0</v>
      </c>
      <c r="I35" s="617">
        <f>'1.NVL Chai'!I$14*'2.Hao hut &amp; % chai '!G83</f>
        <v>0</v>
      </c>
      <c r="J35" s="617">
        <f>'1.NVL Chai'!J$14*'2.Hao hut &amp; % chai '!H83</f>
        <v>0</v>
      </c>
      <c r="K35" s="617">
        <f>'1.NVL Chai'!K$14*'2.Hao hut &amp; % chai '!I83</f>
        <v>0</v>
      </c>
      <c r="L35" s="617">
        <f>'1.NVL Chai'!L$14*'2.Hao hut &amp; % chai '!J83</f>
        <v>0</v>
      </c>
      <c r="M35" s="617">
        <f>'1.NVL Chai'!M$14*'2.Hao hut &amp; % chai '!K83</f>
        <v>0</v>
      </c>
      <c r="N35" s="617">
        <f>'1.NVL Chai'!N$14*'2.Hao hut &amp; % chai '!L83</f>
        <v>0</v>
      </c>
      <c r="O35" s="617">
        <f>'1.NVL Chai'!O$14*'2.Hao hut &amp; % chai '!M83</f>
        <v>0</v>
      </c>
      <c r="P35" s="617">
        <f>'1.NVL Chai'!P$14*'2.Hao hut &amp; % chai '!N83</f>
        <v>0</v>
      </c>
      <c r="Q35" s="617">
        <f>'1.NVL Chai'!Q$14*'2.Hao hut &amp; % chai '!O83</f>
        <v>0</v>
      </c>
      <c r="R35" s="617">
        <f>'1.NVL Chai'!R$14*'2.Hao hut &amp; % chai '!P83</f>
        <v>0</v>
      </c>
      <c r="S35" s="617">
        <f>'1.NVL Chai'!S$14*'2.Hao hut &amp; % chai '!Q83</f>
        <v>0</v>
      </c>
      <c r="T35" s="616">
        <f t="shared" si="3"/>
        <v>0</v>
      </c>
      <c r="U35" s="634"/>
    </row>
    <row r="36" spans="2:21" ht="14.5" x14ac:dyDescent="0.35">
      <c r="B36" s="614">
        <v>12</v>
      </c>
      <c r="C36" s="615" t="s">
        <v>311</v>
      </c>
      <c r="D36" s="611" t="s">
        <v>22</v>
      </c>
      <c r="E36" s="911"/>
      <c r="F36" s="911"/>
      <c r="G36" s="911"/>
      <c r="H36" s="617">
        <f>'1.NVL Chai'!H$14*'2.Hao hut &amp; % chai '!F84</f>
        <v>0</v>
      </c>
      <c r="I36" s="617">
        <f>'1.NVL Chai'!I$14*'2.Hao hut &amp; % chai '!G84</f>
        <v>0</v>
      </c>
      <c r="J36" s="617">
        <f>'1.NVL Chai'!J$14*'2.Hao hut &amp; % chai '!H84</f>
        <v>0</v>
      </c>
      <c r="K36" s="617">
        <f>'1.NVL Chai'!K$14*'2.Hao hut &amp; % chai '!I84</f>
        <v>0</v>
      </c>
      <c r="L36" s="617">
        <f>'1.NVL Chai'!L$14*'2.Hao hut &amp; % chai '!J84</f>
        <v>0</v>
      </c>
      <c r="M36" s="617">
        <f>'1.NVL Chai'!M$14*'2.Hao hut &amp; % chai '!K84</f>
        <v>0</v>
      </c>
      <c r="N36" s="617">
        <f>'1.NVL Chai'!N$14*'2.Hao hut &amp; % chai '!L84</f>
        <v>0</v>
      </c>
      <c r="O36" s="617">
        <f>'1.NVL Chai'!O$14*'2.Hao hut &amp; % chai '!M84</f>
        <v>0</v>
      </c>
      <c r="P36" s="617">
        <f>'1.NVL Chai'!P$14*'2.Hao hut &amp; % chai '!N84</f>
        <v>0</v>
      </c>
      <c r="Q36" s="617">
        <f>'1.NVL Chai'!Q$14*'2.Hao hut &amp; % chai '!O84</f>
        <v>0</v>
      </c>
      <c r="R36" s="617">
        <f>'1.NVL Chai'!R$14*'2.Hao hut &amp; % chai '!P84</f>
        <v>0</v>
      </c>
      <c r="S36" s="617">
        <f>'1.NVL Chai'!S$14*'2.Hao hut &amp; % chai '!Q84</f>
        <v>0</v>
      </c>
      <c r="T36" s="616">
        <f t="shared" si="3"/>
        <v>0</v>
      </c>
      <c r="U36" s="634"/>
    </row>
    <row r="37" spans="2:21" ht="14.5" x14ac:dyDescent="0.35">
      <c r="B37" s="614">
        <v>13</v>
      </c>
      <c r="C37" s="615" t="s">
        <v>403</v>
      </c>
      <c r="D37" s="611" t="s">
        <v>22</v>
      </c>
      <c r="E37" s="911">
        <f>23155.5*0.14</f>
        <v>3241.7700000000004</v>
      </c>
      <c r="F37" s="911">
        <f>(166851.5*1/4)*0.1</f>
        <v>4171.2875000000004</v>
      </c>
      <c r="G37" s="911">
        <v>19145.6325</v>
      </c>
      <c r="H37" s="617">
        <f>'1.NVL Chai'!H$14*'2.Hao hut &amp; % chai '!F85</f>
        <v>2100</v>
      </c>
      <c r="I37" s="617">
        <f>'1.NVL Chai'!I$14*'2.Hao hut &amp; % chai '!G85</f>
        <v>1575</v>
      </c>
      <c r="J37" s="617">
        <f>'1.NVL Chai'!J$14*'2.Hao hut &amp; % chai '!H85</f>
        <v>2275</v>
      </c>
      <c r="K37" s="617">
        <f>'1.NVL Chai'!K$14*'2.Hao hut &amp; % chai '!I85</f>
        <v>2449.9999999999995</v>
      </c>
      <c r="L37" s="617">
        <f>'1.NVL Chai'!L$14*'2.Hao hut &amp; % chai '!J85</f>
        <v>2449.9999999999995</v>
      </c>
      <c r="M37" s="617">
        <f>'1.NVL Chai'!M$14*'2.Hao hut &amp; % chai '!K85</f>
        <v>2449.9999999999995</v>
      </c>
      <c r="N37" s="617">
        <f>'1.NVL Chai'!N$14*'2.Hao hut &amp; % chai '!L85</f>
        <v>2449.9999999999995</v>
      </c>
      <c r="O37" s="617">
        <f>'1.NVL Chai'!O$14*'2.Hao hut &amp; % chai '!M85</f>
        <v>2449.9999999999995</v>
      </c>
      <c r="P37" s="617">
        <f>'1.NVL Chai'!P$14*'2.Hao hut &amp; % chai '!N85</f>
        <v>2449.9999999999995</v>
      </c>
      <c r="Q37" s="617">
        <f>'1.NVL Chai'!Q$14*'2.Hao hut &amp; % chai '!O85</f>
        <v>2449.9999999999995</v>
      </c>
      <c r="R37" s="617">
        <f>'1.NVL Chai'!R$14*'2.Hao hut &amp; % chai '!P85</f>
        <v>2449.9999999999995</v>
      </c>
      <c r="S37" s="617">
        <f>'1.NVL Chai'!S$14*'2.Hao hut &amp; % chai '!Q85</f>
        <v>2449.9999999999995</v>
      </c>
      <c r="T37" s="616">
        <f t="shared" si="3"/>
        <v>28000</v>
      </c>
      <c r="U37" s="634"/>
    </row>
    <row r="38" spans="2:21" ht="14.5" x14ac:dyDescent="0.35">
      <c r="B38" s="614">
        <v>14</v>
      </c>
      <c r="C38" s="615" t="s">
        <v>404</v>
      </c>
      <c r="D38" s="611" t="s">
        <v>22</v>
      </c>
      <c r="E38" s="911">
        <f>69466.5*0.14</f>
        <v>9725.3100000000013</v>
      </c>
      <c r="F38" s="911">
        <f>(166851.5*3/4)*0.1</f>
        <v>12513.862500000001</v>
      </c>
      <c r="G38" s="911">
        <v>57436.897499999999</v>
      </c>
      <c r="H38" s="617">
        <f>'1.NVL Chai'!H$14*'2.Hao hut &amp; % chai '!F86</f>
        <v>6300</v>
      </c>
      <c r="I38" s="617">
        <f>'1.NVL Chai'!I$14*'2.Hao hut &amp; % chai '!G86</f>
        <v>4725</v>
      </c>
      <c r="J38" s="617">
        <f>'1.NVL Chai'!J$14*'2.Hao hut &amp; % chai '!H86</f>
        <v>6825</v>
      </c>
      <c r="K38" s="617">
        <f>'1.NVL Chai'!K$14*'2.Hao hut &amp; % chai '!I86</f>
        <v>7349.9999999999991</v>
      </c>
      <c r="L38" s="617">
        <f>'1.NVL Chai'!L$14*'2.Hao hut &amp; % chai '!J86</f>
        <v>7349.9999999999991</v>
      </c>
      <c r="M38" s="617">
        <f>'1.NVL Chai'!M$14*'2.Hao hut &amp; % chai '!K86</f>
        <v>7349.9999999999991</v>
      </c>
      <c r="N38" s="617">
        <f>'1.NVL Chai'!N$14*'2.Hao hut &amp; % chai '!L86</f>
        <v>7349.9999999999991</v>
      </c>
      <c r="O38" s="617">
        <f>'1.NVL Chai'!O$14*'2.Hao hut &amp; % chai '!M86</f>
        <v>7349.9999999999991</v>
      </c>
      <c r="P38" s="617">
        <f>'1.NVL Chai'!P$14*'2.Hao hut &amp; % chai '!N86</f>
        <v>7349.9999999999991</v>
      </c>
      <c r="Q38" s="617">
        <f>'1.NVL Chai'!Q$14*'2.Hao hut &amp; % chai '!O86</f>
        <v>7349.9999999999991</v>
      </c>
      <c r="R38" s="617">
        <f>'1.NVL Chai'!R$14*'2.Hao hut &amp; % chai '!P86</f>
        <v>7349.9999999999991</v>
      </c>
      <c r="S38" s="617">
        <f>'1.NVL Chai'!S$14*'2.Hao hut &amp; % chai '!Q86</f>
        <v>7349.9999999999991</v>
      </c>
      <c r="T38" s="616">
        <f t="shared" si="3"/>
        <v>84000</v>
      </c>
      <c r="U38" s="634"/>
    </row>
    <row r="39" spans="2:21" x14ac:dyDescent="0.35">
      <c r="B39" s="618">
        <v>15</v>
      </c>
      <c r="C39" s="619" t="s">
        <v>25</v>
      </c>
      <c r="D39" s="611" t="s">
        <v>22</v>
      </c>
      <c r="E39" s="912">
        <f>96057*0.14</f>
        <v>13447.980000000001</v>
      </c>
      <c r="F39" s="912">
        <f>8753.4*0.1</f>
        <v>875.34</v>
      </c>
      <c r="G39" s="912"/>
      <c r="H39" s="621">
        <f>'1.NVL Chai'!H$14*'2.Hao hut &amp; % chai '!F87</f>
        <v>0</v>
      </c>
      <c r="I39" s="621">
        <f>'1.NVL Chai'!I$14*'2.Hao hut &amp; % chai '!G87</f>
        <v>0</v>
      </c>
      <c r="J39" s="621">
        <f>'1.NVL Chai'!J$14*'2.Hao hut &amp; % chai '!H87</f>
        <v>0</v>
      </c>
      <c r="K39" s="621">
        <f>'1.NVL Chai'!K$14*'2.Hao hut &amp; % chai '!I87</f>
        <v>0</v>
      </c>
      <c r="L39" s="621">
        <f>'1.NVL Chai'!L$14*'2.Hao hut &amp; % chai '!J87</f>
        <v>0</v>
      </c>
      <c r="M39" s="621">
        <f>'1.NVL Chai'!M$14*'2.Hao hut &amp; % chai '!K87</f>
        <v>0</v>
      </c>
      <c r="N39" s="621">
        <f>'1.NVL Chai'!N$14*'2.Hao hut &amp; % chai '!L87</f>
        <v>0</v>
      </c>
      <c r="O39" s="621">
        <f>'1.NVL Chai'!O$14*'2.Hao hut &amp; % chai '!M87</f>
        <v>0</v>
      </c>
      <c r="P39" s="621">
        <f>'1.NVL Chai'!P$14*'2.Hao hut &amp; % chai '!N87</f>
        <v>0</v>
      </c>
      <c r="Q39" s="621">
        <f>'1.NVL Chai'!Q$14*'2.Hao hut &amp; % chai '!O87</f>
        <v>0</v>
      </c>
      <c r="R39" s="621">
        <f>'1.NVL Chai'!R$14*'2.Hao hut &amp; % chai '!P87</f>
        <v>0</v>
      </c>
      <c r="S39" s="621">
        <f>'1.NVL Chai'!S$14*'2.Hao hut &amp; % chai '!Q87</f>
        <v>0</v>
      </c>
      <c r="T39" s="620">
        <f t="shared" si="3"/>
        <v>0</v>
      </c>
    </row>
    <row r="40" spans="2:21" x14ac:dyDescent="0.35">
      <c r="B40" s="23"/>
      <c r="C40" s="24" t="s">
        <v>41</v>
      </c>
      <c r="D40" s="369" t="s">
        <v>22</v>
      </c>
      <c r="E40" s="29">
        <f>SUM(E25:E39)</f>
        <v>661973.13</v>
      </c>
      <c r="F40" s="29">
        <f>SUM(F25:F39)</f>
        <v>453704.79000000004</v>
      </c>
      <c r="G40" s="29">
        <f>SUM(G25:G39)</f>
        <v>1733047.4119999998</v>
      </c>
      <c r="H40" s="29">
        <f t="shared" ref="H40:T40" si="4">SUM(H25:H39)</f>
        <v>182700</v>
      </c>
      <c r="I40" s="29">
        <f t="shared" si="4"/>
        <v>137025</v>
      </c>
      <c r="J40" s="29">
        <f t="shared" si="4"/>
        <v>197925</v>
      </c>
      <c r="K40" s="29">
        <f t="shared" si="4"/>
        <v>213149.99999999997</v>
      </c>
      <c r="L40" s="29">
        <f t="shared" si="4"/>
        <v>213149.99999999997</v>
      </c>
      <c r="M40" s="29">
        <f>SUM(M25:M39)</f>
        <v>213149.99999999997</v>
      </c>
      <c r="N40" s="29">
        <f t="shared" si="4"/>
        <v>213149.99999999997</v>
      </c>
      <c r="O40" s="29">
        <f t="shared" si="4"/>
        <v>213149.99999999997</v>
      </c>
      <c r="P40" s="29">
        <f t="shared" si="4"/>
        <v>213149.99999999997</v>
      </c>
      <c r="Q40" s="29">
        <f t="shared" si="4"/>
        <v>213149.99999999997</v>
      </c>
      <c r="R40" s="29">
        <f t="shared" si="4"/>
        <v>213149.99999999997</v>
      </c>
      <c r="S40" s="29">
        <f t="shared" si="4"/>
        <v>213149.99999999997</v>
      </c>
      <c r="T40" s="29">
        <f t="shared" si="4"/>
        <v>2436000</v>
      </c>
    </row>
    <row r="42" spans="2:21" x14ac:dyDescent="0.35">
      <c r="B42" s="37" t="s">
        <v>1631</v>
      </c>
    </row>
    <row r="43" spans="2:21" ht="25.5" customHeight="1" x14ac:dyDescent="0.35">
      <c r="B43" s="141" t="s">
        <v>0</v>
      </c>
      <c r="C43" s="141" t="s">
        <v>81</v>
      </c>
      <c r="D43" s="397" t="s">
        <v>11</v>
      </c>
      <c r="E43" s="397" t="s">
        <v>1943</v>
      </c>
      <c r="F43" s="397" t="s">
        <v>1942</v>
      </c>
      <c r="G43" s="7" t="s">
        <v>405</v>
      </c>
      <c r="H43" s="7" t="s">
        <v>56</v>
      </c>
      <c r="I43" s="7" t="s">
        <v>57</v>
      </c>
      <c r="J43" s="7" t="s">
        <v>58</v>
      </c>
      <c r="K43" s="7" t="s">
        <v>59</v>
      </c>
      <c r="L43" s="7" t="s">
        <v>60</v>
      </c>
      <c r="M43" s="7" t="s">
        <v>61</v>
      </c>
      <c r="N43" s="7" t="s">
        <v>62</v>
      </c>
      <c r="O43" s="7" t="s">
        <v>63</v>
      </c>
      <c r="P43" s="7" t="s">
        <v>64</v>
      </c>
      <c r="Q43" s="7" t="s">
        <v>65</v>
      </c>
      <c r="R43" s="7" t="s">
        <v>66</v>
      </c>
      <c r="S43" s="7" t="s">
        <v>67</v>
      </c>
      <c r="T43" s="7" t="s">
        <v>2246</v>
      </c>
    </row>
    <row r="44" spans="2:21" x14ac:dyDescent="0.35">
      <c r="B44" s="610">
        <v>1</v>
      </c>
      <c r="C44" s="611" t="s">
        <v>35</v>
      </c>
      <c r="D44" s="611" t="s">
        <v>22</v>
      </c>
      <c r="E44" s="611"/>
      <c r="F44" s="611"/>
      <c r="G44" s="612">
        <v>68421.733999999997</v>
      </c>
      <c r="H44" s="613">
        <f>'1.NVL Chai'!H$15*'2.Hao hut &amp; % chai '!F92</f>
        <v>0</v>
      </c>
      <c r="I44" s="613">
        <f>'1.NVL Chai'!I$15*'2.Hao hut &amp; % chai '!G92</f>
        <v>0</v>
      </c>
      <c r="J44" s="613">
        <f>'1.NVL Chai'!J$15*'2.Hao hut &amp; % chai '!H92</f>
        <v>0</v>
      </c>
      <c r="K44" s="613">
        <f>'1.NVL Chai'!K$15*'2.Hao hut &amp; % chai '!I92</f>
        <v>0</v>
      </c>
      <c r="L44" s="613">
        <f>'1.NVL Chai'!L$15*'2.Hao hut &amp; % chai '!J92</f>
        <v>0</v>
      </c>
      <c r="M44" s="613">
        <f>'1.NVL Chai'!M$15*'2.Hao hut &amp; % chai '!K92</f>
        <v>0</v>
      </c>
      <c r="N44" s="613">
        <f>'1.NVL Chai'!N$15*'2.Hao hut &amp; % chai '!L92</f>
        <v>0</v>
      </c>
      <c r="O44" s="613">
        <f>'1.NVL Chai'!O$15*'2.Hao hut &amp; % chai '!M92</f>
        <v>0</v>
      </c>
      <c r="P44" s="613">
        <f>'1.NVL Chai'!P$15*'2.Hao hut &amp; % chai '!N92</f>
        <v>0</v>
      </c>
      <c r="Q44" s="613">
        <f>'1.NVL Chai'!Q$15*'2.Hao hut &amp; % chai '!O92</f>
        <v>0</v>
      </c>
      <c r="R44" s="613">
        <f>'1.NVL Chai'!R$15*'2.Hao hut &amp; % chai '!P92</f>
        <v>0</v>
      </c>
      <c r="S44" s="613">
        <f>'1.NVL Chai'!S$15*'2.Hao hut &amp; % chai '!Q92</f>
        <v>0</v>
      </c>
      <c r="T44" s="612">
        <f>SUM(H44:S44)</f>
        <v>0</v>
      </c>
    </row>
    <row r="45" spans="2:21" x14ac:dyDescent="0.35">
      <c r="B45" s="614">
        <v>2</v>
      </c>
      <c r="C45" s="615" t="s">
        <v>401</v>
      </c>
      <c r="D45" s="611" t="s">
        <v>22</v>
      </c>
      <c r="E45" s="1221"/>
      <c r="F45" s="1221"/>
      <c r="G45" s="616"/>
      <c r="H45" s="617">
        <f>'1.NVL Chai'!H$15*'2.Hao hut &amp; % chai '!F93</f>
        <v>0</v>
      </c>
      <c r="I45" s="617">
        <f>'1.NVL Chai'!I$15*'2.Hao hut &amp; % chai '!G93</f>
        <v>0</v>
      </c>
      <c r="J45" s="617">
        <f>'1.NVL Chai'!J$15*'2.Hao hut &amp; % chai '!H93</f>
        <v>0</v>
      </c>
      <c r="K45" s="617">
        <f>'1.NVL Chai'!K$15*'2.Hao hut &amp; % chai '!I93</f>
        <v>0</v>
      </c>
      <c r="L45" s="617">
        <f>'1.NVL Chai'!L$15*'2.Hao hut &amp; % chai '!J93</f>
        <v>0</v>
      </c>
      <c r="M45" s="617">
        <f>'1.NVL Chai'!M$15*'2.Hao hut &amp; % chai '!K93</f>
        <v>0</v>
      </c>
      <c r="N45" s="617">
        <f>'1.NVL Chai'!N$15*'2.Hao hut &amp; % chai '!L93</f>
        <v>0</v>
      </c>
      <c r="O45" s="617">
        <f>'1.NVL Chai'!O$15*'2.Hao hut &amp; % chai '!M93</f>
        <v>0</v>
      </c>
      <c r="P45" s="617">
        <f>'1.NVL Chai'!P$15*'2.Hao hut &amp; % chai '!N93</f>
        <v>0</v>
      </c>
      <c r="Q45" s="617">
        <f>'1.NVL Chai'!Q$15*'2.Hao hut &amp; % chai '!O93</f>
        <v>0</v>
      </c>
      <c r="R45" s="617">
        <f>'1.NVL Chai'!R$15*'2.Hao hut &amp; % chai '!P93</f>
        <v>0</v>
      </c>
      <c r="S45" s="617">
        <f>'1.NVL Chai'!S$15*'2.Hao hut &amp; % chai '!Q93</f>
        <v>0</v>
      </c>
      <c r="T45" s="616">
        <f t="shared" ref="T45:T58" si="5">SUM(H45:S45)</f>
        <v>0</v>
      </c>
    </row>
    <row r="46" spans="2:21" x14ac:dyDescent="0.35">
      <c r="B46" s="614">
        <v>3</v>
      </c>
      <c r="C46" s="615" t="s">
        <v>42</v>
      </c>
      <c r="D46" s="611" t="s">
        <v>22</v>
      </c>
      <c r="E46" s="1221"/>
      <c r="F46" s="1221"/>
      <c r="G46" s="616"/>
      <c r="H46" s="617">
        <f>'1.NVL Chai'!H$15*'2.Hao hut &amp; % chai '!F94</f>
        <v>0</v>
      </c>
      <c r="I46" s="617">
        <f>'1.NVL Chai'!I$15*'2.Hao hut &amp; % chai '!G94</f>
        <v>0</v>
      </c>
      <c r="J46" s="617">
        <f>'1.NVL Chai'!J$15*'2.Hao hut &amp; % chai '!H94</f>
        <v>0</v>
      </c>
      <c r="K46" s="617">
        <f>'1.NVL Chai'!K$15*'2.Hao hut &amp; % chai '!I94</f>
        <v>0</v>
      </c>
      <c r="L46" s="617">
        <f>'1.NVL Chai'!L$15*'2.Hao hut &amp; % chai '!J94</f>
        <v>0</v>
      </c>
      <c r="M46" s="617">
        <f>'1.NVL Chai'!M$15*'2.Hao hut &amp; % chai '!K94</f>
        <v>0</v>
      </c>
      <c r="N46" s="617">
        <f>'1.NVL Chai'!N$15*'2.Hao hut &amp; % chai '!L94</f>
        <v>0</v>
      </c>
      <c r="O46" s="617">
        <f>'1.NVL Chai'!O$15*'2.Hao hut &amp; % chai '!M94</f>
        <v>0</v>
      </c>
      <c r="P46" s="617">
        <f>'1.NVL Chai'!P$15*'2.Hao hut &amp; % chai '!N94</f>
        <v>0</v>
      </c>
      <c r="Q46" s="617">
        <f>'1.NVL Chai'!Q$15*'2.Hao hut &amp; % chai '!O94</f>
        <v>0</v>
      </c>
      <c r="R46" s="617">
        <f>'1.NVL Chai'!R$15*'2.Hao hut &amp; % chai '!P94</f>
        <v>0</v>
      </c>
      <c r="S46" s="617">
        <f>'1.NVL Chai'!S$15*'2.Hao hut &amp; % chai '!Q94</f>
        <v>0</v>
      </c>
      <c r="T46" s="616">
        <f t="shared" si="5"/>
        <v>0</v>
      </c>
    </row>
    <row r="47" spans="2:21" x14ac:dyDescent="0.35">
      <c r="B47" s="614">
        <v>4</v>
      </c>
      <c r="C47" s="615" t="s">
        <v>39</v>
      </c>
      <c r="D47" s="611" t="s">
        <v>22</v>
      </c>
      <c r="E47" s="1221"/>
      <c r="F47" s="1221"/>
      <c r="G47" s="616"/>
      <c r="H47" s="617">
        <f>'1.NVL Chai'!H$15*'2.Hao hut &amp; % chai '!F95</f>
        <v>0</v>
      </c>
      <c r="I47" s="617">
        <f>'1.NVL Chai'!I$15*'2.Hao hut &amp; % chai '!G95</f>
        <v>0</v>
      </c>
      <c r="J47" s="617">
        <f>'1.NVL Chai'!J$15*'2.Hao hut &amp; % chai '!H95</f>
        <v>0</v>
      </c>
      <c r="K47" s="617">
        <f>'1.NVL Chai'!K$15*'2.Hao hut &amp; % chai '!I95</f>
        <v>0</v>
      </c>
      <c r="L47" s="617">
        <f>'1.NVL Chai'!L$15*'2.Hao hut &amp; % chai '!J95</f>
        <v>0</v>
      </c>
      <c r="M47" s="617">
        <f>'1.NVL Chai'!M$15*'2.Hao hut &amp; % chai '!K95</f>
        <v>0</v>
      </c>
      <c r="N47" s="617">
        <f>'1.NVL Chai'!N$15*'2.Hao hut &amp; % chai '!L95</f>
        <v>0</v>
      </c>
      <c r="O47" s="617">
        <f>'1.NVL Chai'!O$15*'2.Hao hut &amp; % chai '!M95</f>
        <v>0</v>
      </c>
      <c r="P47" s="617">
        <f>'1.NVL Chai'!P$15*'2.Hao hut &amp; % chai '!N95</f>
        <v>0</v>
      </c>
      <c r="Q47" s="617">
        <f>'1.NVL Chai'!Q$15*'2.Hao hut &amp; % chai '!O95</f>
        <v>0</v>
      </c>
      <c r="R47" s="617">
        <f>'1.NVL Chai'!R$15*'2.Hao hut &amp; % chai '!P95</f>
        <v>0</v>
      </c>
      <c r="S47" s="617">
        <f>'1.NVL Chai'!S$15*'2.Hao hut &amp; % chai '!Q95</f>
        <v>0</v>
      </c>
      <c r="T47" s="616">
        <f t="shared" si="5"/>
        <v>0</v>
      </c>
    </row>
    <row r="48" spans="2:21" x14ac:dyDescent="0.35">
      <c r="B48" s="614">
        <v>5</v>
      </c>
      <c r="C48" s="615" t="s">
        <v>32</v>
      </c>
      <c r="D48" s="611" t="s">
        <v>22</v>
      </c>
      <c r="E48" s="1221"/>
      <c r="F48" s="1221"/>
      <c r="G48" s="616"/>
      <c r="H48" s="617">
        <f>'1.NVL Chai'!H$15*'2.Hao hut &amp; % chai '!F96</f>
        <v>0</v>
      </c>
      <c r="I48" s="617">
        <f>'1.NVL Chai'!I$15*'2.Hao hut &amp; % chai '!G96</f>
        <v>0</v>
      </c>
      <c r="J48" s="617">
        <f>'1.NVL Chai'!J$15*'2.Hao hut &amp; % chai '!H96</f>
        <v>0</v>
      </c>
      <c r="K48" s="617">
        <f>'1.NVL Chai'!K$15*'2.Hao hut &amp; % chai '!I96</f>
        <v>0</v>
      </c>
      <c r="L48" s="617">
        <f>'1.NVL Chai'!L$15*'2.Hao hut &amp; % chai '!J96</f>
        <v>0</v>
      </c>
      <c r="M48" s="617">
        <f>'1.NVL Chai'!M$15*'2.Hao hut &amp; % chai '!K96</f>
        <v>0</v>
      </c>
      <c r="N48" s="617">
        <f>'1.NVL Chai'!N$15*'2.Hao hut &amp; % chai '!L96</f>
        <v>0</v>
      </c>
      <c r="O48" s="617">
        <f>'1.NVL Chai'!O$15*'2.Hao hut &amp; % chai '!M96</f>
        <v>0</v>
      </c>
      <c r="P48" s="617">
        <f>'1.NVL Chai'!P$15*'2.Hao hut &amp; % chai '!N96</f>
        <v>0</v>
      </c>
      <c r="Q48" s="617">
        <f>'1.NVL Chai'!Q$15*'2.Hao hut &amp; % chai '!O96</f>
        <v>0</v>
      </c>
      <c r="R48" s="617">
        <f>'1.NVL Chai'!R$15*'2.Hao hut &amp; % chai '!P96</f>
        <v>0</v>
      </c>
      <c r="S48" s="617">
        <f>'1.NVL Chai'!S$15*'2.Hao hut &amp; % chai '!Q96</f>
        <v>0</v>
      </c>
      <c r="T48" s="616">
        <f t="shared" si="5"/>
        <v>0</v>
      </c>
    </row>
    <row r="49" spans="2:20" x14ac:dyDescent="0.35">
      <c r="B49" s="614">
        <v>6</v>
      </c>
      <c r="C49" s="615" t="s">
        <v>36</v>
      </c>
      <c r="D49" s="611" t="s">
        <v>22</v>
      </c>
      <c r="E49" s="1221"/>
      <c r="F49" s="1221"/>
      <c r="G49" s="616"/>
      <c r="H49" s="617">
        <f>'1.NVL Chai'!H$15*'2.Hao hut &amp; % chai '!F97</f>
        <v>0</v>
      </c>
      <c r="I49" s="617">
        <f>'1.NVL Chai'!I$15*'2.Hao hut &amp; % chai '!G97</f>
        <v>0</v>
      </c>
      <c r="J49" s="617">
        <f>'1.NVL Chai'!J$15*'2.Hao hut &amp; % chai '!H97</f>
        <v>0</v>
      </c>
      <c r="K49" s="617">
        <f>'1.NVL Chai'!K$15*'2.Hao hut &amp; % chai '!I97</f>
        <v>0</v>
      </c>
      <c r="L49" s="617">
        <f>'1.NVL Chai'!L$15*'2.Hao hut &amp; % chai '!J97</f>
        <v>0</v>
      </c>
      <c r="M49" s="617">
        <f>'1.NVL Chai'!M$15*'2.Hao hut &amp; % chai '!K97</f>
        <v>0</v>
      </c>
      <c r="N49" s="617">
        <f>'1.NVL Chai'!N$15*'2.Hao hut &amp; % chai '!L97</f>
        <v>0</v>
      </c>
      <c r="O49" s="617">
        <f>'1.NVL Chai'!O$15*'2.Hao hut &amp; % chai '!M97</f>
        <v>0</v>
      </c>
      <c r="P49" s="617">
        <f>'1.NVL Chai'!P$15*'2.Hao hut &amp; % chai '!N97</f>
        <v>0</v>
      </c>
      <c r="Q49" s="617">
        <f>'1.NVL Chai'!Q$15*'2.Hao hut &amp; % chai '!O97</f>
        <v>0</v>
      </c>
      <c r="R49" s="617">
        <f>'1.NVL Chai'!R$15*'2.Hao hut &amp; % chai '!P97</f>
        <v>0</v>
      </c>
      <c r="S49" s="617">
        <f>'1.NVL Chai'!S$15*'2.Hao hut &amp; % chai '!Q97</f>
        <v>0</v>
      </c>
      <c r="T49" s="616">
        <f t="shared" si="5"/>
        <v>0</v>
      </c>
    </row>
    <row r="50" spans="2:20" x14ac:dyDescent="0.35">
      <c r="B50" s="614">
        <v>7</v>
      </c>
      <c r="C50" s="615" t="s">
        <v>34</v>
      </c>
      <c r="D50" s="611" t="s">
        <v>22</v>
      </c>
      <c r="E50" s="1221"/>
      <c r="F50" s="1221"/>
      <c r="G50" s="616"/>
      <c r="H50" s="617">
        <f>'1.NVL Chai'!H$15*'2.Hao hut &amp; % chai '!F98</f>
        <v>0</v>
      </c>
      <c r="I50" s="617">
        <f>'1.NVL Chai'!I$15*'2.Hao hut &amp; % chai '!G98</f>
        <v>0</v>
      </c>
      <c r="J50" s="617">
        <f>'1.NVL Chai'!J$15*'2.Hao hut &amp; % chai '!H98</f>
        <v>0</v>
      </c>
      <c r="K50" s="617">
        <f>'1.NVL Chai'!K$15*'2.Hao hut &amp; % chai '!I98</f>
        <v>0</v>
      </c>
      <c r="L50" s="617">
        <f>'1.NVL Chai'!L$15*'2.Hao hut &amp; % chai '!J98</f>
        <v>0</v>
      </c>
      <c r="M50" s="617">
        <f>'1.NVL Chai'!M$15*'2.Hao hut &amp; % chai '!K98</f>
        <v>0</v>
      </c>
      <c r="N50" s="617">
        <f>'1.NVL Chai'!N$15*'2.Hao hut &amp; % chai '!L98</f>
        <v>0</v>
      </c>
      <c r="O50" s="617">
        <f>'1.NVL Chai'!O$15*'2.Hao hut &amp; % chai '!M98</f>
        <v>0</v>
      </c>
      <c r="P50" s="617">
        <f>'1.NVL Chai'!P$15*'2.Hao hut &amp; % chai '!N98</f>
        <v>0</v>
      </c>
      <c r="Q50" s="617">
        <f>'1.NVL Chai'!Q$15*'2.Hao hut &amp; % chai '!O98</f>
        <v>0</v>
      </c>
      <c r="R50" s="617">
        <f>'1.NVL Chai'!R$15*'2.Hao hut &amp; % chai '!P98</f>
        <v>0</v>
      </c>
      <c r="S50" s="617">
        <f>'1.NVL Chai'!S$15*'2.Hao hut &amp; % chai '!Q98</f>
        <v>0</v>
      </c>
      <c r="T50" s="616">
        <f t="shared" si="5"/>
        <v>0</v>
      </c>
    </row>
    <row r="51" spans="2:20" x14ac:dyDescent="0.35">
      <c r="B51" s="614">
        <v>8</v>
      </c>
      <c r="C51" s="615" t="s">
        <v>33</v>
      </c>
      <c r="D51" s="611" t="s">
        <v>22</v>
      </c>
      <c r="E51" s="1221"/>
      <c r="F51" s="1221"/>
      <c r="G51" s="616"/>
      <c r="H51" s="617">
        <f>'1.NVL Chai'!H$15*'2.Hao hut &amp; % chai '!F99</f>
        <v>0</v>
      </c>
      <c r="I51" s="617">
        <f>'1.NVL Chai'!I$15*'2.Hao hut &amp; % chai '!G99</f>
        <v>0</v>
      </c>
      <c r="J51" s="617">
        <f>'1.NVL Chai'!J$15*'2.Hao hut &amp; % chai '!H99</f>
        <v>0</v>
      </c>
      <c r="K51" s="617">
        <f>'1.NVL Chai'!K$15*'2.Hao hut &amp; % chai '!I99</f>
        <v>0</v>
      </c>
      <c r="L51" s="617">
        <f>'1.NVL Chai'!L$15*'2.Hao hut &amp; % chai '!J99</f>
        <v>0</v>
      </c>
      <c r="M51" s="617">
        <f>'1.NVL Chai'!M$15*'2.Hao hut &amp; % chai '!K99</f>
        <v>0</v>
      </c>
      <c r="N51" s="617">
        <f>'1.NVL Chai'!N$15*'2.Hao hut &amp; % chai '!L99</f>
        <v>0</v>
      </c>
      <c r="O51" s="617">
        <f>'1.NVL Chai'!O$15*'2.Hao hut &amp; % chai '!M99</f>
        <v>0</v>
      </c>
      <c r="P51" s="617">
        <f>'1.NVL Chai'!P$15*'2.Hao hut &amp; % chai '!N99</f>
        <v>0</v>
      </c>
      <c r="Q51" s="617">
        <f>'1.NVL Chai'!Q$15*'2.Hao hut &amp; % chai '!O99</f>
        <v>0</v>
      </c>
      <c r="R51" s="617">
        <f>'1.NVL Chai'!R$15*'2.Hao hut &amp; % chai '!P99</f>
        <v>0</v>
      </c>
      <c r="S51" s="617">
        <f>'1.NVL Chai'!S$15*'2.Hao hut &amp; % chai '!Q99</f>
        <v>0</v>
      </c>
      <c r="T51" s="616">
        <f t="shared" si="5"/>
        <v>0</v>
      </c>
    </row>
    <row r="52" spans="2:20" x14ac:dyDescent="0.35">
      <c r="B52" s="614">
        <v>9</v>
      </c>
      <c r="C52" s="615" t="s">
        <v>37</v>
      </c>
      <c r="D52" s="611" t="s">
        <v>22</v>
      </c>
      <c r="E52" s="1221"/>
      <c r="F52" s="1221"/>
      <c r="G52" s="616"/>
      <c r="H52" s="617">
        <f>'1.NVL Chai'!H$15*'2.Hao hut &amp; % chai '!F100</f>
        <v>0</v>
      </c>
      <c r="I52" s="617">
        <f>'1.NVL Chai'!I$15*'2.Hao hut &amp; % chai '!G100</f>
        <v>0</v>
      </c>
      <c r="J52" s="617">
        <f>'1.NVL Chai'!J$15*'2.Hao hut &amp; % chai '!H100</f>
        <v>0</v>
      </c>
      <c r="K52" s="617">
        <f>'1.NVL Chai'!K$15*'2.Hao hut &amp; % chai '!I100</f>
        <v>0</v>
      </c>
      <c r="L52" s="617">
        <f>'1.NVL Chai'!L$15*'2.Hao hut &amp; % chai '!J100</f>
        <v>0</v>
      </c>
      <c r="M52" s="617">
        <f>'1.NVL Chai'!M$15*'2.Hao hut &amp; % chai '!K100</f>
        <v>0</v>
      </c>
      <c r="N52" s="617">
        <f>'1.NVL Chai'!N$15*'2.Hao hut &amp; % chai '!L100</f>
        <v>0</v>
      </c>
      <c r="O52" s="617">
        <f>'1.NVL Chai'!O$15*'2.Hao hut &amp; % chai '!M100</f>
        <v>0</v>
      </c>
      <c r="P52" s="617">
        <f>'1.NVL Chai'!P$15*'2.Hao hut &amp; % chai '!N100</f>
        <v>0</v>
      </c>
      <c r="Q52" s="617">
        <f>'1.NVL Chai'!Q$15*'2.Hao hut &amp; % chai '!O100</f>
        <v>0</v>
      </c>
      <c r="R52" s="617">
        <f>'1.NVL Chai'!R$15*'2.Hao hut &amp; % chai '!P100</f>
        <v>0</v>
      </c>
      <c r="S52" s="617">
        <f>'1.NVL Chai'!S$15*'2.Hao hut &amp; % chai '!Q100</f>
        <v>0</v>
      </c>
      <c r="T52" s="616">
        <f t="shared" si="5"/>
        <v>0</v>
      </c>
    </row>
    <row r="53" spans="2:20" x14ac:dyDescent="0.35">
      <c r="B53" s="614">
        <v>10</v>
      </c>
      <c r="C53" s="615" t="s">
        <v>38</v>
      </c>
      <c r="D53" s="611" t="s">
        <v>22</v>
      </c>
      <c r="E53" s="1221"/>
      <c r="F53" s="1221"/>
      <c r="G53" s="616">
        <v>32164.154000000002</v>
      </c>
      <c r="H53" s="617">
        <f>'1.NVL Chai'!H$15*'2.Hao hut &amp; % chai '!F101</f>
        <v>0</v>
      </c>
      <c r="I53" s="617">
        <f>'1.NVL Chai'!I$15*'2.Hao hut &amp; % chai '!G101</f>
        <v>0</v>
      </c>
      <c r="J53" s="617">
        <f>'1.NVL Chai'!J$15*'2.Hao hut &amp; % chai '!H101</f>
        <v>0</v>
      </c>
      <c r="K53" s="617">
        <f>'1.NVL Chai'!K$15*'2.Hao hut &amp; % chai '!I101</f>
        <v>0</v>
      </c>
      <c r="L53" s="617">
        <f>'1.NVL Chai'!L$15*'2.Hao hut &amp; % chai '!J101</f>
        <v>0</v>
      </c>
      <c r="M53" s="617">
        <f>'1.NVL Chai'!M$15*'2.Hao hut &amp; % chai '!K101</f>
        <v>0</v>
      </c>
      <c r="N53" s="617">
        <f>'1.NVL Chai'!N$15*'2.Hao hut &amp; % chai '!L101</f>
        <v>0</v>
      </c>
      <c r="O53" s="617">
        <f>'1.NVL Chai'!O$15*'2.Hao hut &amp; % chai '!M101</f>
        <v>0</v>
      </c>
      <c r="P53" s="617">
        <f>'1.NVL Chai'!P$15*'2.Hao hut &amp; % chai '!N101</f>
        <v>0</v>
      </c>
      <c r="Q53" s="617">
        <f>'1.NVL Chai'!Q$15*'2.Hao hut &amp; % chai '!O101</f>
        <v>0</v>
      </c>
      <c r="R53" s="617">
        <f>'1.NVL Chai'!R$15*'2.Hao hut &amp; % chai '!P101</f>
        <v>0</v>
      </c>
      <c r="S53" s="617">
        <f>'1.NVL Chai'!S$15*'2.Hao hut &amp; % chai '!Q101</f>
        <v>0</v>
      </c>
      <c r="T53" s="616">
        <f t="shared" si="5"/>
        <v>0</v>
      </c>
    </row>
    <row r="54" spans="2:20" x14ac:dyDescent="0.35">
      <c r="B54" s="614">
        <v>11</v>
      </c>
      <c r="C54" s="615" t="s">
        <v>402</v>
      </c>
      <c r="D54" s="611" t="s">
        <v>22</v>
      </c>
      <c r="E54" s="1221"/>
      <c r="F54" s="1221"/>
      <c r="G54" s="616"/>
      <c r="H54" s="617">
        <f>'1.NVL Chai'!H$15*'2.Hao hut &amp; % chai '!F102</f>
        <v>0</v>
      </c>
      <c r="I54" s="617">
        <f>'1.NVL Chai'!I$15*'2.Hao hut &amp; % chai '!G102</f>
        <v>0</v>
      </c>
      <c r="J54" s="617">
        <f>'1.NVL Chai'!J$15*'2.Hao hut &amp; % chai '!H102</f>
        <v>0</v>
      </c>
      <c r="K54" s="617">
        <f>'1.NVL Chai'!K$15*'2.Hao hut &amp; % chai '!I102</f>
        <v>0</v>
      </c>
      <c r="L54" s="617">
        <f>'1.NVL Chai'!L$15*'2.Hao hut &amp; % chai '!J102</f>
        <v>0</v>
      </c>
      <c r="M54" s="617">
        <f>'1.NVL Chai'!M$15*'2.Hao hut &amp; % chai '!K102</f>
        <v>0</v>
      </c>
      <c r="N54" s="617">
        <f>'1.NVL Chai'!N$15*'2.Hao hut &amp; % chai '!L102</f>
        <v>0</v>
      </c>
      <c r="O54" s="617">
        <f>'1.NVL Chai'!O$15*'2.Hao hut &amp; % chai '!M102</f>
        <v>0</v>
      </c>
      <c r="P54" s="617">
        <f>'1.NVL Chai'!P$15*'2.Hao hut &amp; % chai '!N102</f>
        <v>0</v>
      </c>
      <c r="Q54" s="617">
        <f>'1.NVL Chai'!Q$15*'2.Hao hut &amp; % chai '!O102</f>
        <v>0</v>
      </c>
      <c r="R54" s="617">
        <f>'1.NVL Chai'!R$15*'2.Hao hut &amp; % chai '!P102</f>
        <v>0</v>
      </c>
      <c r="S54" s="617">
        <f>'1.NVL Chai'!S$15*'2.Hao hut &amp; % chai '!Q102</f>
        <v>0</v>
      </c>
      <c r="T54" s="616">
        <f t="shared" si="5"/>
        <v>0</v>
      </c>
    </row>
    <row r="55" spans="2:20" x14ac:dyDescent="0.35">
      <c r="B55" s="614">
        <v>12</v>
      </c>
      <c r="C55" s="615" t="s">
        <v>311</v>
      </c>
      <c r="D55" s="611" t="s">
        <v>22</v>
      </c>
      <c r="E55" s="1221"/>
      <c r="F55" s="1221"/>
      <c r="G55" s="616"/>
      <c r="H55" s="617">
        <f>'1.NVL Chai'!H$15*'2.Hao hut &amp; % chai '!F103</f>
        <v>0</v>
      </c>
      <c r="I55" s="617">
        <f>'1.NVL Chai'!I$15*'2.Hao hut &amp; % chai '!G103</f>
        <v>0</v>
      </c>
      <c r="J55" s="617">
        <f>'1.NVL Chai'!J$15*'2.Hao hut &amp; % chai '!H103</f>
        <v>0</v>
      </c>
      <c r="K55" s="617">
        <f>'1.NVL Chai'!K$15*'2.Hao hut &amp; % chai '!I103</f>
        <v>0</v>
      </c>
      <c r="L55" s="617">
        <f>'1.NVL Chai'!L$15*'2.Hao hut &amp; % chai '!J103</f>
        <v>0</v>
      </c>
      <c r="M55" s="617">
        <f>'1.NVL Chai'!M$15*'2.Hao hut &amp; % chai '!K103</f>
        <v>0</v>
      </c>
      <c r="N55" s="617">
        <f>'1.NVL Chai'!N$15*'2.Hao hut &amp; % chai '!L103</f>
        <v>0</v>
      </c>
      <c r="O55" s="617">
        <f>'1.NVL Chai'!O$15*'2.Hao hut &amp; % chai '!M103</f>
        <v>0</v>
      </c>
      <c r="P55" s="617">
        <f>'1.NVL Chai'!P$15*'2.Hao hut &amp; % chai '!N103</f>
        <v>0</v>
      </c>
      <c r="Q55" s="617">
        <f>'1.NVL Chai'!Q$15*'2.Hao hut &amp; % chai '!O103</f>
        <v>0</v>
      </c>
      <c r="R55" s="617">
        <f>'1.NVL Chai'!R$15*'2.Hao hut &amp; % chai '!P103</f>
        <v>0</v>
      </c>
      <c r="S55" s="617">
        <f>'1.NVL Chai'!S$15*'2.Hao hut &amp; % chai '!Q103</f>
        <v>0</v>
      </c>
      <c r="T55" s="616">
        <f t="shared" si="5"/>
        <v>0</v>
      </c>
    </row>
    <row r="56" spans="2:20" x14ac:dyDescent="0.35">
      <c r="B56" s="614">
        <v>13</v>
      </c>
      <c r="C56" s="615" t="s">
        <v>403</v>
      </c>
      <c r="D56" s="611" t="s">
        <v>22</v>
      </c>
      <c r="E56" s="1221"/>
      <c r="F56" s="1221"/>
      <c r="G56" s="616"/>
      <c r="H56" s="617">
        <f>'1.NVL Chai'!H$15*'2.Hao hut &amp; % chai '!F104</f>
        <v>0</v>
      </c>
      <c r="I56" s="617">
        <f>'1.NVL Chai'!I$15*'2.Hao hut &amp; % chai '!G104</f>
        <v>0</v>
      </c>
      <c r="J56" s="617">
        <f>'1.NVL Chai'!J$15*'2.Hao hut &amp; % chai '!H104</f>
        <v>0</v>
      </c>
      <c r="K56" s="617">
        <f>'1.NVL Chai'!K$15*'2.Hao hut &amp; % chai '!I104</f>
        <v>0</v>
      </c>
      <c r="L56" s="617">
        <f>'1.NVL Chai'!L$15*'2.Hao hut &amp; % chai '!J104</f>
        <v>0</v>
      </c>
      <c r="M56" s="617">
        <f>'1.NVL Chai'!M$15*'2.Hao hut &amp; % chai '!K104</f>
        <v>0</v>
      </c>
      <c r="N56" s="617">
        <f>'1.NVL Chai'!N$15*'2.Hao hut &amp; % chai '!L104</f>
        <v>0</v>
      </c>
      <c r="O56" s="617">
        <f>'1.NVL Chai'!O$15*'2.Hao hut &amp; % chai '!M104</f>
        <v>0</v>
      </c>
      <c r="P56" s="617">
        <f>'1.NVL Chai'!P$15*'2.Hao hut &amp; % chai '!N104</f>
        <v>0</v>
      </c>
      <c r="Q56" s="617">
        <f>'1.NVL Chai'!Q$15*'2.Hao hut &amp; % chai '!O104</f>
        <v>0</v>
      </c>
      <c r="R56" s="617">
        <f>'1.NVL Chai'!R$15*'2.Hao hut &amp; % chai '!P104</f>
        <v>0</v>
      </c>
      <c r="S56" s="617">
        <f>'1.NVL Chai'!S$15*'2.Hao hut &amp; % chai '!Q104</f>
        <v>0</v>
      </c>
      <c r="T56" s="616">
        <f t="shared" si="5"/>
        <v>0</v>
      </c>
    </row>
    <row r="57" spans="2:20" x14ac:dyDescent="0.35">
      <c r="B57" s="614">
        <v>14</v>
      </c>
      <c r="C57" s="615" t="s">
        <v>404</v>
      </c>
      <c r="D57" s="611" t="s">
        <v>22</v>
      </c>
      <c r="E57" s="1221"/>
      <c r="F57" s="1221"/>
      <c r="G57" s="616"/>
      <c r="H57" s="617">
        <f>'1.NVL Chai'!H$15*'2.Hao hut &amp; % chai '!F105</f>
        <v>0</v>
      </c>
      <c r="I57" s="617">
        <f>'1.NVL Chai'!I$15*'2.Hao hut &amp; % chai '!G105</f>
        <v>0</v>
      </c>
      <c r="J57" s="617">
        <f>'1.NVL Chai'!J$15*'2.Hao hut &amp; % chai '!H105</f>
        <v>0</v>
      </c>
      <c r="K57" s="617">
        <f>'1.NVL Chai'!K$15*'2.Hao hut &amp; % chai '!I105</f>
        <v>0</v>
      </c>
      <c r="L57" s="617">
        <f>'1.NVL Chai'!L$15*'2.Hao hut &amp; % chai '!J105</f>
        <v>0</v>
      </c>
      <c r="M57" s="617">
        <f>'1.NVL Chai'!M$15*'2.Hao hut &amp; % chai '!K105</f>
        <v>0</v>
      </c>
      <c r="N57" s="617">
        <f>'1.NVL Chai'!N$15*'2.Hao hut &amp; % chai '!L105</f>
        <v>0</v>
      </c>
      <c r="O57" s="617">
        <f>'1.NVL Chai'!O$15*'2.Hao hut &amp; % chai '!M105</f>
        <v>0</v>
      </c>
      <c r="P57" s="617">
        <f>'1.NVL Chai'!P$15*'2.Hao hut &amp; % chai '!N105</f>
        <v>0</v>
      </c>
      <c r="Q57" s="617">
        <f>'1.NVL Chai'!Q$15*'2.Hao hut &amp; % chai '!O105</f>
        <v>0</v>
      </c>
      <c r="R57" s="617">
        <f>'1.NVL Chai'!R$15*'2.Hao hut &amp; % chai '!P105</f>
        <v>0</v>
      </c>
      <c r="S57" s="617">
        <f>'1.NVL Chai'!S$15*'2.Hao hut &amp; % chai '!Q105</f>
        <v>0</v>
      </c>
      <c r="T57" s="616">
        <f t="shared" si="5"/>
        <v>0</v>
      </c>
    </row>
    <row r="58" spans="2:20" x14ac:dyDescent="0.35">
      <c r="B58" s="618">
        <v>15</v>
      </c>
      <c r="C58" s="619" t="s">
        <v>25</v>
      </c>
      <c r="D58" s="611" t="s">
        <v>22</v>
      </c>
      <c r="E58" s="1222"/>
      <c r="F58" s="1222"/>
      <c r="G58" s="620"/>
      <c r="H58" s="621">
        <f>'1.NVL Chai'!H$15*'2.Hao hut &amp; % chai '!F106</f>
        <v>0</v>
      </c>
      <c r="I58" s="621">
        <f>'1.NVL Chai'!I$15*'2.Hao hut &amp; % chai '!G106</f>
        <v>0</v>
      </c>
      <c r="J58" s="621">
        <f>'1.NVL Chai'!J$15*'2.Hao hut &amp; % chai '!H106</f>
        <v>0</v>
      </c>
      <c r="K58" s="621">
        <f>'1.NVL Chai'!K$15*'2.Hao hut &amp; % chai '!I106</f>
        <v>0</v>
      </c>
      <c r="L58" s="621">
        <f>'1.NVL Chai'!L$15*'2.Hao hut &amp; % chai '!J106</f>
        <v>0</v>
      </c>
      <c r="M58" s="621">
        <f>'1.NVL Chai'!M$15*'2.Hao hut &amp; % chai '!K106</f>
        <v>0</v>
      </c>
      <c r="N58" s="621">
        <f>'1.NVL Chai'!N$15*'2.Hao hut &amp; % chai '!L106</f>
        <v>0</v>
      </c>
      <c r="O58" s="621">
        <f>'1.NVL Chai'!O$15*'2.Hao hut &amp; % chai '!M106</f>
        <v>0</v>
      </c>
      <c r="P58" s="621">
        <f>'1.NVL Chai'!P$15*'2.Hao hut &amp; % chai '!N106</f>
        <v>0</v>
      </c>
      <c r="Q58" s="621">
        <f>'1.NVL Chai'!Q$15*'2.Hao hut &amp; % chai '!O106</f>
        <v>0</v>
      </c>
      <c r="R58" s="621">
        <f>'1.NVL Chai'!R$15*'2.Hao hut &amp; % chai '!P106</f>
        <v>0</v>
      </c>
      <c r="S58" s="621">
        <f>'1.NVL Chai'!S$15*'2.Hao hut &amp; % chai '!Q106</f>
        <v>0</v>
      </c>
      <c r="T58" s="620">
        <f t="shared" si="5"/>
        <v>0</v>
      </c>
    </row>
    <row r="59" spans="2:20" x14ac:dyDescent="0.35">
      <c r="B59" s="23"/>
      <c r="C59" s="24" t="s">
        <v>41</v>
      </c>
      <c r="D59" s="369" t="s">
        <v>22</v>
      </c>
      <c r="E59" s="369"/>
      <c r="F59" s="369"/>
      <c r="G59" s="29">
        <f t="shared" ref="G59:T59" si="6">SUM(G44:G58)</f>
        <v>100585.88800000001</v>
      </c>
      <c r="H59" s="29">
        <f t="shared" si="6"/>
        <v>0</v>
      </c>
      <c r="I59" s="29">
        <f t="shared" si="6"/>
        <v>0</v>
      </c>
      <c r="J59" s="29">
        <f t="shared" si="6"/>
        <v>0</v>
      </c>
      <c r="K59" s="29">
        <f t="shared" si="6"/>
        <v>0</v>
      </c>
      <c r="L59" s="29">
        <f t="shared" si="6"/>
        <v>0</v>
      </c>
      <c r="M59" s="29">
        <f t="shared" si="6"/>
        <v>0</v>
      </c>
      <c r="N59" s="29">
        <f t="shared" si="6"/>
        <v>0</v>
      </c>
      <c r="O59" s="29">
        <f t="shared" si="6"/>
        <v>0</v>
      </c>
      <c r="P59" s="29">
        <f t="shared" si="6"/>
        <v>0</v>
      </c>
      <c r="Q59" s="29">
        <f t="shared" si="6"/>
        <v>0</v>
      </c>
      <c r="R59" s="29">
        <f t="shared" si="6"/>
        <v>0</v>
      </c>
      <c r="S59" s="29">
        <f t="shared" si="6"/>
        <v>0</v>
      </c>
      <c r="T59" s="29">
        <f t="shared" si="6"/>
        <v>0</v>
      </c>
    </row>
    <row r="60" spans="2:20" x14ac:dyDescent="0.35">
      <c r="G60" s="635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</row>
    <row r="61" spans="2:20" ht="21" customHeight="1" x14ac:dyDescent="0.35">
      <c r="B61" s="37" t="s">
        <v>1595</v>
      </c>
    </row>
    <row r="62" spans="2:20" ht="25.5" customHeight="1" x14ac:dyDescent="0.35">
      <c r="B62" s="141" t="s">
        <v>0</v>
      </c>
      <c r="C62" s="141" t="s">
        <v>81</v>
      </c>
      <c r="D62" s="397" t="s">
        <v>11</v>
      </c>
      <c r="E62" s="397" t="s">
        <v>1943</v>
      </c>
      <c r="F62" s="397" t="s">
        <v>1942</v>
      </c>
      <c r="G62" s="7" t="s">
        <v>405</v>
      </c>
      <c r="H62" s="7" t="s">
        <v>56</v>
      </c>
      <c r="I62" s="7" t="s">
        <v>57</v>
      </c>
      <c r="J62" s="7" t="s">
        <v>58</v>
      </c>
      <c r="K62" s="7" t="s">
        <v>59</v>
      </c>
      <c r="L62" s="7" t="s">
        <v>60</v>
      </c>
      <c r="M62" s="7" t="s">
        <v>61</v>
      </c>
      <c r="N62" s="7" t="s">
        <v>62</v>
      </c>
      <c r="O62" s="7" t="s">
        <v>63</v>
      </c>
      <c r="P62" s="7" t="s">
        <v>64</v>
      </c>
      <c r="Q62" s="7" t="s">
        <v>65</v>
      </c>
      <c r="R62" s="7" t="s">
        <v>66</v>
      </c>
      <c r="S62" s="7" t="s">
        <v>67</v>
      </c>
      <c r="T62" s="7" t="s">
        <v>2246</v>
      </c>
    </row>
    <row r="63" spans="2:20" x14ac:dyDescent="0.35">
      <c r="B63" s="610">
        <v>1</v>
      </c>
      <c r="C63" s="611" t="s">
        <v>35</v>
      </c>
      <c r="D63" s="611" t="s">
        <v>22</v>
      </c>
      <c r="E63" s="613">
        <f t="shared" ref="E63:S63" si="7">E6+E25+E44</f>
        <v>1095883.6000000001</v>
      </c>
      <c r="F63" s="613">
        <f t="shared" si="7"/>
        <v>1903630.5</v>
      </c>
      <c r="G63" s="612">
        <f>3421086.7-G64-G65</f>
        <v>2602341.7000000002</v>
      </c>
      <c r="H63" s="613">
        <f t="shared" si="7"/>
        <v>283800</v>
      </c>
      <c r="I63" s="613">
        <f t="shared" si="7"/>
        <v>212850</v>
      </c>
      <c r="J63" s="613">
        <f t="shared" si="7"/>
        <v>307450</v>
      </c>
      <c r="K63" s="613">
        <f t="shared" si="7"/>
        <v>331100</v>
      </c>
      <c r="L63" s="613">
        <f t="shared" si="7"/>
        <v>331100</v>
      </c>
      <c r="M63" s="613">
        <f t="shared" si="7"/>
        <v>331100</v>
      </c>
      <c r="N63" s="613">
        <f t="shared" si="7"/>
        <v>331100</v>
      </c>
      <c r="O63" s="613">
        <f t="shared" si="7"/>
        <v>331100</v>
      </c>
      <c r="P63" s="613">
        <f t="shared" si="7"/>
        <v>331100</v>
      </c>
      <c r="Q63" s="613">
        <f t="shared" si="7"/>
        <v>331100</v>
      </c>
      <c r="R63" s="613">
        <f t="shared" si="7"/>
        <v>331100</v>
      </c>
      <c r="S63" s="613">
        <f t="shared" si="7"/>
        <v>331100</v>
      </c>
      <c r="T63" s="612">
        <f>SUM(H63:S63)</f>
        <v>3784000</v>
      </c>
    </row>
    <row r="64" spans="2:20" x14ac:dyDescent="0.35">
      <c r="B64" s="614">
        <v>2</v>
      </c>
      <c r="C64" s="615" t="s">
        <v>401</v>
      </c>
      <c r="D64" s="611" t="s">
        <v>22</v>
      </c>
      <c r="E64" s="613">
        <f t="shared" ref="E64:F64" si="8">E7+E26+E45</f>
        <v>953089.39999999991</v>
      </c>
      <c r="F64" s="613">
        <f t="shared" si="8"/>
        <v>675241</v>
      </c>
      <c r="G64" s="616">
        <v>144476</v>
      </c>
      <c r="H64" s="617">
        <f t="shared" ref="H64:S64" si="9">H7+H26+H45</f>
        <v>0</v>
      </c>
      <c r="I64" s="617">
        <f t="shared" si="9"/>
        <v>0</v>
      </c>
      <c r="J64" s="617">
        <f t="shared" si="9"/>
        <v>0</v>
      </c>
      <c r="K64" s="617">
        <f t="shared" si="9"/>
        <v>0</v>
      </c>
      <c r="L64" s="617">
        <f t="shared" si="9"/>
        <v>0</v>
      </c>
      <c r="M64" s="617">
        <f t="shared" si="9"/>
        <v>0</v>
      </c>
      <c r="N64" s="617">
        <f t="shared" si="9"/>
        <v>0</v>
      </c>
      <c r="O64" s="617">
        <f t="shared" si="9"/>
        <v>0</v>
      </c>
      <c r="P64" s="617">
        <f t="shared" si="9"/>
        <v>0</v>
      </c>
      <c r="Q64" s="617">
        <f t="shared" si="9"/>
        <v>0</v>
      </c>
      <c r="R64" s="617">
        <f t="shared" si="9"/>
        <v>0</v>
      </c>
      <c r="S64" s="617">
        <f t="shared" si="9"/>
        <v>0</v>
      </c>
      <c r="T64" s="616">
        <f t="shared" ref="T64:T77" si="10">SUM(H64:S64)</f>
        <v>0</v>
      </c>
    </row>
    <row r="65" spans="2:20" x14ac:dyDescent="0.35">
      <c r="B65" s="614">
        <v>3</v>
      </c>
      <c r="C65" s="615" t="s">
        <v>42</v>
      </c>
      <c r="D65" s="611" t="s">
        <v>22</v>
      </c>
      <c r="E65" s="613">
        <f t="shared" ref="E65:F65" si="11">E8+E27+E46</f>
        <v>0</v>
      </c>
      <c r="F65" s="613">
        <f t="shared" si="11"/>
        <v>0</v>
      </c>
      <c r="G65" s="616">
        <v>674269</v>
      </c>
      <c r="H65" s="617">
        <f t="shared" ref="H65:S65" si="12">H8+H27+H46</f>
        <v>0</v>
      </c>
      <c r="I65" s="617">
        <f t="shared" si="12"/>
        <v>0</v>
      </c>
      <c r="J65" s="617">
        <f t="shared" si="12"/>
        <v>0</v>
      </c>
      <c r="K65" s="617">
        <f t="shared" si="12"/>
        <v>0</v>
      </c>
      <c r="L65" s="617">
        <f t="shared" si="12"/>
        <v>0</v>
      </c>
      <c r="M65" s="617">
        <f t="shared" si="12"/>
        <v>0</v>
      </c>
      <c r="N65" s="617">
        <f t="shared" si="12"/>
        <v>0</v>
      </c>
      <c r="O65" s="617">
        <f t="shared" si="12"/>
        <v>0</v>
      </c>
      <c r="P65" s="617">
        <f t="shared" si="12"/>
        <v>0</v>
      </c>
      <c r="Q65" s="617">
        <f t="shared" si="12"/>
        <v>0</v>
      </c>
      <c r="R65" s="617">
        <f t="shared" si="12"/>
        <v>0</v>
      </c>
      <c r="S65" s="617">
        <f t="shared" si="12"/>
        <v>0</v>
      </c>
      <c r="T65" s="616">
        <f t="shared" si="10"/>
        <v>0</v>
      </c>
    </row>
    <row r="66" spans="2:20" x14ac:dyDescent="0.35">
      <c r="B66" s="614">
        <v>4</v>
      </c>
      <c r="C66" s="615" t="s">
        <v>39</v>
      </c>
      <c r="D66" s="611" t="s">
        <v>22</v>
      </c>
      <c r="E66" s="613">
        <f t="shared" ref="E66:F66" si="13">E9+E28+E47</f>
        <v>138836</v>
      </c>
      <c r="F66" s="613">
        <f t="shared" si="13"/>
        <v>5713</v>
      </c>
      <c r="G66" s="616">
        <v>85</v>
      </c>
      <c r="H66" s="617">
        <f t="shared" ref="H66:S66" si="14">H9+H28+H47</f>
        <v>0</v>
      </c>
      <c r="I66" s="617">
        <f t="shared" si="14"/>
        <v>0</v>
      </c>
      <c r="J66" s="617">
        <f t="shared" si="14"/>
        <v>0</v>
      </c>
      <c r="K66" s="617">
        <f t="shared" si="14"/>
        <v>0</v>
      </c>
      <c r="L66" s="617">
        <f t="shared" si="14"/>
        <v>0</v>
      </c>
      <c r="M66" s="617">
        <f t="shared" si="14"/>
        <v>0</v>
      </c>
      <c r="N66" s="617">
        <f t="shared" si="14"/>
        <v>0</v>
      </c>
      <c r="O66" s="617">
        <f t="shared" si="14"/>
        <v>0</v>
      </c>
      <c r="P66" s="617">
        <f t="shared" si="14"/>
        <v>0</v>
      </c>
      <c r="Q66" s="617">
        <f t="shared" si="14"/>
        <v>0</v>
      </c>
      <c r="R66" s="617">
        <f t="shared" si="14"/>
        <v>0</v>
      </c>
      <c r="S66" s="617">
        <f t="shared" si="14"/>
        <v>0</v>
      </c>
      <c r="T66" s="616">
        <f t="shared" si="10"/>
        <v>0</v>
      </c>
    </row>
    <row r="67" spans="2:20" x14ac:dyDescent="0.35">
      <c r="B67" s="614">
        <v>5</v>
      </c>
      <c r="C67" s="615" t="s">
        <v>32</v>
      </c>
      <c r="D67" s="611" t="s">
        <v>22</v>
      </c>
      <c r="E67" s="613">
        <f t="shared" ref="E67:F67" si="15">E10+E29+E48</f>
        <v>553609</v>
      </c>
      <c r="F67" s="613">
        <f t="shared" si="15"/>
        <v>629237.5</v>
      </c>
      <c r="G67" s="616">
        <f>573144.6-G66</f>
        <v>573059.6</v>
      </c>
      <c r="H67" s="617">
        <f t="shared" ref="H67:S67" si="16">H10+H29+H48</f>
        <v>60900</v>
      </c>
      <c r="I67" s="617">
        <f t="shared" si="16"/>
        <v>45675</v>
      </c>
      <c r="J67" s="617">
        <f t="shared" si="16"/>
        <v>65975</v>
      </c>
      <c r="K67" s="617">
        <f t="shared" si="16"/>
        <v>71050</v>
      </c>
      <c r="L67" s="617">
        <f t="shared" si="16"/>
        <v>71050</v>
      </c>
      <c r="M67" s="617">
        <f t="shared" si="16"/>
        <v>71050</v>
      </c>
      <c r="N67" s="617">
        <f t="shared" si="16"/>
        <v>71050</v>
      </c>
      <c r="O67" s="617">
        <f t="shared" si="16"/>
        <v>71050</v>
      </c>
      <c r="P67" s="617">
        <f t="shared" si="16"/>
        <v>71050</v>
      </c>
      <c r="Q67" s="617">
        <f t="shared" si="16"/>
        <v>71050</v>
      </c>
      <c r="R67" s="617">
        <f t="shared" si="16"/>
        <v>71050</v>
      </c>
      <c r="S67" s="617">
        <f t="shared" si="16"/>
        <v>71050</v>
      </c>
      <c r="T67" s="616">
        <f t="shared" si="10"/>
        <v>812000</v>
      </c>
    </row>
    <row r="68" spans="2:20" x14ac:dyDescent="0.35">
      <c r="B68" s="614">
        <v>6</v>
      </c>
      <c r="C68" s="615" t="s">
        <v>36</v>
      </c>
      <c r="D68" s="611" t="s">
        <v>22</v>
      </c>
      <c r="E68" s="613">
        <f t="shared" ref="E68:F68" si="17">E11+E30+E49</f>
        <v>349078</v>
      </c>
      <c r="F68" s="613">
        <f t="shared" si="17"/>
        <v>762</v>
      </c>
      <c r="G68" s="616">
        <v>15829</v>
      </c>
      <c r="H68" s="617">
        <f t="shared" ref="H68:S68" si="18">H11+H30+H49</f>
        <v>0</v>
      </c>
      <c r="I68" s="617">
        <f t="shared" si="18"/>
        <v>0</v>
      </c>
      <c r="J68" s="617">
        <f t="shared" si="18"/>
        <v>0</v>
      </c>
      <c r="K68" s="617">
        <f t="shared" si="18"/>
        <v>0</v>
      </c>
      <c r="L68" s="617">
        <f t="shared" si="18"/>
        <v>0</v>
      </c>
      <c r="M68" s="617">
        <f t="shared" si="18"/>
        <v>0</v>
      </c>
      <c r="N68" s="617">
        <f t="shared" si="18"/>
        <v>0</v>
      </c>
      <c r="O68" s="617">
        <f t="shared" si="18"/>
        <v>0</v>
      </c>
      <c r="P68" s="617">
        <f t="shared" si="18"/>
        <v>0</v>
      </c>
      <c r="Q68" s="617">
        <f t="shared" si="18"/>
        <v>0</v>
      </c>
      <c r="R68" s="617">
        <f t="shared" si="18"/>
        <v>0</v>
      </c>
      <c r="S68" s="617">
        <f t="shared" si="18"/>
        <v>0</v>
      </c>
      <c r="T68" s="616">
        <f t="shared" si="10"/>
        <v>0</v>
      </c>
    </row>
    <row r="69" spans="2:20" x14ac:dyDescent="0.35">
      <c r="B69" s="614">
        <v>7</v>
      </c>
      <c r="C69" s="615" t="s">
        <v>34</v>
      </c>
      <c r="D69" s="611" t="s">
        <v>22</v>
      </c>
      <c r="E69" s="613">
        <f t="shared" ref="E69:F69" si="19">E12+E31+E50</f>
        <v>73873.5</v>
      </c>
      <c r="F69" s="613">
        <f t="shared" si="19"/>
        <v>83665</v>
      </c>
      <c r="G69" s="616">
        <v>102714.9</v>
      </c>
      <c r="H69" s="617">
        <f t="shared" ref="H69:S69" si="20">H12+H31+H50</f>
        <v>9000</v>
      </c>
      <c r="I69" s="617">
        <f t="shared" si="20"/>
        <v>6750</v>
      </c>
      <c r="J69" s="617">
        <f t="shared" si="20"/>
        <v>9750</v>
      </c>
      <c r="K69" s="617">
        <f t="shared" si="20"/>
        <v>10500</v>
      </c>
      <c r="L69" s="617">
        <f t="shared" si="20"/>
        <v>10500</v>
      </c>
      <c r="M69" s="617">
        <f t="shared" si="20"/>
        <v>10500</v>
      </c>
      <c r="N69" s="617">
        <f t="shared" si="20"/>
        <v>10500</v>
      </c>
      <c r="O69" s="617">
        <f t="shared" si="20"/>
        <v>10500</v>
      </c>
      <c r="P69" s="617">
        <f t="shared" si="20"/>
        <v>10500</v>
      </c>
      <c r="Q69" s="617">
        <f t="shared" si="20"/>
        <v>10500</v>
      </c>
      <c r="R69" s="617">
        <f t="shared" si="20"/>
        <v>10500</v>
      </c>
      <c r="S69" s="617">
        <f t="shared" si="20"/>
        <v>10500</v>
      </c>
      <c r="T69" s="616">
        <f t="shared" si="10"/>
        <v>120000</v>
      </c>
    </row>
    <row r="70" spans="2:20" x14ac:dyDescent="0.35">
      <c r="B70" s="614">
        <v>8</v>
      </c>
      <c r="C70" s="615" t="s">
        <v>33</v>
      </c>
      <c r="D70" s="611" t="s">
        <v>22</v>
      </c>
      <c r="E70" s="613">
        <f t="shared" ref="E70:F70" si="21">E13+E32+E51</f>
        <v>142273</v>
      </c>
      <c r="F70" s="613">
        <f t="shared" si="21"/>
        <v>125421.5</v>
      </c>
      <c r="G70" s="616">
        <v>135853</v>
      </c>
      <c r="H70" s="617">
        <f t="shared" ref="H70:S70" si="22">H13+H32+H51</f>
        <v>12000</v>
      </c>
      <c r="I70" s="617">
        <f t="shared" si="22"/>
        <v>9000</v>
      </c>
      <c r="J70" s="617">
        <f t="shared" si="22"/>
        <v>13000</v>
      </c>
      <c r="K70" s="617">
        <f t="shared" si="22"/>
        <v>14000</v>
      </c>
      <c r="L70" s="617">
        <f t="shared" si="22"/>
        <v>14000</v>
      </c>
      <c r="M70" s="617">
        <f t="shared" si="22"/>
        <v>14000</v>
      </c>
      <c r="N70" s="617">
        <f t="shared" si="22"/>
        <v>14000</v>
      </c>
      <c r="O70" s="617">
        <f t="shared" si="22"/>
        <v>14000</v>
      </c>
      <c r="P70" s="617">
        <f t="shared" si="22"/>
        <v>14000</v>
      </c>
      <c r="Q70" s="617">
        <f t="shared" si="22"/>
        <v>14000</v>
      </c>
      <c r="R70" s="617">
        <f t="shared" si="22"/>
        <v>14000</v>
      </c>
      <c r="S70" s="617">
        <f t="shared" si="22"/>
        <v>14000</v>
      </c>
      <c r="T70" s="616">
        <f t="shared" si="10"/>
        <v>160000</v>
      </c>
    </row>
    <row r="71" spans="2:20" x14ac:dyDescent="0.35">
      <c r="B71" s="614">
        <v>9</v>
      </c>
      <c r="C71" s="615" t="s">
        <v>37</v>
      </c>
      <c r="D71" s="611" t="s">
        <v>22</v>
      </c>
      <c r="E71" s="613">
        <f t="shared" ref="E71:F71" si="23">E14+E33+E52</f>
        <v>0</v>
      </c>
      <c r="F71" s="613">
        <f t="shared" si="23"/>
        <v>0</v>
      </c>
      <c r="G71" s="616"/>
      <c r="H71" s="617">
        <f t="shared" ref="H71:S71" si="24">H14+H33+H52</f>
        <v>0</v>
      </c>
      <c r="I71" s="617">
        <f t="shared" si="24"/>
        <v>0</v>
      </c>
      <c r="J71" s="617">
        <f t="shared" si="24"/>
        <v>0</v>
      </c>
      <c r="K71" s="617">
        <f t="shared" si="24"/>
        <v>0</v>
      </c>
      <c r="L71" s="617">
        <f t="shared" si="24"/>
        <v>0</v>
      </c>
      <c r="M71" s="617">
        <f t="shared" si="24"/>
        <v>0</v>
      </c>
      <c r="N71" s="617">
        <f t="shared" si="24"/>
        <v>0</v>
      </c>
      <c r="O71" s="617">
        <f t="shared" si="24"/>
        <v>0</v>
      </c>
      <c r="P71" s="617">
        <f t="shared" si="24"/>
        <v>0</v>
      </c>
      <c r="Q71" s="617">
        <f t="shared" si="24"/>
        <v>0</v>
      </c>
      <c r="R71" s="617">
        <f t="shared" si="24"/>
        <v>0</v>
      </c>
      <c r="S71" s="617">
        <f t="shared" si="24"/>
        <v>0</v>
      </c>
      <c r="T71" s="616">
        <f t="shared" si="10"/>
        <v>0</v>
      </c>
    </row>
    <row r="72" spans="2:20" x14ac:dyDescent="0.35">
      <c r="B72" s="614">
        <v>10</v>
      </c>
      <c r="C72" s="615" t="s">
        <v>38</v>
      </c>
      <c r="D72" s="611" t="s">
        <v>22</v>
      </c>
      <c r="E72" s="613">
        <f t="shared" ref="E72:F72" si="25">E15+E34+E53</f>
        <v>1233058</v>
      </c>
      <c r="F72" s="613">
        <f t="shared" si="25"/>
        <v>934724.5</v>
      </c>
      <c r="G72" s="616">
        <v>1608207.7</v>
      </c>
      <c r="H72" s="617">
        <f t="shared" ref="H72:S72" si="26">H15+H34+H53</f>
        <v>144000</v>
      </c>
      <c r="I72" s="617">
        <f t="shared" si="26"/>
        <v>108000</v>
      </c>
      <c r="J72" s="617">
        <f t="shared" si="26"/>
        <v>156000</v>
      </c>
      <c r="K72" s="617">
        <f t="shared" si="26"/>
        <v>168000</v>
      </c>
      <c r="L72" s="617">
        <f t="shared" si="26"/>
        <v>168000</v>
      </c>
      <c r="M72" s="617">
        <f t="shared" si="26"/>
        <v>168000</v>
      </c>
      <c r="N72" s="617">
        <f t="shared" si="26"/>
        <v>168000</v>
      </c>
      <c r="O72" s="617">
        <f t="shared" si="26"/>
        <v>168000</v>
      </c>
      <c r="P72" s="617">
        <f t="shared" si="26"/>
        <v>168000</v>
      </c>
      <c r="Q72" s="617">
        <f t="shared" si="26"/>
        <v>168000</v>
      </c>
      <c r="R72" s="617">
        <f t="shared" si="26"/>
        <v>168000</v>
      </c>
      <c r="S72" s="617">
        <f t="shared" si="26"/>
        <v>168000</v>
      </c>
      <c r="T72" s="616">
        <f t="shared" si="10"/>
        <v>1920000</v>
      </c>
    </row>
    <row r="73" spans="2:20" x14ac:dyDescent="0.35">
      <c r="B73" s="614">
        <v>11</v>
      </c>
      <c r="C73" s="615" t="s">
        <v>402</v>
      </c>
      <c r="D73" s="611" t="s">
        <v>22</v>
      </c>
      <c r="E73" s="613">
        <f t="shared" ref="E73:F73" si="27">E16+E35+E54</f>
        <v>0</v>
      </c>
      <c r="F73" s="613">
        <f t="shared" si="27"/>
        <v>0</v>
      </c>
      <c r="G73" s="616"/>
      <c r="H73" s="617">
        <f t="shared" ref="H73:S73" si="28">H16+H35+H54</f>
        <v>0</v>
      </c>
      <c r="I73" s="617">
        <f t="shared" si="28"/>
        <v>0</v>
      </c>
      <c r="J73" s="617">
        <f t="shared" si="28"/>
        <v>0</v>
      </c>
      <c r="K73" s="617">
        <f t="shared" si="28"/>
        <v>0</v>
      </c>
      <c r="L73" s="617">
        <f t="shared" si="28"/>
        <v>0</v>
      </c>
      <c r="M73" s="617">
        <f t="shared" si="28"/>
        <v>0</v>
      </c>
      <c r="N73" s="617">
        <f t="shared" si="28"/>
        <v>0</v>
      </c>
      <c r="O73" s="617">
        <f t="shared" si="28"/>
        <v>0</v>
      </c>
      <c r="P73" s="617">
        <f t="shared" si="28"/>
        <v>0</v>
      </c>
      <c r="Q73" s="617">
        <f t="shared" si="28"/>
        <v>0</v>
      </c>
      <c r="R73" s="617">
        <f t="shared" si="28"/>
        <v>0</v>
      </c>
      <c r="S73" s="617">
        <f t="shared" si="28"/>
        <v>0</v>
      </c>
      <c r="T73" s="616">
        <f t="shared" si="10"/>
        <v>0</v>
      </c>
    </row>
    <row r="74" spans="2:20" x14ac:dyDescent="0.35">
      <c r="B74" s="614">
        <v>12</v>
      </c>
      <c r="C74" s="615" t="s">
        <v>311</v>
      </c>
      <c r="D74" s="611" t="s">
        <v>22</v>
      </c>
      <c r="E74" s="613">
        <f t="shared" ref="E74:F74" si="29">E17+E36+E55</f>
        <v>0</v>
      </c>
      <c r="F74" s="613">
        <f t="shared" si="29"/>
        <v>0</v>
      </c>
      <c r="G74" s="616"/>
      <c r="H74" s="617">
        <f t="shared" ref="H74:S74" si="30">H17+H36+H55</f>
        <v>0</v>
      </c>
      <c r="I74" s="617">
        <f t="shared" si="30"/>
        <v>0</v>
      </c>
      <c r="J74" s="617">
        <f t="shared" si="30"/>
        <v>0</v>
      </c>
      <c r="K74" s="617">
        <f t="shared" si="30"/>
        <v>0</v>
      </c>
      <c r="L74" s="617">
        <f t="shared" si="30"/>
        <v>0</v>
      </c>
      <c r="M74" s="617">
        <f t="shared" si="30"/>
        <v>0</v>
      </c>
      <c r="N74" s="617">
        <f t="shared" si="30"/>
        <v>0</v>
      </c>
      <c r="O74" s="617">
        <f t="shared" si="30"/>
        <v>0</v>
      </c>
      <c r="P74" s="617">
        <f t="shared" si="30"/>
        <v>0</v>
      </c>
      <c r="Q74" s="617">
        <f t="shared" si="30"/>
        <v>0</v>
      </c>
      <c r="R74" s="617">
        <f t="shared" si="30"/>
        <v>0</v>
      </c>
      <c r="S74" s="617">
        <f t="shared" si="30"/>
        <v>0</v>
      </c>
      <c r="T74" s="616">
        <f t="shared" si="10"/>
        <v>0</v>
      </c>
    </row>
    <row r="75" spans="2:20" x14ac:dyDescent="0.35">
      <c r="B75" s="614">
        <v>13</v>
      </c>
      <c r="C75" s="615" t="s">
        <v>403</v>
      </c>
      <c r="D75" s="611" t="s">
        <v>22</v>
      </c>
      <c r="E75" s="613">
        <f t="shared" ref="E75:F75" si="31">E18+E37+E56</f>
        <v>23155.5</v>
      </c>
      <c r="F75" s="613">
        <f t="shared" si="31"/>
        <v>41712.875</v>
      </c>
      <c r="G75" s="616">
        <v>63818.775000000001</v>
      </c>
      <c r="H75" s="617">
        <f t="shared" ref="H75:S75" si="32">H18+H37+H56</f>
        <v>6000</v>
      </c>
      <c r="I75" s="617">
        <f t="shared" si="32"/>
        <v>4500</v>
      </c>
      <c r="J75" s="617">
        <f t="shared" si="32"/>
        <v>6500</v>
      </c>
      <c r="K75" s="617">
        <f t="shared" si="32"/>
        <v>7000</v>
      </c>
      <c r="L75" s="617">
        <f t="shared" si="32"/>
        <v>7000</v>
      </c>
      <c r="M75" s="617">
        <f t="shared" si="32"/>
        <v>7000</v>
      </c>
      <c r="N75" s="617">
        <f t="shared" si="32"/>
        <v>7000</v>
      </c>
      <c r="O75" s="617">
        <f t="shared" si="32"/>
        <v>7000</v>
      </c>
      <c r="P75" s="617">
        <f t="shared" si="32"/>
        <v>7000</v>
      </c>
      <c r="Q75" s="617">
        <f t="shared" si="32"/>
        <v>7000</v>
      </c>
      <c r="R75" s="617">
        <f t="shared" si="32"/>
        <v>7000</v>
      </c>
      <c r="S75" s="617">
        <f t="shared" si="32"/>
        <v>7000</v>
      </c>
      <c r="T75" s="616">
        <f t="shared" si="10"/>
        <v>80000</v>
      </c>
    </row>
    <row r="76" spans="2:20" x14ac:dyDescent="0.35">
      <c r="B76" s="614">
        <v>14</v>
      </c>
      <c r="C76" s="615" t="s">
        <v>404</v>
      </c>
      <c r="D76" s="611" t="s">
        <v>22</v>
      </c>
      <c r="E76" s="613">
        <f t="shared" ref="E76:F76" si="33">E19+E38+E57</f>
        <v>69466.5</v>
      </c>
      <c r="F76" s="613">
        <f t="shared" si="33"/>
        <v>125138.625</v>
      </c>
      <c r="G76" s="616">
        <v>191456.32500000001</v>
      </c>
      <c r="H76" s="617">
        <f t="shared" ref="H76:S76" si="34">H19+H38+H57</f>
        <v>18000</v>
      </c>
      <c r="I76" s="617">
        <f t="shared" si="34"/>
        <v>13500</v>
      </c>
      <c r="J76" s="617">
        <f t="shared" si="34"/>
        <v>19500</v>
      </c>
      <c r="K76" s="617">
        <f t="shared" si="34"/>
        <v>21000</v>
      </c>
      <c r="L76" s="617">
        <f t="shared" si="34"/>
        <v>21000</v>
      </c>
      <c r="M76" s="617">
        <f t="shared" si="34"/>
        <v>21000</v>
      </c>
      <c r="N76" s="617">
        <f t="shared" si="34"/>
        <v>21000</v>
      </c>
      <c r="O76" s="617">
        <f t="shared" si="34"/>
        <v>21000</v>
      </c>
      <c r="P76" s="617">
        <f t="shared" si="34"/>
        <v>21000</v>
      </c>
      <c r="Q76" s="617">
        <f t="shared" si="34"/>
        <v>21000</v>
      </c>
      <c r="R76" s="617">
        <f t="shared" si="34"/>
        <v>21000</v>
      </c>
      <c r="S76" s="617">
        <f t="shared" si="34"/>
        <v>21000</v>
      </c>
      <c r="T76" s="616">
        <f t="shared" si="10"/>
        <v>240000</v>
      </c>
    </row>
    <row r="77" spans="2:20" x14ac:dyDescent="0.35">
      <c r="B77" s="618">
        <v>15</v>
      </c>
      <c r="C77" s="619" t="s">
        <v>25</v>
      </c>
      <c r="D77" s="611" t="s">
        <v>22</v>
      </c>
      <c r="E77" s="613">
        <f t="shared" ref="E77:F77" si="35">E20+E39+E58</f>
        <v>96057</v>
      </c>
      <c r="F77" s="613">
        <f t="shared" si="35"/>
        <v>8753.4</v>
      </c>
      <c r="G77" s="620"/>
      <c r="H77" s="621">
        <f t="shared" ref="H77:S77" si="36">H20+H39+H58</f>
        <v>0</v>
      </c>
      <c r="I77" s="621">
        <f t="shared" si="36"/>
        <v>0</v>
      </c>
      <c r="J77" s="621">
        <f t="shared" si="36"/>
        <v>0</v>
      </c>
      <c r="K77" s="621">
        <f t="shared" si="36"/>
        <v>0</v>
      </c>
      <c r="L77" s="621">
        <f t="shared" si="36"/>
        <v>0</v>
      </c>
      <c r="M77" s="621">
        <f t="shared" si="36"/>
        <v>0</v>
      </c>
      <c r="N77" s="621">
        <f t="shared" si="36"/>
        <v>0</v>
      </c>
      <c r="O77" s="621">
        <f t="shared" si="36"/>
        <v>0</v>
      </c>
      <c r="P77" s="621">
        <f t="shared" si="36"/>
        <v>0</v>
      </c>
      <c r="Q77" s="621">
        <f t="shared" si="36"/>
        <v>0</v>
      </c>
      <c r="R77" s="621">
        <f t="shared" si="36"/>
        <v>0</v>
      </c>
      <c r="S77" s="621">
        <f t="shared" si="36"/>
        <v>0</v>
      </c>
      <c r="T77" s="620">
        <f t="shared" si="10"/>
        <v>0</v>
      </c>
    </row>
    <row r="78" spans="2:20" x14ac:dyDescent="0.35">
      <c r="B78" s="23"/>
      <c r="C78" s="24" t="s">
        <v>183</v>
      </c>
      <c r="D78" s="369" t="s">
        <v>22</v>
      </c>
      <c r="E78" s="29">
        <f>SUM(E63:E77)</f>
        <v>4728379.5</v>
      </c>
      <c r="F78" s="29">
        <f>SUM(F63:F77)</f>
        <v>4533999.9000000004</v>
      </c>
      <c r="G78" s="29">
        <f>SUM(G63:G77)</f>
        <v>6112111.0000000009</v>
      </c>
      <c r="H78" s="29">
        <f>SUM(H63:H77)</f>
        <v>533700</v>
      </c>
      <c r="I78" s="29">
        <f t="shared" ref="I78:T78" si="37">SUM(I63:I77)</f>
        <v>400275</v>
      </c>
      <c r="J78" s="29">
        <f t="shared" si="37"/>
        <v>578175</v>
      </c>
      <c r="K78" s="29">
        <f t="shared" si="37"/>
        <v>622650</v>
      </c>
      <c r="L78" s="29">
        <f t="shared" si="37"/>
        <v>622650</v>
      </c>
      <c r="M78" s="29">
        <f t="shared" si="37"/>
        <v>622650</v>
      </c>
      <c r="N78" s="29">
        <f t="shared" si="37"/>
        <v>622650</v>
      </c>
      <c r="O78" s="29">
        <f t="shared" si="37"/>
        <v>622650</v>
      </c>
      <c r="P78" s="29">
        <f t="shared" si="37"/>
        <v>622650</v>
      </c>
      <c r="Q78" s="29">
        <f t="shared" si="37"/>
        <v>622650</v>
      </c>
      <c r="R78" s="29">
        <f t="shared" si="37"/>
        <v>622650</v>
      </c>
      <c r="S78" s="29">
        <f t="shared" si="37"/>
        <v>622650</v>
      </c>
      <c r="T78" s="29">
        <f t="shared" si="37"/>
        <v>7116000</v>
      </c>
    </row>
    <row r="79" spans="2:20" x14ac:dyDescent="0.35">
      <c r="G79" s="635"/>
      <c r="H79" s="254"/>
      <c r="I79" s="254"/>
      <c r="J79" s="254"/>
      <c r="K79" s="254"/>
      <c r="L79" s="254"/>
      <c r="M79" s="254"/>
      <c r="N79" s="254"/>
      <c r="O79" s="254"/>
      <c r="P79" s="254"/>
      <c r="Q79" s="909"/>
      <c r="R79" s="909"/>
      <c r="S79" s="909"/>
    </row>
    <row r="80" spans="2:20" s="645" customFormat="1" ht="21.65" customHeight="1" x14ac:dyDescent="0.35">
      <c r="B80" s="423" t="s">
        <v>1594</v>
      </c>
      <c r="G80" s="423"/>
      <c r="T80" s="423"/>
    </row>
    <row r="81" spans="2:20" ht="25.5" customHeight="1" x14ac:dyDescent="0.35">
      <c r="B81" s="141" t="s">
        <v>0</v>
      </c>
      <c r="C81" s="141" t="s">
        <v>81</v>
      </c>
      <c r="D81" s="397" t="s">
        <v>11</v>
      </c>
      <c r="E81" s="397" t="s">
        <v>1943</v>
      </c>
      <c r="F81" s="397" t="s">
        <v>1942</v>
      </c>
      <c r="G81" s="7" t="s">
        <v>405</v>
      </c>
      <c r="H81" s="7" t="s">
        <v>56</v>
      </c>
      <c r="I81" s="7" t="s">
        <v>57</v>
      </c>
      <c r="J81" s="7" t="s">
        <v>58</v>
      </c>
      <c r="K81" s="7" t="s">
        <v>59</v>
      </c>
      <c r="L81" s="7" t="s">
        <v>60</v>
      </c>
      <c r="M81" s="7" t="s">
        <v>61</v>
      </c>
      <c r="N81" s="7" t="s">
        <v>62</v>
      </c>
      <c r="O81" s="7" t="s">
        <v>63</v>
      </c>
      <c r="P81" s="7" t="s">
        <v>64</v>
      </c>
      <c r="Q81" s="7" t="s">
        <v>65</v>
      </c>
      <c r="R81" s="7" t="s">
        <v>66</v>
      </c>
      <c r="S81" s="7" t="s">
        <v>67</v>
      </c>
      <c r="T81" s="7" t="s">
        <v>2246</v>
      </c>
    </row>
    <row r="82" spans="2:20" x14ac:dyDescent="0.35">
      <c r="B82" s="610">
        <v>1</v>
      </c>
      <c r="C82" s="611" t="s">
        <v>35</v>
      </c>
      <c r="D82" s="611" t="s">
        <v>22</v>
      </c>
      <c r="E82" s="913">
        <f>'4.Doanh thu'!AJ7</f>
        <v>2890702.5</v>
      </c>
      <c r="F82" s="613">
        <f>'4.Doanh thu'!AH7</f>
        <v>1895177</v>
      </c>
      <c r="G82" s="913">
        <f>1926719+684750</f>
        <v>2611469</v>
      </c>
      <c r="H82" s="613">
        <f>H63-H102</f>
        <v>283800</v>
      </c>
      <c r="I82" s="613">
        <f t="shared" ref="I82:S82" si="38">I63-I102</f>
        <v>212850</v>
      </c>
      <c r="J82" s="613">
        <f t="shared" si="38"/>
        <v>307450</v>
      </c>
      <c r="K82" s="613">
        <f t="shared" si="38"/>
        <v>331100</v>
      </c>
      <c r="L82" s="613">
        <f t="shared" si="38"/>
        <v>331100</v>
      </c>
      <c r="M82" s="613">
        <f t="shared" si="38"/>
        <v>331100</v>
      </c>
      <c r="N82" s="613">
        <f t="shared" si="38"/>
        <v>331100</v>
      </c>
      <c r="O82" s="613">
        <f t="shared" si="38"/>
        <v>331100</v>
      </c>
      <c r="P82" s="613">
        <f t="shared" si="38"/>
        <v>331100</v>
      </c>
      <c r="Q82" s="613">
        <f t="shared" si="38"/>
        <v>331100</v>
      </c>
      <c r="R82" s="613">
        <f t="shared" si="38"/>
        <v>331100</v>
      </c>
      <c r="S82" s="613">
        <f t="shared" si="38"/>
        <v>331100</v>
      </c>
      <c r="T82" s="612">
        <f>SUM(H82:S82)</f>
        <v>3784000</v>
      </c>
    </row>
    <row r="83" spans="2:20" x14ac:dyDescent="0.35">
      <c r="B83" s="614">
        <v>2</v>
      </c>
      <c r="C83" s="615" t="s">
        <v>401</v>
      </c>
      <c r="D83" s="611" t="s">
        <v>22</v>
      </c>
      <c r="E83" s="913">
        <f>'4.Doanh thu'!AJ8</f>
        <v>0</v>
      </c>
      <c r="F83" s="613">
        <f>'4.Doanh thu'!AH8</f>
        <v>742255</v>
      </c>
      <c r="G83" s="913">
        <v>144476</v>
      </c>
      <c r="H83" s="617">
        <f t="shared" ref="H83:S83" si="39">H64-H103</f>
        <v>0</v>
      </c>
      <c r="I83" s="617">
        <f t="shared" si="39"/>
        <v>0</v>
      </c>
      <c r="J83" s="617">
        <f t="shared" si="39"/>
        <v>0</v>
      </c>
      <c r="K83" s="617">
        <f t="shared" si="39"/>
        <v>0</v>
      </c>
      <c r="L83" s="617">
        <f t="shared" si="39"/>
        <v>0</v>
      </c>
      <c r="M83" s="617">
        <f t="shared" si="39"/>
        <v>0</v>
      </c>
      <c r="N83" s="617">
        <f t="shared" si="39"/>
        <v>0</v>
      </c>
      <c r="O83" s="617">
        <f t="shared" si="39"/>
        <v>0</v>
      </c>
      <c r="P83" s="617">
        <f t="shared" si="39"/>
        <v>0</v>
      </c>
      <c r="Q83" s="617">
        <f t="shared" si="39"/>
        <v>0</v>
      </c>
      <c r="R83" s="617">
        <f t="shared" si="39"/>
        <v>0</v>
      </c>
      <c r="S83" s="617">
        <f t="shared" si="39"/>
        <v>0</v>
      </c>
      <c r="T83" s="616">
        <f t="shared" ref="T83:T96" si="40">SUM(H83:S83)</f>
        <v>0</v>
      </c>
    </row>
    <row r="84" spans="2:20" x14ac:dyDescent="0.35">
      <c r="B84" s="614">
        <v>3</v>
      </c>
      <c r="C84" s="615" t="s">
        <v>42</v>
      </c>
      <c r="D84" s="611" t="s">
        <v>22</v>
      </c>
      <c r="E84" s="913">
        <f>'4.Doanh thu'!AJ9</f>
        <v>0</v>
      </c>
      <c r="F84" s="613">
        <f>'4.Doanh thu'!AH9</f>
        <v>0</v>
      </c>
      <c r="G84" s="913">
        <v>674269</v>
      </c>
      <c r="H84" s="617">
        <f t="shared" ref="H84:S84" si="41">H65-H104</f>
        <v>0</v>
      </c>
      <c r="I84" s="617">
        <f t="shared" si="41"/>
        <v>0</v>
      </c>
      <c r="J84" s="617">
        <f t="shared" si="41"/>
        <v>0</v>
      </c>
      <c r="K84" s="617">
        <f t="shared" si="41"/>
        <v>0</v>
      </c>
      <c r="L84" s="617">
        <f t="shared" si="41"/>
        <v>0</v>
      </c>
      <c r="M84" s="617">
        <f t="shared" si="41"/>
        <v>0</v>
      </c>
      <c r="N84" s="617">
        <f t="shared" si="41"/>
        <v>0</v>
      </c>
      <c r="O84" s="617">
        <f t="shared" si="41"/>
        <v>0</v>
      </c>
      <c r="P84" s="617">
        <f t="shared" si="41"/>
        <v>0</v>
      </c>
      <c r="Q84" s="617">
        <f t="shared" si="41"/>
        <v>0</v>
      </c>
      <c r="R84" s="617">
        <f t="shared" si="41"/>
        <v>0</v>
      </c>
      <c r="S84" s="617">
        <f t="shared" si="41"/>
        <v>0</v>
      </c>
      <c r="T84" s="616">
        <f t="shared" si="40"/>
        <v>0</v>
      </c>
    </row>
    <row r="85" spans="2:20" x14ac:dyDescent="0.35">
      <c r="B85" s="614">
        <v>4</v>
      </c>
      <c r="C85" s="615" t="s">
        <v>39</v>
      </c>
      <c r="D85" s="611" t="s">
        <v>22</v>
      </c>
      <c r="E85" s="913">
        <f>'4.Doanh thu'!AJ10</f>
        <v>138350.5</v>
      </c>
      <c r="F85" s="613">
        <f>'4.Doanh thu'!AH10</f>
        <v>0</v>
      </c>
      <c r="G85" s="913">
        <v>85</v>
      </c>
      <c r="H85" s="617">
        <f t="shared" ref="H85:S85" si="42">H66-H105</f>
        <v>0</v>
      </c>
      <c r="I85" s="617">
        <f t="shared" si="42"/>
        <v>0</v>
      </c>
      <c r="J85" s="617">
        <f t="shared" si="42"/>
        <v>0</v>
      </c>
      <c r="K85" s="617">
        <f t="shared" si="42"/>
        <v>0</v>
      </c>
      <c r="L85" s="617">
        <f t="shared" si="42"/>
        <v>0</v>
      </c>
      <c r="M85" s="617">
        <f t="shared" si="42"/>
        <v>0</v>
      </c>
      <c r="N85" s="617">
        <f t="shared" si="42"/>
        <v>0</v>
      </c>
      <c r="O85" s="617">
        <f t="shared" si="42"/>
        <v>0</v>
      </c>
      <c r="P85" s="617">
        <f t="shared" si="42"/>
        <v>0</v>
      </c>
      <c r="Q85" s="617">
        <f t="shared" si="42"/>
        <v>0</v>
      </c>
      <c r="R85" s="617">
        <f t="shared" si="42"/>
        <v>0</v>
      </c>
      <c r="S85" s="617">
        <f t="shared" si="42"/>
        <v>0</v>
      </c>
      <c r="T85" s="616">
        <f t="shared" si="40"/>
        <v>0</v>
      </c>
    </row>
    <row r="86" spans="2:20" x14ac:dyDescent="0.35">
      <c r="B86" s="614">
        <v>5</v>
      </c>
      <c r="C86" s="615" t="s">
        <v>32</v>
      </c>
      <c r="D86" s="611" t="s">
        <v>22</v>
      </c>
      <c r="E86" s="913">
        <f>'4.Doanh thu'!AJ11</f>
        <v>565953</v>
      </c>
      <c r="F86" s="613">
        <f>'4.Doanh thu'!AH11</f>
        <v>635827</v>
      </c>
      <c r="G86" s="913">
        <f>405837+167250</f>
        <v>573087</v>
      </c>
      <c r="H86" s="617">
        <f t="shared" ref="H86:S86" si="43">H67-H106</f>
        <v>60900</v>
      </c>
      <c r="I86" s="617">
        <f t="shared" si="43"/>
        <v>45675</v>
      </c>
      <c r="J86" s="617">
        <f t="shared" si="43"/>
        <v>65975</v>
      </c>
      <c r="K86" s="617">
        <f t="shared" si="43"/>
        <v>71050</v>
      </c>
      <c r="L86" s="617">
        <f t="shared" si="43"/>
        <v>71050</v>
      </c>
      <c r="M86" s="617">
        <f t="shared" si="43"/>
        <v>71050</v>
      </c>
      <c r="N86" s="617">
        <f t="shared" si="43"/>
        <v>71050</v>
      </c>
      <c r="O86" s="617">
        <f t="shared" si="43"/>
        <v>71050</v>
      </c>
      <c r="P86" s="617">
        <f t="shared" si="43"/>
        <v>71050</v>
      </c>
      <c r="Q86" s="617">
        <f t="shared" si="43"/>
        <v>71050</v>
      </c>
      <c r="R86" s="617">
        <f t="shared" si="43"/>
        <v>71050</v>
      </c>
      <c r="S86" s="617">
        <f t="shared" si="43"/>
        <v>71050</v>
      </c>
      <c r="T86" s="616">
        <f t="shared" si="40"/>
        <v>812000</v>
      </c>
    </row>
    <row r="87" spans="2:20" x14ac:dyDescent="0.35">
      <c r="B87" s="614">
        <v>6</v>
      </c>
      <c r="C87" s="615" t="s">
        <v>36</v>
      </c>
      <c r="D87" s="611" t="s">
        <v>22</v>
      </c>
      <c r="E87" s="913">
        <f>'4.Doanh thu'!AJ12</f>
        <v>623305.5</v>
      </c>
      <c r="F87" s="613">
        <f>'4.Doanh thu'!AH12</f>
        <v>50758</v>
      </c>
      <c r="G87" s="913">
        <v>15709</v>
      </c>
      <c r="H87" s="617">
        <f t="shared" ref="H87:S87" si="44">H68-H107</f>
        <v>0</v>
      </c>
      <c r="I87" s="617">
        <f t="shared" si="44"/>
        <v>0</v>
      </c>
      <c r="J87" s="617">
        <f t="shared" si="44"/>
        <v>0</v>
      </c>
      <c r="K87" s="617">
        <f t="shared" si="44"/>
        <v>0</v>
      </c>
      <c r="L87" s="617">
        <f t="shared" si="44"/>
        <v>0</v>
      </c>
      <c r="M87" s="617">
        <f t="shared" si="44"/>
        <v>0</v>
      </c>
      <c r="N87" s="617">
        <f t="shared" si="44"/>
        <v>0</v>
      </c>
      <c r="O87" s="617">
        <f t="shared" si="44"/>
        <v>0</v>
      </c>
      <c r="P87" s="617">
        <f t="shared" si="44"/>
        <v>0</v>
      </c>
      <c r="Q87" s="617">
        <f t="shared" si="44"/>
        <v>0</v>
      </c>
      <c r="R87" s="617">
        <f t="shared" si="44"/>
        <v>0</v>
      </c>
      <c r="S87" s="617">
        <f t="shared" si="44"/>
        <v>0</v>
      </c>
      <c r="T87" s="616">
        <f t="shared" si="40"/>
        <v>0</v>
      </c>
    </row>
    <row r="88" spans="2:20" x14ac:dyDescent="0.35">
      <c r="B88" s="614">
        <v>7</v>
      </c>
      <c r="C88" s="615" t="s">
        <v>34</v>
      </c>
      <c r="D88" s="611" t="s">
        <v>22</v>
      </c>
      <c r="E88" s="913">
        <f>'4.Doanh thu'!AJ13</f>
        <v>86157</v>
      </c>
      <c r="F88" s="613">
        <f>'4.Doanh thu'!AH13</f>
        <v>85204</v>
      </c>
      <c r="G88" s="913">
        <f>81081+22500</f>
        <v>103581</v>
      </c>
      <c r="H88" s="617">
        <f t="shared" ref="H88:S88" si="45">H69-H108</f>
        <v>9000</v>
      </c>
      <c r="I88" s="617">
        <f t="shared" si="45"/>
        <v>6750</v>
      </c>
      <c r="J88" s="617">
        <f t="shared" si="45"/>
        <v>9750</v>
      </c>
      <c r="K88" s="617">
        <f t="shared" si="45"/>
        <v>10500</v>
      </c>
      <c r="L88" s="617">
        <f t="shared" si="45"/>
        <v>10500</v>
      </c>
      <c r="M88" s="617">
        <f t="shared" si="45"/>
        <v>10500</v>
      </c>
      <c r="N88" s="617">
        <f t="shared" si="45"/>
        <v>10500</v>
      </c>
      <c r="O88" s="617">
        <f t="shared" si="45"/>
        <v>10500</v>
      </c>
      <c r="P88" s="617">
        <f t="shared" si="45"/>
        <v>10500</v>
      </c>
      <c r="Q88" s="617">
        <f t="shared" si="45"/>
        <v>10500</v>
      </c>
      <c r="R88" s="617">
        <f t="shared" si="45"/>
        <v>10500</v>
      </c>
      <c r="S88" s="617">
        <f t="shared" si="45"/>
        <v>10500</v>
      </c>
      <c r="T88" s="616">
        <f t="shared" si="40"/>
        <v>120000</v>
      </c>
    </row>
    <row r="89" spans="2:20" x14ac:dyDescent="0.35">
      <c r="B89" s="614">
        <v>8</v>
      </c>
      <c r="C89" s="615" t="s">
        <v>33</v>
      </c>
      <c r="D89" s="611" t="s">
        <v>22</v>
      </c>
      <c r="E89" s="913">
        <f>'4.Doanh thu'!AJ14</f>
        <v>151214</v>
      </c>
      <c r="F89" s="613">
        <f>'4.Doanh thu'!AH14</f>
        <v>127968</v>
      </c>
      <c r="G89" s="913">
        <f>104342+30000</f>
        <v>134342</v>
      </c>
      <c r="H89" s="617">
        <f t="shared" ref="H89:S89" si="46">H70-H109</f>
        <v>12000</v>
      </c>
      <c r="I89" s="617">
        <f t="shared" si="46"/>
        <v>9000</v>
      </c>
      <c r="J89" s="617">
        <f t="shared" si="46"/>
        <v>13000</v>
      </c>
      <c r="K89" s="617">
        <f t="shared" si="46"/>
        <v>14000</v>
      </c>
      <c r="L89" s="617">
        <f t="shared" si="46"/>
        <v>14000</v>
      </c>
      <c r="M89" s="617">
        <f t="shared" si="46"/>
        <v>14000</v>
      </c>
      <c r="N89" s="617">
        <f t="shared" si="46"/>
        <v>14000</v>
      </c>
      <c r="O89" s="617">
        <f t="shared" si="46"/>
        <v>14000</v>
      </c>
      <c r="P89" s="617">
        <f t="shared" si="46"/>
        <v>14000</v>
      </c>
      <c r="Q89" s="617">
        <f t="shared" si="46"/>
        <v>14000</v>
      </c>
      <c r="R89" s="617">
        <f t="shared" si="46"/>
        <v>14000</v>
      </c>
      <c r="S89" s="617">
        <f t="shared" si="46"/>
        <v>14000</v>
      </c>
      <c r="T89" s="616">
        <f t="shared" si="40"/>
        <v>160000</v>
      </c>
    </row>
    <row r="90" spans="2:20" x14ac:dyDescent="0.35">
      <c r="B90" s="614">
        <v>9</v>
      </c>
      <c r="C90" s="615" t="s">
        <v>37</v>
      </c>
      <c r="D90" s="611" t="s">
        <v>22</v>
      </c>
      <c r="E90" s="913">
        <f>'4.Doanh thu'!AJ15</f>
        <v>0</v>
      </c>
      <c r="F90" s="613">
        <f>'4.Doanh thu'!AH15</f>
        <v>11776</v>
      </c>
      <c r="G90" s="913"/>
      <c r="H90" s="617">
        <f t="shared" ref="H90:S90" si="47">H71-H110</f>
        <v>0</v>
      </c>
      <c r="I90" s="617">
        <f t="shared" si="47"/>
        <v>0</v>
      </c>
      <c r="J90" s="617">
        <f t="shared" si="47"/>
        <v>0</v>
      </c>
      <c r="K90" s="617">
        <f t="shared" si="47"/>
        <v>0</v>
      </c>
      <c r="L90" s="617">
        <f t="shared" si="47"/>
        <v>0</v>
      </c>
      <c r="M90" s="617">
        <f t="shared" si="47"/>
        <v>0</v>
      </c>
      <c r="N90" s="617">
        <f t="shared" si="47"/>
        <v>0</v>
      </c>
      <c r="O90" s="617">
        <f t="shared" si="47"/>
        <v>0</v>
      </c>
      <c r="P90" s="617">
        <f t="shared" si="47"/>
        <v>0</v>
      </c>
      <c r="Q90" s="617">
        <f t="shared" si="47"/>
        <v>0</v>
      </c>
      <c r="R90" s="617">
        <f t="shared" si="47"/>
        <v>0</v>
      </c>
      <c r="S90" s="617">
        <f t="shared" si="47"/>
        <v>0</v>
      </c>
      <c r="T90" s="616">
        <f t="shared" si="40"/>
        <v>0</v>
      </c>
    </row>
    <row r="91" spans="2:20" x14ac:dyDescent="0.35">
      <c r="B91" s="614">
        <v>10</v>
      </c>
      <c r="C91" s="615" t="s">
        <v>38</v>
      </c>
      <c r="D91" s="611" t="s">
        <v>22</v>
      </c>
      <c r="E91" s="913">
        <f>'4.Doanh thu'!AJ16</f>
        <v>981342</v>
      </c>
      <c r="F91" s="613">
        <f>'4.Doanh thu'!AH16</f>
        <v>1151193</v>
      </c>
      <c r="G91" s="913">
        <f>1066269+360000</f>
        <v>1426269</v>
      </c>
      <c r="H91" s="617">
        <f t="shared" ref="H91:S91" si="48">H72-H111</f>
        <v>144000</v>
      </c>
      <c r="I91" s="617">
        <f t="shared" si="48"/>
        <v>108000</v>
      </c>
      <c r="J91" s="617">
        <f t="shared" si="48"/>
        <v>156000</v>
      </c>
      <c r="K91" s="617">
        <f t="shared" si="48"/>
        <v>168000</v>
      </c>
      <c r="L91" s="617">
        <f t="shared" si="48"/>
        <v>168000</v>
      </c>
      <c r="M91" s="617">
        <f t="shared" si="48"/>
        <v>168000</v>
      </c>
      <c r="N91" s="617">
        <f t="shared" si="48"/>
        <v>168000</v>
      </c>
      <c r="O91" s="617">
        <f t="shared" si="48"/>
        <v>168000</v>
      </c>
      <c r="P91" s="617">
        <f t="shared" si="48"/>
        <v>168000</v>
      </c>
      <c r="Q91" s="617">
        <f t="shared" si="48"/>
        <v>168000</v>
      </c>
      <c r="R91" s="617">
        <f t="shared" si="48"/>
        <v>168000</v>
      </c>
      <c r="S91" s="617">
        <f t="shared" si="48"/>
        <v>168000</v>
      </c>
      <c r="T91" s="616">
        <f t="shared" si="40"/>
        <v>1920000</v>
      </c>
    </row>
    <row r="92" spans="2:20" x14ac:dyDescent="0.35">
      <c r="B92" s="614">
        <v>11</v>
      </c>
      <c r="C92" s="615" t="s">
        <v>402</v>
      </c>
      <c r="D92" s="611" t="s">
        <v>22</v>
      </c>
      <c r="E92" s="913">
        <f>'4.Doanh thu'!AJ17</f>
        <v>0</v>
      </c>
      <c r="F92" s="613">
        <f>'4.Doanh thu'!AH17</f>
        <v>0</v>
      </c>
      <c r="G92" s="913"/>
      <c r="H92" s="617">
        <f t="shared" ref="H92:S92" si="49">H73-H112</f>
        <v>0</v>
      </c>
      <c r="I92" s="617">
        <f t="shared" si="49"/>
        <v>0</v>
      </c>
      <c r="J92" s="617">
        <f t="shared" si="49"/>
        <v>0</v>
      </c>
      <c r="K92" s="617">
        <f t="shared" si="49"/>
        <v>0</v>
      </c>
      <c r="L92" s="617">
        <f t="shared" si="49"/>
        <v>0</v>
      </c>
      <c r="M92" s="617">
        <f t="shared" si="49"/>
        <v>0</v>
      </c>
      <c r="N92" s="617">
        <f t="shared" si="49"/>
        <v>0</v>
      </c>
      <c r="O92" s="617">
        <f t="shared" si="49"/>
        <v>0</v>
      </c>
      <c r="P92" s="617">
        <f t="shared" si="49"/>
        <v>0</v>
      </c>
      <c r="Q92" s="617">
        <f t="shared" si="49"/>
        <v>0</v>
      </c>
      <c r="R92" s="617">
        <f t="shared" si="49"/>
        <v>0</v>
      </c>
      <c r="S92" s="617">
        <f t="shared" si="49"/>
        <v>0</v>
      </c>
      <c r="T92" s="616">
        <f t="shared" si="40"/>
        <v>0</v>
      </c>
    </row>
    <row r="93" spans="2:20" x14ac:dyDescent="0.35">
      <c r="B93" s="614">
        <v>12</v>
      </c>
      <c r="C93" s="615" t="s">
        <v>311</v>
      </c>
      <c r="D93" s="611" t="s">
        <v>22</v>
      </c>
      <c r="E93" s="913">
        <f>'4.Doanh thu'!AJ18</f>
        <v>0</v>
      </c>
      <c r="F93" s="613">
        <f>'4.Doanh thu'!AH18</f>
        <v>0</v>
      </c>
      <c r="G93" s="913">
        <v>8400</v>
      </c>
      <c r="H93" s="617">
        <f t="shared" ref="H93:S93" si="50">H74-H113</f>
        <v>0</v>
      </c>
      <c r="I93" s="617">
        <f t="shared" si="50"/>
        <v>0</v>
      </c>
      <c r="J93" s="617">
        <f t="shared" si="50"/>
        <v>0</v>
      </c>
      <c r="K93" s="617">
        <f t="shared" si="50"/>
        <v>0</v>
      </c>
      <c r="L93" s="617">
        <f t="shared" si="50"/>
        <v>0</v>
      </c>
      <c r="M93" s="617">
        <f t="shared" si="50"/>
        <v>0</v>
      </c>
      <c r="N93" s="617">
        <f t="shared" si="50"/>
        <v>0</v>
      </c>
      <c r="O93" s="617">
        <f t="shared" si="50"/>
        <v>0</v>
      </c>
      <c r="P93" s="617">
        <f t="shared" si="50"/>
        <v>0</v>
      </c>
      <c r="Q93" s="617">
        <f t="shared" si="50"/>
        <v>0</v>
      </c>
      <c r="R93" s="617">
        <f t="shared" si="50"/>
        <v>0</v>
      </c>
      <c r="S93" s="617">
        <f t="shared" si="50"/>
        <v>0</v>
      </c>
      <c r="T93" s="616">
        <f t="shared" si="40"/>
        <v>0</v>
      </c>
    </row>
    <row r="94" spans="2:20" x14ac:dyDescent="0.35">
      <c r="B94" s="614">
        <v>13</v>
      </c>
      <c r="C94" s="615" t="s">
        <v>403</v>
      </c>
      <c r="D94" s="611" t="s">
        <v>22</v>
      </c>
      <c r="E94" s="913">
        <f>'4.Doanh thu'!AJ19</f>
        <v>0</v>
      </c>
      <c r="F94" s="613">
        <f>'4.Doanh thu'!AH19</f>
        <v>0</v>
      </c>
      <c r="G94" s="913"/>
      <c r="H94" s="617">
        <f t="shared" ref="H94:S94" si="51">H75-H114</f>
        <v>6000</v>
      </c>
      <c r="I94" s="617">
        <f t="shared" si="51"/>
        <v>4500</v>
      </c>
      <c r="J94" s="617">
        <f t="shared" si="51"/>
        <v>6500</v>
      </c>
      <c r="K94" s="617">
        <f t="shared" si="51"/>
        <v>7000</v>
      </c>
      <c r="L94" s="617">
        <f t="shared" si="51"/>
        <v>7000</v>
      </c>
      <c r="M94" s="617">
        <f t="shared" si="51"/>
        <v>7000</v>
      </c>
      <c r="N94" s="617">
        <f t="shared" si="51"/>
        <v>7000</v>
      </c>
      <c r="O94" s="617">
        <f t="shared" si="51"/>
        <v>7000</v>
      </c>
      <c r="P94" s="617">
        <f t="shared" si="51"/>
        <v>7000</v>
      </c>
      <c r="Q94" s="617">
        <f t="shared" si="51"/>
        <v>7000</v>
      </c>
      <c r="R94" s="617">
        <f t="shared" si="51"/>
        <v>7000</v>
      </c>
      <c r="S94" s="617">
        <f t="shared" si="51"/>
        <v>7000</v>
      </c>
      <c r="T94" s="616">
        <f t="shared" si="40"/>
        <v>80000</v>
      </c>
    </row>
    <row r="95" spans="2:20" x14ac:dyDescent="0.35">
      <c r="B95" s="614">
        <v>14</v>
      </c>
      <c r="C95" s="615" t="s">
        <v>404</v>
      </c>
      <c r="D95" s="611" t="s">
        <v>22</v>
      </c>
      <c r="E95" s="913">
        <f>'4.Doanh thu'!AJ20</f>
        <v>130416</v>
      </c>
      <c r="F95" s="613">
        <f>'4.Doanh thu'!AH20</f>
        <v>177804</v>
      </c>
      <c r="G95" s="913">
        <f>116830+60000</f>
        <v>176830</v>
      </c>
      <c r="H95" s="617">
        <f t="shared" ref="H95:S95" si="52">H76-H115</f>
        <v>18000</v>
      </c>
      <c r="I95" s="617">
        <f t="shared" si="52"/>
        <v>13500</v>
      </c>
      <c r="J95" s="617">
        <f t="shared" si="52"/>
        <v>19500</v>
      </c>
      <c r="K95" s="617">
        <f t="shared" si="52"/>
        <v>21000</v>
      </c>
      <c r="L95" s="617">
        <f t="shared" si="52"/>
        <v>21000</v>
      </c>
      <c r="M95" s="617">
        <f t="shared" si="52"/>
        <v>21000</v>
      </c>
      <c r="N95" s="617">
        <f t="shared" si="52"/>
        <v>21000</v>
      </c>
      <c r="O95" s="617">
        <f t="shared" si="52"/>
        <v>21000</v>
      </c>
      <c r="P95" s="617">
        <f t="shared" si="52"/>
        <v>21000</v>
      </c>
      <c r="Q95" s="617">
        <f t="shared" si="52"/>
        <v>21000</v>
      </c>
      <c r="R95" s="617">
        <f t="shared" si="52"/>
        <v>21000</v>
      </c>
      <c r="S95" s="617">
        <f t="shared" si="52"/>
        <v>21000</v>
      </c>
      <c r="T95" s="616">
        <f t="shared" si="40"/>
        <v>240000</v>
      </c>
    </row>
    <row r="96" spans="2:20" x14ac:dyDescent="0.35">
      <c r="B96" s="618">
        <v>15</v>
      </c>
      <c r="C96" s="619" t="s">
        <v>25</v>
      </c>
      <c r="D96" s="611" t="s">
        <v>22</v>
      </c>
      <c r="E96" s="913">
        <f>'4.Doanh thu'!AJ21</f>
        <v>85330</v>
      </c>
      <c r="F96" s="613">
        <f>'4.Doanh thu'!AH21</f>
        <v>17056.400000000001</v>
      </c>
      <c r="G96" s="913"/>
      <c r="H96" s="621">
        <f>H77-H116</f>
        <v>0</v>
      </c>
      <c r="I96" s="621">
        <f t="shared" ref="I96:S96" si="53">I77-I116</f>
        <v>0</v>
      </c>
      <c r="J96" s="621">
        <f t="shared" si="53"/>
        <v>0</v>
      </c>
      <c r="K96" s="621">
        <f t="shared" si="53"/>
        <v>0</v>
      </c>
      <c r="L96" s="621">
        <f t="shared" si="53"/>
        <v>0</v>
      </c>
      <c r="M96" s="621">
        <f t="shared" si="53"/>
        <v>0</v>
      </c>
      <c r="N96" s="621">
        <f t="shared" si="53"/>
        <v>0</v>
      </c>
      <c r="O96" s="621">
        <f t="shared" si="53"/>
        <v>0</v>
      </c>
      <c r="P96" s="621">
        <f t="shared" si="53"/>
        <v>0</v>
      </c>
      <c r="Q96" s="621">
        <f t="shared" si="53"/>
        <v>0</v>
      </c>
      <c r="R96" s="621">
        <f t="shared" si="53"/>
        <v>0</v>
      </c>
      <c r="S96" s="621">
        <f t="shared" si="53"/>
        <v>0</v>
      </c>
      <c r="T96" s="620">
        <f t="shared" si="40"/>
        <v>0</v>
      </c>
    </row>
    <row r="97" spans="2:20" x14ac:dyDescent="0.35">
      <c r="B97" s="23"/>
      <c r="C97" s="24" t="s">
        <v>99</v>
      </c>
      <c r="D97" s="369" t="s">
        <v>22</v>
      </c>
      <c r="E97" s="29">
        <f>SUM(E82:E96)</f>
        <v>5652770.5</v>
      </c>
      <c r="F97" s="29">
        <f>SUM(F82:F96)</f>
        <v>4895018.4000000004</v>
      </c>
      <c r="G97" s="29">
        <f>SUM(G82:G96)</f>
        <v>5868517</v>
      </c>
      <c r="H97" s="29">
        <f>SUM(H82:H96)</f>
        <v>533700</v>
      </c>
      <c r="I97" s="29">
        <f t="shared" ref="I97:R97" si="54">SUM(I82:I96)</f>
        <v>400275</v>
      </c>
      <c r="J97" s="29">
        <f t="shared" si="54"/>
        <v>578175</v>
      </c>
      <c r="K97" s="29">
        <f t="shared" si="54"/>
        <v>622650</v>
      </c>
      <c r="L97" s="29">
        <f t="shared" si="54"/>
        <v>622650</v>
      </c>
      <c r="M97" s="29">
        <f t="shared" si="54"/>
        <v>622650</v>
      </c>
      <c r="N97" s="29">
        <f t="shared" si="54"/>
        <v>622650</v>
      </c>
      <c r="O97" s="29">
        <f t="shared" si="54"/>
        <v>622650</v>
      </c>
      <c r="P97" s="29">
        <f t="shared" si="54"/>
        <v>622650</v>
      </c>
      <c r="Q97" s="29">
        <f t="shared" si="54"/>
        <v>622650</v>
      </c>
      <c r="R97" s="29">
        <f t="shared" si="54"/>
        <v>622650</v>
      </c>
      <c r="S97" s="29">
        <f>SUM(S82:S96)</f>
        <v>622650</v>
      </c>
      <c r="T97" s="29">
        <f>SUM(T82:T96)</f>
        <v>7116000</v>
      </c>
    </row>
    <row r="98" spans="2:20" x14ac:dyDescent="0.35">
      <c r="G98" s="1224"/>
    </row>
    <row r="99" spans="2:20" x14ac:dyDescent="0.35">
      <c r="B99" s="138" t="s">
        <v>1632</v>
      </c>
    </row>
    <row r="100" spans="2:20" x14ac:dyDescent="0.35">
      <c r="B100" s="37" t="s">
        <v>1592</v>
      </c>
    </row>
    <row r="101" spans="2:20" ht="25.5" customHeight="1" x14ac:dyDescent="0.35">
      <c r="B101" s="141" t="s">
        <v>0</v>
      </c>
      <c r="C101" s="141" t="s">
        <v>81</v>
      </c>
      <c r="D101" s="397" t="s">
        <v>11</v>
      </c>
      <c r="E101" s="397" t="s">
        <v>1943</v>
      </c>
      <c r="F101" s="397" t="s">
        <v>1942</v>
      </c>
      <c r="G101" s="7" t="s">
        <v>405</v>
      </c>
      <c r="H101" s="7" t="s">
        <v>56</v>
      </c>
      <c r="I101" s="7" t="s">
        <v>57</v>
      </c>
      <c r="J101" s="7" t="s">
        <v>58</v>
      </c>
      <c r="K101" s="7" t="s">
        <v>59</v>
      </c>
      <c r="L101" s="7" t="s">
        <v>60</v>
      </c>
      <c r="M101" s="7" t="s">
        <v>61</v>
      </c>
      <c r="N101" s="7" t="s">
        <v>62</v>
      </c>
      <c r="O101" s="7" t="s">
        <v>63</v>
      </c>
      <c r="P101" s="7" t="s">
        <v>64</v>
      </c>
      <c r="Q101" s="7" t="s">
        <v>65</v>
      </c>
      <c r="R101" s="7" t="s">
        <v>66</v>
      </c>
      <c r="S101" s="7" t="s">
        <v>67</v>
      </c>
      <c r="T101" s="7" t="s">
        <v>2246</v>
      </c>
    </row>
    <row r="102" spans="2:20" x14ac:dyDescent="0.35">
      <c r="B102" s="610">
        <v>1</v>
      </c>
      <c r="C102" s="611" t="s">
        <v>35</v>
      </c>
      <c r="D102" s="611"/>
      <c r="E102" s="611"/>
      <c r="F102" s="611"/>
      <c r="G102" s="612"/>
      <c r="H102" s="613">
        <f>H63*'2.Hao hut &amp; % chai '!F111</f>
        <v>0</v>
      </c>
      <c r="I102" s="613">
        <f>I63*'2.Hao hut &amp; % chai '!G111</f>
        <v>0</v>
      </c>
      <c r="J102" s="613">
        <f>J63*'2.Hao hut &amp; % chai '!H111</f>
        <v>0</v>
      </c>
      <c r="K102" s="613">
        <f>K63*'2.Hao hut &amp; % chai '!I111</f>
        <v>0</v>
      </c>
      <c r="L102" s="613">
        <f>L63*'2.Hao hut &amp; % chai '!J111</f>
        <v>0</v>
      </c>
      <c r="M102" s="613">
        <f>M63*'2.Hao hut &amp; % chai '!K111</f>
        <v>0</v>
      </c>
      <c r="N102" s="613">
        <f>N63*'2.Hao hut &amp; % chai '!L111</f>
        <v>0</v>
      </c>
      <c r="O102" s="613">
        <f>O63*'2.Hao hut &amp; % chai '!M111</f>
        <v>0</v>
      </c>
      <c r="P102" s="613">
        <f>P63*'2.Hao hut &amp; % chai '!N111</f>
        <v>0</v>
      </c>
      <c r="Q102" s="613">
        <f>Q63*'2.Hao hut &amp; % chai '!O111</f>
        <v>0</v>
      </c>
      <c r="R102" s="613">
        <f>R63*'2.Hao hut &amp; % chai '!P111</f>
        <v>0</v>
      </c>
      <c r="S102" s="613">
        <f>S63*'2.Hao hut &amp; % chai '!Q111</f>
        <v>0</v>
      </c>
      <c r="T102" s="612">
        <f t="shared" ref="T102" si="55">SUM(H102:S102)</f>
        <v>0</v>
      </c>
    </row>
    <row r="103" spans="2:20" x14ac:dyDescent="0.35">
      <c r="B103" s="614">
        <v>2</v>
      </c>
      <c r="C103" s="615" t="s">
        <v>401</v>
      </c>
      <c r="D103" s="615"/>
      <c r="E103" s="615"/>
      <c r="F103" s="615"/>
      <c r="G103" s="616"/>
      <c r="H103" s="617">
        <f>H64*'2.Hao hut &amp; % chai '!F112</f>
        <v>0</v>
      </c>
      <c r="I103" s="617">
        <f>I64*'2.Hao hut &amp; % chai '!G112</f>
        <v>0</v>
      </c>
      <c r="J103" s="617">
        <f>J64*'2.Hao hut &amp; % chai '!H112</f>
        <v>0</v>
      </c>
      <c r="K103" s="617">
        <f>K64*'2.Hao hut &amp; % chai '!I112</f>
        <v>0</v>
      </c>
      <c r="L103" s="617">
        <f>L64*'2.Hao hut &amp; % chai '!J112</f>
        <v>0</v>
      </c>
      <c r="M103" s="617">
        <f>M64*'2.Hao hut &amp; % chai '!K112</f>
        <v>0</v>
      </c>
      <c r="N103" s="617">
        <f>N64*'2.Hao hut &amp; % chai '!L112</f>
        <v>0</v>
      </c>
      <c r="O103" s="617">
        <f>O64*'2.Hao hut &amp; % chai '!M112</f>
        <v>0</v>
      </c>
      <c r="P103" s="617">
        <f>P64*'2.Hao hut &amp; % chai '!N112</f>
        <v>0</v>
      </c>
      <c r="Q103" s="617">
        <f>Q64*'2.Hao hut &amp; % chai '!O112</f>
        <v>0</v>
      </c>
      <c r="R103" s="617">
        <f>R64*'2.Hao hut &amp; % chai '!P112</f>
        <v>0</v>
      </c>
      <c r="S103" s="617">
        <f>S64*'2.Hao hut &amp; % chai '!Q112</f>
        <v>0</v>
      </c>
      <c r="T103" s="616">
        <f t="shared" ref="T103:T116" si="56">SUM(H103:S103)</f>
        <v>0</v>
      </c>
    </row>
    <row r="104" spans="2:20" x14ac:dyDescent="0.35">
      <c r="B104" s="614">
        <v>3</v>
      </c>
      <c r="C104" s="615" t="s">
        <v>42</v>
      </c>
      <c r="D104" s="615"/>
      <c r="E104" s="615"/>
      <c r="F104" s="615"/>
      <c r="G104" s="616"/>
      <c r="H104" s="617">
        <f>H65*'2.Hao hut &amp; % chai '!F113</f>
        <v>0</v>
      </c>
      <c r="I104" s="617">
        <f>I65*'2.Hao hut &amp; % chai '!G113</f>
        <v>0</v>
      </c>
      <c r="J104" s="617">
        <f>J65*'2.Hao hut &amp; % chai '!H113</f>
        <v>0</v>
      </c>
      <c r="K104" s="617">
        <f>K65*'2.Hao hut &amp; % chai '!I113</f>
        <v>0</v>
      </c>
      <c r="L104" s="617">
        <f>L65*'2.Hao hut &amp; % chai '!J113</f>
        <v>0</v>
      </c>
      <c r="M104" s="617">
        <f>M65*'2.Hao hut &amp; % chai '!K113</f>
        <v>0</v>
      </c>
      <c r="N104" s="617">
        <f>N65*'2.Hao hut &amp; % chai '!L113</f>
        <v>0</v>
      </c>
      <c r="O104" s="617">
        <f>O65*'2.Hao hut &amp; % chai '!M113</f>
        <v>0</v>
      </c>
      <c r="P104" s="617">
        <f>P65*'2.Hao hut &amp; % chai '!N113</f>
        <v>0</v>
      </c>
      <c r="Q104" s="617">
        <f>Q65*'2.Hao hut &amp; % chai '!O113</f>
        <v>0</v>
      </c>
      <c r="R104" s="617">
        <f>R65*'2.Hao hut &amp; % chai '!P113</f>
        <v>0</v>
      </c>
      <c r="S104" s="617">
        <f>S65*'2.Hao hut &amp; % chai '!Q113</f>
        <v>0</v>
      </c>
      <c r="T104" s="616">
        <f t="shared" si="56"/>
        <v>0</v>
      </c>
    </row>
    <row r="105" spans="2:20" x14ac:dyDescent="0.35">
      <c r="B105" s="614">
        <v>4</v>
      </c>
      <c r="C105" s="615" t="s">
        <v>39</v>
      </c>
      <c r="D105" s="615"/>
      <c r="E105" s="615"/>
      <c r="F105" s="615"/>
      <c r="G105" s="616"/>
      <c r="H105" s="617">
        <f>H66*'2.Hao hut &amp; % chai '!F114</f>
        <v>0</v>
      </c>
      <c r="I105" s="617">
        <f>I66*'2.Hao hut &amp; % chai '!G114</f>
        <v>0</v>
      </c>
      <c r="J105" s="617">
        <f>J66*'2.Hao hut &amp; % chai '!H114</f>
        <v>0</v>
      </c>
      <c r="K105" s="617">
        <f>K66*'2.Hao hut &amp; % chai '!I114</f>
        <v>0</v>
      </c>
      <c r="L105" s="617">
        <f>L66*'2.Hao hut &amp; % chai '!J114</f>
        <v>0</v>
      </c>
      <c r="M105" s="617">
        <f>M66*'2.Hao hut &amp; % chai '!K114</f>
        <v>0</v>
      </c>
      <c r="N105" s="617">
        <f>N66*'2.Hao hut &amp; % chai '!L114</f>
        <v>0</v>
      </c>
      <c r="O105" s="617">
        <f>O66*'2.Hao hut &amp; % chai '!M114</f>
        <v>0</v>
      </c>
      <c r="P105" s="617">
        <f>P66*'2.Hao hut &amp; % chai '!N114</f>
        <v>0</v>
      </c>
      <c r="Q105" s="617">
        <f>Q66*'2.Hao hut &amp; % chai '!O114</f>
        <v>0</v>
      </c>
      <c r="R105" s="617">
        <f>R66*'2.Hao hut &amp; % chai '!P114</f>
        <v>0</v>
      </c>
      <c r="S105" s="617">
        <f>S66*'2.Hao hut &amp; % chai '!Q114</f>
        <v>0</v>
      </c>
      <c r="T105" s="616">
        <f t="shared" si="56"/>
        <v>0</v>
      </c>
    </row>
    <row r="106" spans="2:20" x14ac:dyDescent="0.35">
      <c r="B106" s="614">
        <v>5</v>
      </c>
      <c r="C106" s="615" t="s">
        <v>32</v>
      </c>
      <c r="D106" s="615"/>
      <c r="E106" s="615"/>
      <c r="F106" s="615"/>
      <c r="G106" s="616"/>
      <c r="H106" s="617">
        <f>H67*'2.Hao hut &amp; % chai '!F115</f>
        <v>0</v>
      </c>
      <c r="I106" s="617">
        <f>I67*'2.Hao hut &amp; % chai '!G115</f>
        <v>0</v>
      </c>
      <c r="J106" s="617">
        <f>J67*'2.Hao hut &amp; % chai '!H115</f>
        <v>0</v>
      </c>
      <c r="K106" s="617">
        <f>K67*'2.Hao hut &amp; % chai '!I115</f>
        <v>0</v>
      </c>
      <c r="L106" s="617">
        <f>L67*'2.Hao hut &amp; % chai '!J115</f>
        <v>0</v>
      </c>
      <c r="M106" s="617">
        <f>M67*'2.Hao hut &amp; % chai '!K115</f>
        <v>0</v>
      </c>
      <c r="N106" s="617">
        <f>N67*'2.Hao hut &amp; % chai '!L115</f>
        <v>0</v>
      </c>
      <c r="O106" s="617">
        <f>O67*'2.Hao hut &amp; % chai '!M115</f>
        <v>0</v>
      </c>
      <c r="P106" s="617">
        <f>P67*'2.Hao hut &amp; % chai '!N115</f>
        <v>0</v>
      </c>
      <c r="Q106" s="617">
        <f>Q67*'2.Hao hut &amp; % chai '!O115</f>
        <v>0</v>
      </c>
      <c r="R106" s="617">
        <f>R67*'2.Hao hut &amp; % chai '!P115</f>
        <v>0</v>
      </c>
      <c r="S106" s="617">
        <f>S67*'2.Hao hut &amp; % chai '!Q115</f>
        <v>0</v>
      </c>
      <c r="T106" s="616">
        <f t="shared" si="56"/>
        <v>0</v>
      </c>
    </row>
    <row r="107" spans="2:20" x14ac:dyDescent="0.35">
      <c r="B107" s="614">
        <v>6</v>
      </c>
      <c r="C107" s="615" t="s">
        <v>36</v>
      </c>
      <c r="D107" s="615"/>
      <c r="E107" s="615"/>
      <c r="F107" s="615"/>
      <c r="G107" s="616"/>
      <c r="H107" s="617">
        <f>H68*'2.Hao hut &amp; % chai '!F116</f>
        <v>0</v>
      </c>
      <c r="I107" s="617">
        <f>I68*'2.Hao hut &amp; % chai '!G116</f>
        <v>0</v>
      </c>
      <c r="J107" s="617">
        <f>J68*'2.Hao hut &amp; % chai '!H116</f>
        <v>0</v>
      </c>
      <c r="K107" s="617">
        <f>K68*'2.Hao hut &amp; % chai '!I116</f>
        <v>0</v>
      </c>
      <c r="L107" s="617">
        <f>L68*'2.Hao hut &amp; % chai '!J116</f>
        <v>0</v>
      </c>
      <c r="M107" s="617">
        <f>M68*'2.Hao hut &amp; % chai '!K116</f>
        <v>0</v>
      </c>
      <c r="N107" s="617">
        <f>N68*'2.Hao hut &amp; % chai '!L116</f>
        <v>0</v>
      </c>
      <c r="O107" s="617">
        <f>O68*'2.Hao hut &amp; % chai '!M116</f>
        <v>0</v>
      </c>
      <c r="P107" s="617">
        <f>P68*'2.Hao hut &amp; % chai '!N116</f>
        <v>0</v>
      </c>
      <c r="Q107" s="617">
        <f>Q68*'2.Hao hut &amp; % chai '!O116</f>
        <v>0</v>
      </c>
      <c r="R107" s="617">
        <f>R68*'2.Hao hut &amp; % chai '!P116</f>
        <v>0</v>
      </c>
      <c r="S107" s="617">
        <f>S68*'2.Hao hut &amp; % chai '!Q116</f>
        <v>0</v>
      </c>
      <c r="T107" s="616">
        <f t="shared" si="56"/>
        <v>0</v>
      </c>
    </row>
    <row r="108" spans="2:20" x14ac:dyDescent="0.35">
      <c r="B108" s="614">
        <v>7</v>
      </c>
      <c r="C108" s="615" t="s">
        <v>34</v>
      </c>
      <c r="D108" s="615"/>
      <c r="E108" s="615"/>
      <c r="F108" s="615"/>
      <c r="G108" s="616"/>
      <c r="H108" s="617">
        <f>H69*'2.Hao hut &amp; % chai '!F117</f>
        <v>0</v>
      </c>
      <c r="I108" s="617">
        <f>I69*'2.Hao hut &amp; % chai '!G117</f>
        <v>0</v>
      </c>
      <c r="J108" s="617">
        <f>J69*'2.Hao hut &amp; % chai '!H117</f>
        <v>0</v>
      </c>
      <c r="K108" s="617">
        <f>K69*'2.Hao hut &amp; % chai '!I117</f>
        <v>0</v>
      </c>
      <c r="L108" s="617">
        <f>L69*'2.Hao hut &amp; % chai '!J117</f>
        <v>0</v>
      </c>
      <c r="M108" s="617">
        <f>M69*'2.Hao hut &amp; % chai '!K117</f>
        <v>0</v>
      </c>
      <c r="N108" s="617">
        <f>N69*'2.Hao hut &amp; % chai '!L117</f>
        <v>0</v>
      </c>
      <c r="O108" s="617">
        <f>O69*'2.Hao hut &amp; % chai '!M117</f>
        <v>0</v>
      </c>
      <c r="P108" s="617">
        <f>P69*'2.Hao hut &amp; % chai '!N117</f>
        <v>0</v>
      </c>
      <c r="Q108" s="617">
        <f>Q69*'2.Hao hut &amp; % chai '!O117</f>
        <v>0</v>
      </c>
      <c r="R108" s="617">
        <f>R69*'2.Hao hut &amp; % chai '!P117</f>
        <v>0</v>
      </c>
      <c r="S108" s="617">
        <f>S69*'2.Hao hut &amp; % chai '!Q117</f>
        <v>0</v>
      </c>
      <c r="T108" s="616">
        <f t="shared" si="56"/>
        <v>0</v>
      </c>
    </row>
    <row r="109" spans="2:20" x14ac:dyDescent="0.35">
      <c r="B109" s="614">
        <v>8</v>
      </c>
      <c r="C109" s="615" t="s">
        <v>33</v>
      </c>
      <c r="D109" s="615"/>
      <c r="E109" s="615"/>
      <c r="F109" s="615"/>
      <c r="G109" s="616"/>
      <c r="H109" s="617">
        <f>H70*'2.Hao hut &amp; % chai '!F118</f>
        <v>0</v>
      </c>
      <c r="I109" s="617">
        <f>I70*'2.Hao hut &amp; % chai '!G118</f>
        <v>0</v>
      </c>
      <c r="J109" s="617">
        <f>J70*'2.Hao hut &amp; % chai '!H118</f>
        <v>0</v>
      </c>
      <c r="K109" s="617">
        <f>K70*'2.Hao hut &amp; % chai '!I118</f>
        <v>0</v>
      </c>
      <c r="L109" s="617">
        <f>L70*'2.Hao hut &amp; % chai '!J118</f>
        <v>0</v>
      </c>
      <c r="M109" s="617">
        <f>M70*'2.Hao hut &amp; % chai '!K118</f>
        <v>0</v>
      </c>
      <c r="N109" s="617">
        <f>N70*'2.Hao hut &amp; % chai '!L118</f>
        <v>0</v>
      </c>
      <c r="O109" s="617">
        <f>O70*'2.Hao hut &amp; % chai '!M118</f>
        <v>0</v>
      </c>
      <c r="P109" s="617">
        <f>P70*'2.Hao hut &amp; % chai '!N118</f>
        <v>0</v>
      </c>
      <c r="Q109" s="617">
        <f>Q70*'2.Hao hut &amp; % chai '!O118</f>
        <v>0</v>
      </c>
      <c r="R109" s="617">
        <f>R70*'2.Hao hut &amp; % chai '!P118</f>
        <v>0</v>
      </c>
      <c r="S109" s="617">
        <f>S70*'2.Hao hut &amp; % chai '!Q118</f>
        <v>0</v>
      </c>
      <c r="T109" s="616">
        <f t="shared" si="56"/>
        <v>0</v>
      </c>
    </row>
    <row r="110" spans="2:20" x14ac:dyDescent="0.35">
      <c r="B110" s="614">
        <v>9</v>
      </c>
      <c r="C110" s="615" t="s">
        <v>37</v>
      </c>
      <c r="D110" s="615"/>
      <c r="E110" s="615"/>
      <c r="F110" s="615"/>
      <c r="G110" s="616"/>
      <c r="H110" s="617">
        <f>H71*'2.Hao hut &amp; % chai '!F119</f>
        <v>0</v>
      </c>
      <c r="I110" s="617">
        <f>I71*'2.Hao hut &amp; % chai '!G119</f>
        <v>0</v>
      </c>
      <c r="J110" s="617">
        <f>J71*'2.Hao hut &amp; % chai '!H119</f>
        <v>0</v>
      </c>
      <c r="K110" s="617">
        <f>K71*'2.Hao hut &amp; % chai '!I119</f>
        <v>0</v>
      </c>
      <c r="L110" s="617">
        <f>L71*'2.Hao hut &amp; % chai '!J119</f>
        <v>0</v>
      </c>
      <c r="M110" s="617">
        <f>M71*'2.Hao hut &amp; % chai '!K119</f>
        <v>0</v>
      </c>
      <c r="N110" s="617">
        <f>N71*'2.Hao hut &amp; % chai '!L119</f>
        <v>0</v>
      </c>
      <c r="O110" s="617">
        <f>O71*'2.Hao hut &amp; % chai '!M119</f>
        <v>0</v>
      </c>
      <c r="P110" s="617">
        <f>P71*'2.Hao hut &amp; % chai '!N119</f>
        <v>0</v>
      </c>
      <c r="Q110" s="617">
        <f>Q71*'2.Hao hut &amp; % chai '!O119</f>
        <v>0</v>
      </c>
      <c r="R110" s="617">
        <f>R71*'2.Hao hut &amp; % chai '!P119</f>
        <v>0</v>
      </c>
      <c r="S110" s="617">
        <f>S71*'2.Hao hut &amp; % chai '!Q119</f>
        <v>0</v>
      </c>
      <c r="T110" s="616">
        <f t="shared" si="56"/>
        <v>0</v>
      </c>
    </row>
    <row r="111" spans="2:20" x14ac:dyDescent="0.35">
      <c r="B111" s="614">
        <v>10</v>
      </c>
      <c r="C111" s="615" t="s">
        <v>38</v>
      </c>
      <c r="D111" s="615"/>
      <c r="E111" s="615"/>
      <c r="F111" s="615"/>
      <c r="G111" s="616"/>
      <c r="H111" s="617">
        <f>H72*'2.Hao hut &amp; % chai '!F120</f>
        <v>0</v>
      </c>
      <c r="I111" s="617">
        <f>I72*'2.Hao hut &amp; % chai '!G120</f>
        <v>0</v>
      </c>
      <c r="J111" s="617">
        <f>J72*'2.Hao hut &amp; % chai '!H120</f>
        <v>0</v>
      </c>
      <c r="K111" s="617">
        <f>K72*'2.Hao hut &amp; % chai '!I120</f>
        <v>0</v>
      </c>
      <c r="L111" s="617">
        <f>L72*'2.Hao hut &amp; % chai '!J120</f>
        <v>0</v>
      </c>
      <c r="M111" s="617">
        <f>M72*'2.Hao hut &amp; % chai '!K120</f>
        <v>0</v>
      </c>
      <c r="N111" s="617">
        <f>N72*'2.Hao hut &amp; % chai '!L120</f>
        <v>0</v>
      </c>
      <c r="O111" s="617">
        <f>O72*'2.Hao hut &amp; % chai '!M120</f>
        <v>0</v>
      </c>
      <c r="P111" s="617">
        <f>P72*'2.Hao hut &amp; % chai '!N120</f>
        <v>0</v>
      </c>
      <c r="Q111" s="617">
        <f>Q72*'2.Hao hut &amp; % chai '!O120</f>
        <v>0</v>
      </c>
      <c r="R111" s="617">
        <f>R72*'2.Hao hut &amp; % chai '!P120</f>
        <v>0</v>
      </c>
      <c r="S111" s="617">
        <f>S72*'2.Hao hut &amp; % chai '!Q120</f>
        <v>0</v>
      </c>
      <c r="T111" s="616">
        <f t="shared" si="56"/>
        <v>0</v>
      </c>
    </row>
    <row r="112" spans="2:20" x14ac:dyDescent="0.35">
      <c r="B112" s="614">
        <v>11</v>
      </c>
      <c r="C112" s="615" t="s">
        <v>402</v>
      </c>
      <c r="D112" s="615"/>
      <c r="E112" s="615"/>
      <c r="F112" s="615"/>
      <c r="G112" s="616"/>
      <c r="H112" s="617">
        <f>H73*'2.Hao hut &amp; % chai '!F121</f>
        <v>0</v>
      </c>
      <c r="I112" s="617">
        <f>I73*'2.Hao hut &amp; % chai '!G121</f>
        <v>0</v>
      </c>
      <c r="J112" s="617">
        <f>J73*'2.Hao hut &amp; % chai '!H121</f>
        <v>0</v>
      </c>
      <c r="K112" s="617">
        <f>K73*'2.Hao hut &amp; % chai '!I121</f>
        <v>0</v>
      </c>
      <c r="L112" s="617">
        <f>L73*'2.Hao hut &amp; % chai '!J121</f>
        <v>0</v>
      </c>
      <c r="M112" s="617">
        <f>M73*'2.Hao hut &amp; % chai '!K121</f>
        <v>0</v>
      </c>
      <c r="N112" s="617">
        <f>N73*'2.Hao hut &amp; % chai '!L121</f>
        <v>0</v>
      </c>
      <c r="O112" s="617">
        <f>O73*'2.Hao hut &amp; % chai '!M121</f>
        <v>0</v>
      </c>
      <c r="P112" s="617">
        <f>P73*'2.Hao hut &amp; % chai '!N121</f>
        <v>0</v>
      </c>
      <c r="Q112" s="617">
        <f>Q73*'2.Hao hut &amp; % chai '!O121</f>
        <v>0</v>
      </c>
      <c r="R112" s="617">
        <f>R73*'2.Hao hut &amp; % chai '!P121</f>
        <v>0</v>
      </c>
      <c r="S112" s="617">
        <f>S73*'2.Hao hut &amp; % chai '!Q121</f>
        <v>0</v>
      </c>
      <c r="T112" s="616">
        <f t="shared" si="56"/>
        <v>0</v>
      </c>
    </row>
    <row r="113" spans="2:20" x14ac:dyDescent="0.35">
      <c r="B113" s="614">
        <v>12</v>
      </c>
      <c r="C113" s="615" t="s">
        <v>311</v>
      </c>
      <c r="D113" s="615"/>
      <c r="E113" s="615"/>
      <c r="F113" s="615"/>
      <c r="G113" s="616"/>
      <c r="H113" s="617">
        <f>H74*'2.Hao hut &amp; % chai '!F122</f>
        <v>0</v>
      </c>
      <c r="I113" s="617">
        <f>I74*'2.Hao hut &amp; % chai '!G122</f>
        <v>0</v>
      </c>
      <c r="J113" s="617">
        <f>J74*'2.Hao hut &amp; % chai '!H122</f>
        <v>0</v>
      </c>
      <c r="K113" s="617">
        <f>K74*'2.Hao hut &amp; % chai '!I122</f>
        <v>0</v>
      </c>
      <c r="L113" s="617">
        <f>L74*'2.Hao hut &amp; % chai '!J122</f>
        <v>0</v>
      </c>
      <c r="M113" s="617">
        <f>M74*'2.Hao hut &amp; % chai '!K122</f>
        <v>0</v>
      </c>
      <c r="N113" s="617">
        <f>N74*'2.Hao hut &amp; % chai '!L122</f>
        <v>0</v>
      </c>
      <c r="O113" s="617">
        <f>O74*'2.Hao hut &amp; % chai '!M122</f>
        <v>0</v>
      </c>
      <c r="P113" s="617">
        <f>P74*'2.Hao hut &amp; % chai '!N122</f>
        <v>0</v>
      </c>
      <c r="Q113" s="617">
        <f>Q74*'2.Hao hut &amp; % chai '!O122</f>
        <v>0</v>
      </c>
      <c r="R113" s="617">
        <f>R74*'2.Hao hut &amp; % chai '!P122</f>
        <v>0</v>
      </c>
      <c r="S113" s="617">
        <f>S74*'2.Hao hut &amp; % chai '!Q122</f>
        <v>0</v>
      </c>
      <c r="T113" s="616">
        <f t="shared" si="56"/>
        <v>0</v>
      </c>
    </row>
    <row r="114" spans="2:20" x14ac:dyDescent="0.35">
      <c r="B114" s="614">
        <v>13</v>
      </c>
      <c r="C114" s="615" t="s">
        <v>403</v>
      </c>
      <c r="D114" s="615"/>
      <c r="E114" s="615"/>
      <c r="F114" s="615"/>
      <c r="G114" s="616"/>
      <c r="H114" s="617">
        <f>H75*'2.Hao hut &amp; % chai '!F123</f>
        <v>0</v>
      </c>
      <c r="I114" s="617">
        <f>I75*'2.Hao hut &amp; % chai '!G123</f>
        <v>0</v>
      </c>
      <c r="J114" s="617">
        <f>J75*'2.Hao hut &amp; % chai '!H123</f>
        <v>0</v>
      </c>
      <c r="K114" s="617">
        <f>K75*'2.Hao hut &amp; % chai '!I123</f>
        <v>0</v>
      </c>
      <c r="L114" s="617">
        <f>L75*'2.Hao hut &amp; % chai '!J123</f>
        <v>0</v>
      </c>
      <c r="M114" s="617">
        <f>M75*'2.Hao hut &amp; % chai '!K123</f>
        <v>0</v>
      </c>
      <c r="N114" s="617">
        <f>N75*'2.Hao hut &amp; % chai '!L123</f>
        <v>0</v>
      </c>
      <c r="O114" s="617">
        <f>O75*'2.Hao hut &amp; % chai '!M123</f>
        <v>0</v>
      </c>
      <c r="P114" s="617">
        <f>P75*'2.Hao hut &amp; % chai '!N123</f>
        <v>0</v>
      </c>
      <c r="Q114" s="617">
        <f>Q75*'2.Hao hut &amp; % chai '!O123</f>
        <v>0</v>
      </c>
      <c r="R114" s="617">
        <f>R75*'2.Hao hut &amp; % chai '!P123</f>
        <v>0</v>
      </c>
      <c r="S114" s="617">
        <f>S75*'2.Hao hut &amp; % chai '!Q123</f>
        <v>0</v>
      </c>
      <c r="T114" s="616">
        <f t="shared" si="56"/>
        <v>0</v>
      </c>
    </row>
    <row r="115" spans="2:20" x14ac:dyDescent="0.35">
      <c r="B115" s="614">
        <v>14</v>
      </c>
      <c r="C115" s="615" t="s">
        <v>404</v>
      </c>
      <c r="D115" s="615"/>
      <c r="E115" s="615"/>
      <c r="F115" s="615"/>
      <c r="G115" s="616"/>
      <c r="H115" s="617">
        <f>H76*'2.Hao hut &amp; % chai '!F124</f>
        <v>0</v>
      </c>
      <c r="I115" s="617">
        <f>I76*'2.Hao hut &amp; % chai '!G124</f>
        <v>0</v>
      </c>
      <c r="J115" s="617">
        <f>J76*'2.Hao hut &amp; % chai '!H124</f>
        <v>0</v>
      </c>
      <c r="K115" s="617">
        <f>K76*'2.Hao hut &amp; % chai '!I124</f>
        <v>0</v>
      </c>
      <c r="L115" s="617">
        <f>L76*'2.Hao hut &amp; % chai '!J124</f>
        <v>0</v>
      </c>
      <c r="M115" s="617">
        <f>M76*'2.Hao hut &amp; % chai '!K124</f>
        <v>0</v>
      </c>
      <c r="N115" s="617">
        <f>N76*'2.Hao hut &amp; % chai '!L124</f>
        <v>0</v>
      </c>
      <c r="O115" s="617">
        <f>O76*'2.Hao hut &amp; % chai '!M124</f>
        <v>0</v>
      </c>
      <c r="P115" s="617">
        <f>P76*'2.Hao hut &amp; % chai '!N124</f>
        <v>0</v>
      </c>
      <c r="Q115" s="617">
        <f>Q76*'2.Hao hut &amp; % chai '!O124</f>
        <v>0</v>
      </c>
      <c r="R115" s="617">
        <f>R76*'2.Hao hut &amp; % chai '!P124</f>
        <v>0</v>
      </c>
      <c r="S115" s="617">
        <f>S76*'2.Hao hut &amp; % chai '!Q124</f>
        <v>0</v>
      </c>
      <c r="T115" s="616">
        <f t="shared" si="56"/>
        <v>0</v>
      </c>
    </row>
    <row r="116" spans="2:20" x14ac:dyDescent="0.35">
      <c r="B116" s="618">
        <v>15</v>
      </c>
      <c r="C116" s="619" t="s">
        <v>25</v>
      </c>
      <c r="D116" s="619"/>
      <c r="E116" s="619"/>
      <c r="F116" s="619"/>
      <c r="G116" s="620"/>
      <c r="H116" s="621">
        <f>H77*'2.Hao hut &amp; % chai '!F125</f>
        <v>0</v>
      </c>
      <c r="I116" s="621">
        <f>I77*'2.Hao hut &amp; % chai '!G125</f>
        <v>0</v>
      </c>
      <c r="J116" s="621">
        <f>J77*'2.Hao hut &amp; % chai '!H125</f>
        <v>0</v>
      </c>
      <c r="K116" s="621">
        <f>K77*'2.Hao hut &amp; % chai '!I125</f>
        <v>0</v>
      </c>
      <c r="L116" s="621">
        <f>L77*'2.Hao hut &amp; % chai '!J125</f>
        <v>0</v>
      </c>
      <c r="M116" s="621">
        <f>M77*'2.Hao hut &amp; % chai '!K125</f>
        <v>0</v>
      </c>
      <c r="N116" s="621">
        <f>N77*'2.Hao hut &amp; % chai '!L125</f>
        <v>0</v>
      </c>
      <c r="O116" s="621">
        <f>O77*'2.Hao hut &amp; % chai '!M125</f>
        <v>0</v>
      </c>
      <c r="P116" s="621">
        <f>P77*'2.Hao hut &amp; % chai '!N125</f>
        <v>0</v>
      </c>
      <c r="Q116" s="621">
        <f>Q77*'2.Hao hut &amp; % chai '!O125</f>
        <v>0</v>
      </c>
      <c r="R116" s="621">
        <f>R77*'2.Hao hut &amp; % chai '!P125</f>
        <v>0</v>
      </c>
      <c r="S116" s="621">
        <f>S77*'2.Hao hut &amp; % chai '!Q125</f>
        <v>0</v>
      </c>
      <c r="T116" s="620">
        <f t="shared" si="56"/>
        <v>0</v>
      </c>
    </row>
    <row r="117" spans="2:20" x14ac:dyDescent="0.35">
      <c r="B117" s="23"/>
      <c r="C117" s="24" t="s">
        <v>99</v>
      </c>
      <c r="D117" s="369"/>
      <c r="E117" s="369"/>
      <c r="F117" s="369"/>
      <c r="G117" s="29"/>
      <c r="H117" s="29">
        <f>SUM(H102:H116)</f>
        <v>0</v>
      </c>
      <c r="I117" s="29">
        <f>SUM(I102:I116)</f>
        <v>0</v>
      </c>
      <c r="J117" s="29">
        <f t="shared" ref="J117:S117" si="57">SUM(J102:J116)</f>
        <v>0</v>
      </c>
      <c r="K117" s="29">
        <f t="shared" si="57"/>
        <v>0</v>
      </c>
      <c r="L117" s="29">
        <f t="shared" si="57"/>
        <v>0</v>
      </c>
      <c r="M117" s="29">
        <f t="shared" si="57"/>
        <v>0</v>
      </c>
      <c r="N117" s="29">
        <f t="shared" si="57"/>
        <v>0</v>
      </c>
      <c r="O117" s="29">
        <f t="shared" si="57"/>
        <v>0</v>
      </c>
      <c r="P117" s="29">
        <f t="shared" si="57"/>
        <v>0</v>
      </c>
      <c r="Q117" s="29">
        <f t="shared" si="57"/>
        <v>0</v>
      </c>
      <c r="R117" s="29">
        <f t="shared" si="57"/>
        <v>0</v>
      </c>
      <c r="S117" s="29">
        <f t="shared" si="57"/>
        <v>0</v>
      </c>
      <c r="T117" s="29">
        <f>SUM(T102:T116)</f>
        <v>0</v>
      </c>
    </row>
    <row r="119" spans="2:20" ht="23.5" customHeight="1" x14ac:dyDescent="0.35">
      <c r="B119" s="423" t="s">
        <v>1593</v>
      </c>
    </row>
    <row r="120" spans="2:20" ht="25.5" customHeight="1" x14ac:dyDescent="0.35">
      <c r="B120" s="141" t="s">
        <v>0</v>
      </c>
      <c r="C120" s="141" t="s">
        <v>81</v>
      </c>
      <c r="D120" s="397" t="s">
        <v>11</v>
      </c>
      <c r="E120" s="397" t="s">
        <v>1943</v>
      </c>
      <c r="F120" s="397" t="s">
        <v>1942</v>
      </c>
      <c r="G120" s="7" t="s">
        <v>405</v>
      </c>
      <c r="H120" s="7" t="s">
        <v>56</v>
      </c>
      <c r="I120" s="7" t="s">
        <v>57</v>
      </c>
      <c r="J120" s="7" t="s">
        <v>58</v>
      </c>
      <c r="K120" s="7" t="s">
        <v>59</v>
      </c>
      <c r="L120" s="7" t="s">
        <v>60</v>
      </c>
      <c r="M120" s="7" t="s">
        <v>61</v>
      </c>
      <c r="N120" s="7" t="s">
        <v>62</v>
      </c>
      <c r="O120" s="7" t="s">
        <v>63</v>
      </c>
      <c r="P120" s="7" t="s">
        <v>64</v>
      </c>
      <c r="Q120" s="7" t="s">
        <v>65</v>
      </c>
      <c r="R120" s="7" t="s">
        <v>66</v>
      </c>
      <c r="S120" s="7" t="s">
        <v>67</v>
      </c>
      <c r="T120" s="7" t="s">
        <v>2246</v>
      </c>
    </row>
    <row r="121" spans="2:20" x14ac:dyDescent="0.35">
      <c r="B121" s="610">
        <v>1</v>
      </c>
      <c r="C121" s="611" t="s">
        <v>406</v>
      </c>
      <c r="D121" s="611"/>
      <c r="E121" s="611"/>
      <c r="F121" s="611"/>
      <c r="G121" s="612"/>
      <c r="H121" s="613">
        <f>H102*(1-'2.Hao hut &amp; % chai '!F130)</f>
        <v>0</v>
      </c>
      <c r="I121" s="613">
        <f>I102*(1-'2.Hao hut &amp; % chai '!G130)</f>
        <v>0</v>
      </c>
      <c r="J121" s="613">
        <f>J102*(1-'2.Hao hut &amp; % chai '!H130)</f>
        <v>0</v>
      </c>
      <c r="K121" s="613">
        <f>K102*(1-'2.Hao hut &amp; % chai '!I130)</f>
        <v>0</v>
      </c>
      <c r="L121" s="613">
        <f>L102*(1-'2.Hao hut &amp; % chai '!J130)</f>
        <v>0</v>
      </c>
      <c r="M121" s="613">
        <f>M102*(1-'2.Hao hut &amp; % chai '!K130)</f>
        <v>0</v>
      </c>
      <c r="N121" s="613">
        <f>N102*(1-'2.Hao hut &amp; % chai '!L130)</f>
        <v>0</v>
      </c>
      <c r="O121" s="613">
        <f>O102*(1-'2.Hao hut &amp; % chai '!M130)</f>
        <v>0</v>
      </c>
      <c r="P121" s="613">
        <f>P102*(1-'2.Hao hut &amp; % chai '!N130)</f>
        <v>0</v>
      </c>
      <c r="Q121" s="613">
        <f>Q102*(1-'2.Hao hut &amp; % chai '!O130)</f>
        <v>0</v>
      </c>
      <c r="R121" s="613">
        <f>R102*(1-'2.Hao hut &amp; % chai '!P130)</f>
        <v>0</v>
      </c>
      <c r="S121" s="613">
        <f>S102*(1-'2.Hao hut &amp; % chai '!Q130)</f>
        <v>0</v>
      </c>
      <c r="T121" s="612">
        <f t="shared" ref="T121:T136" si="58">SUM(H121:S121)</f>
        <v>0</v>
      </c>
    </row>
    <row r="122" spans="2:20" x14ac:dyDescent="0.35">
      <c r="B122" s="614">
        <v>2</v>
      </c>
      <c r="C122" s="615" t="s">
        <v>407</v>
      </c>
      <c r="D122" s="615"/>
      <c r="E122" s="615"/>
      <c r="F122" s="615"/>
      <c r="G122" s="616"/>
      <c r="H122" s="617">
        <f>H103*(1-'2.Hao hut &amp; % chai '!F131)</f>
        <v>0</v>
      </c>
      <c r="I122" s="617">
        <f>I103*(1-'2.Hao hut &amp; % chai '!G131)</f>
        <v>0</v>
      </c>
      <c r="J122" s="617">
        <f>J103*(1-'2.Hao hut &amp; % chai '!H131)</f>
        <v>0</v>
      </c>
      <c r="K122" s="617">
        <f>K103*(1-'2.Hao hut &amp; % chai '!I131)</f>
        <v>0</v>
      </c>
      <c r="L122" s="617">
        <f>L103*(1-'2.Hao hut &amp; % chai '!J131)</f>
        <v>0</v>
      </c>
      <c r="M122" s="617">
        <f>M103*(1-'2.Hao hut &amp; % chai '!K131)</f>
        <v>0</v>
      </c>
      <c r="N122" s="617">
        <f>N103*(1-'2.Hao hut &amp; % chai '!L131)</f>
        <v>0</v>
      </c>
      <c r="O122" s="617">
        <f>O103*(1-'2.Hao hut &amp; % chai '!M131)</f>
        <v>0</v>
      </c>
      <c r="P122" s="617">
        <f>P103*(1-'2.Hao hut &amp; % chai '!N131)</f>
        <v>0</v>
      </c>
      <c r="Q122" s="617">
        <f>Q103*(1-'2.Hao hut &amp; % chai '!O131)</f>
        <v>0</v>
      </c>
      <c r="R122" s="617">
        <f>R103*(1-'2.Hao hut &amp; % chai '!P131)</f>
        <v>0</v>
      </c>
      <c r="S122" s="617">
        <f>S103*(1-'2.Hao hut &amp; % chai '!Q131)</f>
        <v>0</v>
      </c>
      <c r="T122" s="616">
        <f t="shared" si="58"/>
        <v>0</v>
      </c>
    </row>
    <row r="123" spans="2:20" x14ac:dyDescent="0.35">
      <c r="B123" s="614">
        <v>3</v>
      </c>
      <c r="C123" s="615" t="s">
        <v>302</v>
      </c>
      <c r="D123" s="615"/>
      <c r="E123" s="615"/>
      <c r="F123" s="615"/>
      <c r="G123" s="616"/>
      <c r="H123" s="617">
        <f>H104*(1-'2.Hao hut &amp; % chai '!F132)</f>
        <v>0</v>
      </c>
      <c r="I123" s="617">
        <f>I104*(1-'2.Hao hut &amp; % chai '!G132)</f>
        <v>0</v>
      </c>
      <c r="J123" s="617">
        <f>J104*(1-'2.Hao hut &amp; % chai '!H132)</f>
        <v>0</v>
      </c>
      <c r="K123" s="617">
        <f>K104*(1-'2.Hao hut &amp; % chai '!I132)</f>
        <v>0</v>
      </c>
      <c r="L123" s="617">
        <f>L104*(1-'2.Hao hut &amp; % chai '!J132)</f>
        <v>0</v>
      </c>
      <c r="M123" s="617">
        <f>M104*(1-'2.Hao hut &amp; % chai '!K132)</f>
        <v>0</v>
      </c>
      <c r="N123" s="617">
        <f>N104*(1-'2.Hao hut &amp; % chai '!L132)</f>
        <v>0</v>
      </c>
      <c r="O123" s="617">
        <f>O104*(1-'2.Hao hut &amp; % chai '!M132)</f>
        <v>0</v>
      </c>
      <c r="P123" s="617">
        <f>P104*(1-'2.Hao hut &amp; % chai '!N132)</f>
        <v>0</v>
      </c>
      <c r="Q123" s="617">
        <f>Q104*(1-'2.Hao hut &amp; % chai '!O132)</f>
        <v>0</v>
      </c>
      <c r="R123" s="617">
        <f>R104*(1-'2.Hao hut &amp; % chai '!P132)</f>
        <v>0</v>
      </c>
      <c r="S123" s="617">
        <f>S104*(1-'2.Hao hut &amp; % chai '!Q132)</f>
        <v>0</v>
      </c>
      <c r="T123" s="616">
        <f t="shared" si="58"/>
        <v>0</v>
      </c>
    </row>
    <row r="124" spans="2:20" x14ac:dyDescent="0.35">
      <c r="B124" s="614">
        <v>4</v>
      </c>
      <c r="C124" s="615" t="s">
        <v>312</v>
      </c>
      <c r="D124" s="615"/>
      <c r="E124" s="615"/>
      <c r="F124" s="615"/>
      <c r="G124" s="616"/>
      <c r="H124" s="617">
        <f>H105*(1-'2.Hao hut &amp; % chai '!F133)</f>
        <v>0</v>
      </c>
      <c r="I124" s="617">
        <f>I105*(1-'2.Hao hut &amp; % chai '!G133)</f>
        <v>0</v>
      </c>
      <c r="J124" s="617">
        <f>J105*(1-'2.Hao hut &amp; % chai '!H133)</f>
        <v>0</v>
      </c>
      <c r="K124" s="617">
        <f>K105*(1-'2.Hao hut &amp; % chai '!I133)</f>
        <v>0</v>
      </c>
      <c r="L124" s="617">
        <f>L105*(1-'2.Hao hut &amp; % chai '!J133)</f>
        <v>0</v>
      </c>
      <c r="M124" s="617">
        <f>M105*(1-'2.Hao hut &amp; % chai '!K133)</f>
        <v>0</v>
      </c>
      <c r="N124" s="617">
        <f>N105*(1-'2.Hao hut &amp; % chai '!L133)</f>
        <v>0</v>
      </c>
      <c r="O124" s="617">
        <f>O105*(1-'2.Hao hut &amp; % chai '!M133)</f>
        <v>0</v>
      </c>
      <c r="P124" s="617">
        <f>P105*(1-'2.Hao hut &amp; % chai '!N133)</f>
        <v>0</v>
      </c>
      <c r="Q124" s="617">
        <f>Q105*(1-'2.Hao hut &amp; % chai '!O133)</f>
        <v>0</v>
      </c>
      <c r="R124" s="617">
        <f>R105*(1-'2.Hao hut &amp; % chai '!P133)</f>
        <v>0</v>
      </c>
      <c r="S124" s="617">
        <f>S105*(1-'2.Hao hut &amp; % chai '!Q133)</f>
        <v>0</v>
      </c>
      <c r="T124" s="616">
        <f t="shared" si="58"/>
        <v>0</v>
      </c>
    </row>
    <row r="125" spans="2:20" x14ac:dyDescent="0.35">
      <c r="B125" s="614">
        <v>5</v>
      </c>
      <c r="C125" s="615" t="s">
        <v>55</v>
      </c>
      <c r="D125" s="615"/>
      <c r="E125" s="615"/>
      <c r="F125" s="615"/>
      <c r="G125" s="616"/>
      <c r="H125" s="617">
        <f>H106*(1-'2.Hao hut &amp; % chai '!F134)</f>
        <v>0</v>
      </c>
      <c r="I125" s="617">
        <f>I106*(1-'2.Hao hut &amp; % chai '!G134)</f>
        <v>0</v>
      </c>
      <c r="J125" s="617">
        <f>J106*(1-'2.Hao hut &amp; % chai '!H134)</f>
        <v>0</v>
      </c>
      <c r="K125" s="617">
        <f>K106*(1-'2.Hao hut &amp; % chai '!I134)</f>
        <v>0</v>
      </c>
      <c r="L125" s="617">
        <f>L106*(1-'2.Hao hut &amp; % chai '!J134)</f>
        <v>0</v>
      </c>
      <c r="M125" s="617">
        <f>M106*(1-'2.Hao hut &amp; % chai '!K134)</f>
        <v>0</v>
      </c>
      <c r="N125" s="617">
        <f>N106*(1-'2.Hao hut &amp; % chai '!L134)</f>
        <v>0</v>
      </c>
      <c r="O125" s="617">
        <f>O106*(1-'2.Hao hut &amp; % chai '!M134)</f>
        <v>0</v>
      </c>
      <c r="P125" s="617">
        <f>P106*(1-'2.Hao hut &amp; % chai '!N134)</f>
        <v>0</v>
      </c>
      <c r="Q125" s="617">
        <f>Q106*(1-'2.Hao hut &amp; % chai '!O134)</f>
        <v>0</v>
      </c>
      <c r="R125" s="617">
        <f>R106*(1-'2.Hao hut &amp; % chai '!P134)</f>
        <v>0</v>
      </c>
      <c r="S125" s="617">
        <f>S106*(1-'2.Hao hut &amp; % chai '!Q134)</f>
        <v>0</v>
      </c>
      <c r="T125" s="616">
        <f t="shared" si="58"/>
        <v>0</v>
      </c>
    </row>
    <row r="126" spans="2:20" x14ac:dyDescent="0.35">
      <c r="B126" s="614">
        <v>6</v>
      </c>
      <c r="C126" s="615" t="s">
        <v>313</v>
      </c>
      <c r="D126" s="615"/>
      <c r="E126" s="615"/>
      <c r="F126" s="615"/>
      <c r="G126" s="616"/>
      <c r="H126" s="617">
        <f>H107*(1-'2.Hao hut &amp; % chai '!F135)</f>
        <v>0</v>
      </c>
      <c r="I126" s="617">
        <f>I107*(1-'2.Hao hut &amp; % chai '!G135)</f>
        <v>0</v>
      </c>
      <c r="J126" s="617">
        <f>J107*(1-'2.Hao hut &amp; % chai '!H135)</f>
        <v>0</v>
      </c>
      <c r="K126" s="617">
        <f>K107*(1-'2.Hao hut &amp; % chai '!I135)</f>
        <v>0</v>
      </c>
      <c r="L126" s="617">
        <f>L107*(1-'2.Hao hut &amp; % chai '!J135)</f>
        <v>0</v>
      </c>
      <c r="M126" s="617">
        <f>M107*(1-'2.Hao hut &amp; % chai '!K135)</f>
        <v>0</v>
      </c>
      <c r="N126" s="617">
        <f>N107*(1-'2.Hao hut &amp; % chai '!L135)</f>
        <v>0</v>
      </c>
      <c r="O126" s="617">
        <f>O107*(1-'2.Hao hut &amp; % chai '!M135)</f>
        <v>0</v>
      </c>
      <c r="P126" s="617">
        <f>P107*(1-'2.Hao hut &amp; % chai '!N135)</f>
        <v>0</v>
      </c>
      <c r="Q126" s="617">
        <f>Q107*(1-'2.Hao hut &amp; % chai '!O135)</f>
        <v>0</v>
      </c>
      <c r="R126" s="617">
        <f>R107*(1-'2.Hao hut &amp; % chai '!P135)</f>
        <v>0</v>
      </c>
      <c r="S126" s="617">
        <f>S107*(1-'2.Hao hut &amp; % chai '!Q135)</f>
        <v>0</v>
      </c>
      <c r="T126" s="616">
        <f t="shared" si="58"/>
        <v>0</v>
      </c>
    </row>
    <row r="127" spans="2:20" x14ac:dyDescent="0.35">
      <c r="B127" s="614">
        <v>7</v>
      </c>
      <c r="C127" s="615" t="s">
        <v>53</v>
      </c>
      <c r="D127" s="615"/>
      <c r="E127" s="615"/>
      <c r="F127" s="615"/>
      <c r="G127" s="616"/>
      <c r="H127" s="617">
        <f>H108*(1-'2.Hao hut &amp; % chai '!F136)</f>
        <v>0</v>
      </c>
      <c r="I127" s="617">
        <f>I108*(1-'2.Hao hut &amp; % chai '!G136)</f>
        <v>0</v>
      </c>
      <c r="J127" s="617">
        <f>J108*(1-'2.Hao hut &amp; % chai '!H136)</f>
        <v>0</v>
      </c>
      <c r="K127" s="617">
        <f>K108*(1-'2.Hao hut &amp; % chai '!I136)</f>
        <v>0</v>
      </c>
      <c r="L127" s="617">
        <f>L108*(1-'2.Hao hut &amp; % chai '!J136)</f>
        <v>0</v>
      </c>
      <c r="M127" s="617">
        <f>M108*(1-'2.Hao hut &amp; % chai '!K136)</f>
        <v>0</v>
      </c>
      <c r="N127" s="617">
        <f>N108*(1-'2.Hao hut &amp; % chai '!L136)</f>
        <v>0</v>
      </c>
      <c r="O127" s="617">
        <f>O108*(1-'2.Hao hut &amp; % chai '!M136)</f>
        <v>0</v>
      </c>
      <c r="P127" s="617">
        <f>P108*(1-'2.Hao hut &amp; % chai '!N136)</f>
        <v>0</v>
      </c>
      <c r="Q127" s="617">
        <f>Q108*(1-'2.Hao hut &amp; % chai '!O136)</f>
        <v>0</v>
      </c>
      <c r="R127" s="617">
        <f>R108*(1-'2.Hao hut &amp; % chai '!P136)</f>
        <v>0</v>
      </c>
      <c r="S127" s="617">
        <f>S108*(1-'2.Hao hut &amp; % chai '!Q136)</f>
        <v>0</v>
      </c>
      <c r="T127" s="616">
        <f t="shared" si="58"/>
        <v>0</v>
      </c>
    </row>
    <row r="128" spans="2:20" x14ac:dyDescent="0.35">
      <c r="B128" s="614">
        <v>8</v>
      </c>
      <c r="C128" s="615" t="s">
        <v>54</v>
      </c>
      <c r="D128" s="615"/>
      <c r="E128" s="615"/>
      <c r="F128" s="615"/>
      <c r="G128" s="616"/>
      <c r="H128" s="617">
        <f>H109*(1-'2.Hao hut &amp; % chai '!F137)</f>
        <v>0</v>
      </c>
      <c r="I128" s="617">
        <f>I109*(1-'2.Hao hut &amp; % chai '!G137)</f>
        <v>0</v>
      </c>
      <c r="J128" s="617">
        <f>J109*(1-'2.Hao hut &amp; % chai '!H137)</f>
        <v>0</v>
      </c>
      <c r="K128" s="617">
        <f>K109*(1-'2.Hao hut &amp; % chai '!I137)</f>
        <v>0</v>
      </c>
      <c r="L128" s="617">
        <f>L109*(1-'2.Hao hut &amp; % chai '!J137)</f>
        <v>0</v>
      </c>
      <c r="M128" s="617">
        <f>M109*(1-'2.Hao hut &amp; % chai '!K137)</f>
        <v>0</v>
      </c>
      <c r="N128" s="617">
        <f>N109*(1-'2.Hao hut &amp; % chai '!L137)</f>
        <v>0</v>
      </c>
      <c r="O128" s="617">
        <f>O109*(1-'2.Hao hut &amp; % chai '!M137)</f>
        <v>0</v>
      </c>
      <c r="P128" s="617">
        <f>P109*(1-'2.Hao hut &amp; % chai '!N137)</f>
        <v>0</v>
      </c>
      <c r="Q128" s="617">
        <f>Q109*(1-'2.Hao hut &amp; % chai '!O137)</f>
        <v>0</v>
      </c>
      <c r="R128" s="617">
        <f>R109*(1-'2.Hao hut &amp; % chai '!P137)</f>
        <v>0</v>
      </c>
      <c r="S128" s="617">
        <f>S109*(1-'2.Hao hut &amp; % chai '!Q137)</f>
        <v>0</v>
      </c>
      <c r="T128" s="616">
        <f t="shared" si="58"/>
        <v>0</v>
      </c>
    </row>
    <row r="129" spans="2:20" x14ac:dyDescent="0.35">
      <c r="B129" s="614">
        <v>9</v>
      </c>
      <c r="C129" s="615" t="s">
        <v>408</v>
      </c>
      <c r="D129" s="615"/>
      <c r="E129" s="615"/>
      <c r="F129" s="615"/>
      <c r="G129" s="616"/>
      <c r="H129" s="617">
        <f>H110*(1-'2.Hao hut &amp; % chai '!F138)</f>
        <v>0</v>
      </c>
      <c r="I129" s="617">
        <f>I110*(1-'2.Hao hut &amp; % chai '!G138)</f>
        <v>0</v>
      </c>
      <c r="J129" s="617">
        <f>J110*(1-'2.Hao hut &amp; % chai '!H138)</f>
        <v>0</v>
      </c>
      <c r="K129" s="617">
        <f>K110*(1-'2.Hao hut &amp; % chai '!I138)</f>
        <v>0</v>
      </c>
      <c r="L129" s="617">
        <f>L110*(1-'2.Hao hut &amp; % chai '!J138)</f>
        <v>0</v>
      </c>
      <c r="M129" s="617">
        <f>M110*(1-'2.Hao hut &amp; % chai '!K138)</f>
        <v>0</v>
      </c>
      <c r="N129" s="617">
        <f>N110*(1-'2.Hao hut &amp; % chai '!L138)</f>
        <v>0</v>
      </c>
      <c r="O129" s="617">
        <f>O110*(1-'2.Hao hut &amp; % chai '!M138)</f>
        <v>0</v>
      </c>
      <c r="P129" s="617">
        <f>P110*(1-'2.Hao hut &amp; % chai '!N138)</f>
        <v>0</v>
      </c>
      <c r="Q129" s="617">
        <f>Q110*(1-'2.Hao hut &amp; % chai '!O138)</f>
        <v>0</v>
      </c>
      <c r="R129" s="617">
        <f>R110*(1-'2.Hao hut &amp; % chai '!P138)</f>
        <v>0</v>
      </c>
      <c r="S129" s="617">
        <f>S110*(1-'2.Hao hut &amp; % chai '!Q138)</f>
        <v>0</v>
      </c>
      <c r="T129" s="616">
        <f t="shared" si="58"/>
        <v>0</v>
      </c>
    </row>
    <row r="130" spans="2:20" x14ac:dyDescent="0.35">
      <c r="B130" s="614">
        <v>10</v>
      </c>
      <c r="C130" s="615" t="s">
        <v>303</v>
      </c>
      <c r="D130" s="615"/>
      <c r="E130" s="615"/>
      <c r="F130" s="615"/>
      <c r="G130" s="616"/>
      <c r="H130" s="617">
        <f>H111*(1-'2.Hao hut &amp; % chai '!F139)</f>
        <v>0</v>
      </c>
      <c r="I130" s="617">
        <f>I111*(1-'2.Hao hut &amp; % chai '!G139)</f>
        <v>0</v>
      </c>
      <c r="J130" s="617">
        <f>J111*(1-'2.Hao hut &amp; % chai '!H139)</f>
        <v>0</v>
      </c>
      <c r="K130" s="617">
        <f>K111*(1-'2.Hao hut &amp; % chai '!I139)</f>
        <v>0</v>
      </c>
      <c r="L130" s="617">
        <f>L111*(1-'2.Hao hut &amp; % chai '!J139)</f>
        <v>0</v>
      </c>
      <c r="M130" s="617">
        <f>M111*(1-'2.Hao hut &amp; % chai '!K139)</f>
        <v>0</v>
      </c>
      <c r="N130" s="617">
        <f>N111*(1-'2.Hao hut &amp; % chai '!L139)</f>
        <v>0</v>
      </c>
      <c r="O130" s="617">
        <f>O111*(1-'2.Hao hut &amp; % chai '!M139)</f>
        <v>0</v>
      </c>
      <c r="P130" s="617">
        <f>P111*(1-'2.Hao hut &amp; % chai '!N139)</f>
        <v>0</v>
      </c>
      <c r="Q130" s="617">
        <f>Q111*(1-'2.Hao hut &amp; % chai '!O139)</f>
        <v>0</v>
      </c>
      <c r="R130" s="617">
        <f>R111*(1-'2.Hao hut &amp; % chai '!P139)</f>
        <v>0</v>
      </c>
      <c r="S130" s="617">
        <f>S111*(1-'2.Hao hut &amp; % chai '!Q139)</f>
        <v>0</v>
      </c>
      <c r="T130" s="616">
        <f t="shared" si="58"/>
        <v>0</v>
      </c>
    </row>
    <row r="131" spans="2:20" x14ac:dyDescent="0.35">
      <c r="B131" s="614">
        <v>11</v>
      </c>
      <c r="C131" s="615" t="s">
        <v>409</v>
      </c>
      <c r="D131" s="615"/>
      <c r="E131" s="615"/>
      <c r="F131" s="615"/>
      <c r="G131" s="616"/>
      <c r="H131" s="617">
        <f>H112*(1-'2.Hao hut &amp; % chai '!F140)</f>
        <v>0</v>
      </c>
      <c r="I131" s="617">
        <f>I112*(1-'2.Hao hut &amp; % chai '!G140)</f>
        <v>0</v>
      </c>
      <c r="J131" s="617">
        <f>J112*(1-'2.Hao hut &amp; % chai '!H140)</f>
        <v>0</v>
      </c>
      <c r="K131" s="617">
        <f>K112*(1-'2.Hao hut &amp; % chai '!I140)</f>
        <v>0</v>
      </c>
      <c r="L131" s="617">
        <f>L112*(1-'2.Hao hut &amp; % chai '!J140)</f>
        <v>0</v>
      </c>
      <c r="M131" s="617">
        <f>M112*(1-'2.Hao hut &amp; % chai '!K140)</f>
        <v>0</v>
      </c>
      <c r="N131" s="617">
        <f>N112*(1-'2.Hao hut &amp; % chai '!L140)</f>
        <v>0</v>
      </c>
      <c r="O131" s="617">
        <f>O112*(1-'2.Hao hut &amp; % chai '!M140)</f>
        <v>0</v>
      </c>
      <c r="P131" s="617">
        <f>P112*(1-'2.Hao hut &amp; % chai '!N140)</f>
        <v>0</v>
      </c>
      <c r="Q131" s="617">
        <f>Q112*(1-'2.Hao hut &amp; % chai '!O140)</f>
        <v>0</v>
      </c>
      <c r="R131" s="617">
        <f>R112*(1-'2.Hao hut &amp; % chai '!P140)</f>
        <v>0</v>
      </c>
      <c r="S131" s="617">
        <f>S112*(1-'2.Hao hut &amp; % chai '!Q140)</f>
        <v>0</v>
      </c>
      <c r="T131" s="616">
        <f t="shared" si="58"/>
        <v>0</v>
      </c>
    </row>
    <row r="132" spans="2:20" x14ac:dyDescent="0.35">
      <c r="B132" s="614">
        <v>12</v>
      </c>
      <c r="C132" s="615" t="s">
        <v>314</v>
      </c>
      <c r="D132" s="615"/>
      <c r="E132" s="615"/>
      <c r="F132" s="615"/>
      <c r="G132" s="616"/>
      <c r="H132" s="617">
        <f>H113*(1-'2.Hao hut &amp; % chai '!F141)</f>
        <v>0</v>
      </c>
      <c r="I132" s="617">
        <f>I113*(1-'2.Hao hut &amp; % chai '!G141)</f>
        <v>0</v>
      </c>
      <c r="J132" s="617">
        <f>J113*(1-'2.Hao hut &amp; % chai '!H141)</f>
        <v>0</v>
      </c>
      <c r="K132" s="617">
        <f>K113*(1-'2.Hao hut &amp; % chai '!I141)</f>
        <v>0</v>
      </c>
      <c r="L132" s="617">
        <f>L113*(1-'2.Hao hut &amp; % chai '!J141)</f>
        <v>0</v>
      </c>
      <c r="M132" s="617">
        <f>M113*(1-'2.Hao hut &amp; % chai '!K141)</f>
        <v>0</v>
      </c>
      <c r="N132" s="617">
        <f>N113*(1-'2.Hao hut &amp; % chai '!L141)</f>
        <v>0</v>
      </c>
      <c r="O132" s="617">
        <f>O113*(1-'2.Hao hut &amp; % chai '!M141)</f>
        <v>0</v>
      </c>
      <c r="P132" s="617">
        <f>P113*(1-'2.Hao hut &amp; % chai '!N141)</f>
        <v>0</v>
      </c>
      <c r="Q132" s="617">
        <f>Q113*(1-'2.Hao hut &amp; % chai '!O141)</f>
        <v>0</v>
      </c>
      <c r="R132" s="617">
        <f>R113*(1-'2.Hao hut &amp; % chai '!P141)</f>
        <v>0</v>
      </c>
      <c r="S132" s="617">
        <f>S113*(1-'2.Hao hut &amp; % chai '!Q141)</f>
        <v>0</v>
      </c>
      <c r="T132" s="616">
        <f t="shared" si="58"/>
        <v>0</v>
      </c>
    </row>
    <row r="133" spans="2:20" x14ac:dyDescent="0.35">
      <c r="B133" s="614">
        <v>13</v>
      </c>
      <c r="C133" s="615" t="s">
        <v>410</v>
      </c>
      <c r="D133" s="615"/>
      <c r="E133" s="615"/>
      <c r="F133" s="615"/>
      <c r="G133" s="616"/>
      <c r="H133" s="617">
        <f>H114*(1-'2.Hao hut &amp; % chai '!F142)</f>
        <v>0</v>
      </c>
      <c r="I133" s="617">
        <f>I114*(1-'2.Hao hut &amp; % chai '!G142)</f>
        <v>0</v>
      </c>
      <c r="J133" s="617">
        <f>J114*(1-'2.Hao hut &amp; % chai '!H142)</f>
        <v>0</v>
      </c>
      <c r="K133" s="617">
        <f>K114*(1-'2.Hao hut &amp; % chai '!I142)</f>
        <v>0</v>
      </c>
      <c r="L133" s="617">
        <f>L114*(1-'2.Hao hut &amp; % chai '!J142)</f>
        <v>0</v>
      </c>
      <c r="M133" s="617">
        <f>M114*(1-'2.Hao hut &amp; % chai '!K142)</f>
        <v>0</v>
      </c>
      <c r="N133" s="617">
        <f>N114*(1-'2.Hao hut &amp; % chai '!L142)</f>
        <v>0</v>
      </c>
      <c r="O133" s="617">
        <f>O114*(1-'2.Hao hut &amp; % chai '!M142)</f>
        <v>0</v>
      </c>
      <c r="P133" s="617">
        <f>P114*(1-'2.Hao hut &amp; % chai '!N142)</f>
        <v>0</v>
      </c>
      <c r="Q133" s="617">
        <f>Q114*(1-'2.Hao hut &amp; % chai '!O142)</f>
        <v>0</v>
      </c>
      <c r="R133" s="617">
        <f>R114*(1-'2.Hao hut &amp; % chai '!P142)</f>
        <v>0</v>
      </c>
      <c r="S133" s="617">
        <f>S114*(1-'2.Hao hut &amp; % chai '!Q142)</f>
        <v>0</v>
      </c>
      <c r="T133" s="616">
        <f t="shared" si="58"/>
        <v>0</v>
      </c>
    </row>
    <row r="134" spans="2:20" x14ac:dyDescent="0.35">
      <c r="B134" s="614">
        <v>14</v>
      </c>
      <c r="C134" s="615" t="s">
        <v>411</v>
      </c>
      <c r="D134" s="615"/>
      <c r="E134" s="615"/>
      <c r="F134" s="615"/>
      <c r="G134" s="616"/>
      <c r="H134" s="617">
        <f>H115*(1-'2.Hao hut &amp; % chai '!F143)</f>
        <v>0</v>
      </c>
      <c r="I134" s="617">
        <f>I115*(1-'2.Hao hut &amp; % chai '!G143)</f>
        <v>0</v>
      </c>
      <c r="J134" s="617">
        <f>J115*(1-'2.Hao hut &amp; % chai '!H143)</f>
        <v>0</v>
      </c>
      <c r="K134" s="617">
        <f>K115*(1-'2.Hao hut &amp; % chai '!I143)</f>
        <v>0</v>
      </c>
      <c r="L134" s="617">
        <f>L115*(1-'2.Hao hut &amp; % chai '!J143)</f>
        <v>0</v>
      </c>
      <c r="M134" s="617">
        <f>M115*(1-'2.Hao hut &amp; % chai '!K143)</f>
        <v>0</v>
      </c>
      <c r="N134" s="617">
        <f>N115*(1-'2.Hao hut &amp; % chai '!L143)</f>
        <v>0</v>
      </c>
      <c r="O134" s="617">
        <f>O115*(1-'2.Hao hut &amp; % chai '!M143)</f>
        <v>0</v>
      </c>
      <c r="P134" s="617">
        <f>P115*(1-'2.Hao hut &amp; % chai '!N143)</f>
        <v>0</v>
      </c>
      <c r="Q134" s="617">
        <f>Q115*(1-'2.Hao hut &amp; % chai '!O143)</f>
        <v>0</v>
      </c>
      <c r="R134" s="617">
        <f>R115*(1-'2.Hao hut &amp; % chai '!P143)</f>
        <v>0</v>
      </c>
      <c r="S134" s="617">
        <f>S115*(1-'2.Hao hut &amp; % chai '!Q143)</f>
        <v>0</v>
      </c>
      <c r="T134" s="616">
        <f t="shared" si="58"/>
        <v>0</v>
      </c>
    </row>
    <row r="135" spans="2:20" x14ac:dyDescent="0.35">
      <c r="B135" s="618">
        <v>15</v>
      </c>
      <c r="C135" s="619" t="s">
        <v>25</v>
      </c>
      <c r="D135" s="619"/>
      <c r="E135" s="619"/>
      <c r="F135" s="619"/>
      <c r="G135" s="620"/>
      <c r="H135" s="621">
        <f>H116*(1-'2.Hao hut &amp; % chai '!F144)</f>
        <v>0</v>
      </c>
      <c r="I135" s="621">
        <f>I116*(1-'2.Hao hut &amp; % chai '!G144)</f>
        <v>0</v>
      </c>
      <c r="J135" s="621">
        <f>J116*(1-'2.Hao hut &amp; % chai '!H144)</f>
        <v>0</v>
      </c>
      <c r="K135" s="621">
        <f>K116*(1-'2.Hao hut &amp; % chai '!I144)</f>
        <v>0</v>
      </c>
      <c r="L135" s="621">
        <f>L116*(1-'2.Hao hut &amp; % chai '!J144)</f>
        <v>0</v>
      </c>
      <c r="M135" s="621">
        <f>M116*(1-'2.Hao hut &amp; % chai '!K144)</f>
        <v>0</v>
      </c>
      <c r="N135" s="621">
        <f>N116*(1-'2.Hao hut &amp; % chai '!L144)</f>
        <v>0</v>
      </c>
      <c r="O135" s="621">
        <f>O116*(1-'2.Hao hut &amp; % chai '!M144)</f>
        <v>0</v>
      </c>
      <c r="P135" s="621">
        <f>P116*(1-'2.Hao hut &amp; % chai '!N144)</f>
        <v>0</v>
      </c>
      <c r="Q135" s="621">
        <f>Q116*(1-'2.Hao hut &amp; % chai '!O144)</f>
        <v>0</v>
      </c>
      <c r="R135" s="621">
        <f>R116*(1-'2.Hao hut &amp; % chai '!P144)</f>
        <v>0</v>
      </c>
      <c r="S135" s="621">
        <f>S116*(1-'2.Hao hut &amp; % chai '!Q144)</f>
        <v>0</v>
      </c>
      <c r="T135" s="620">
        <f t="shared" si="58"/>
        <v>0</v>
      </c>
    </row>
    <row r="136" spans="2:20" x14ac:dyDescent="0.35">
      <c r="B136" s="23"/>
      <c r="C136" s="24" t="s">
        <v>99</v>
      </c>
      <c r="D136" s="369"/>
      <c r="E136" s="369"/>
      <c r="F136" s="369"/>
      <c r="G136" s="29"/>
      <c r="H136" s="29">
        <f>SUM(H121:H135)</f>
        <v>0</v>
      </c>
      <c r="I136" s="29">
        <f t="shared" ref="I136:S136" si="59">SUM(I121:I135)</f>
        <v>0</v>
      </c>
      <c r="J136" s="29">
        <f t="shared" si="59"/>
        <v>0</v>
      </c>
      <c r="K136" s="29">
        <f t="shared" si="59"/>
        <v>0</v>
      </c>
      <c r="L136" s="29">
        <f t="shared" si="59"/>
        <v>0</v>
      </c>
      <c r="M136" s="29">
        <f t="shared" si="59"/>
        <v>0</v>
      </c>
      <c r="N136" s="29">
        <f t="shared" si="59"/>
        <v>0</v>
      </c>
      <c r="O136" s="29">
        <f t="shared" si="59"/>
        <v>0</v>
      </c>
      <c r="P136" s="29">
        <f t="shared" si="59"/>
        <v>0</v>
      </c>
      <c r="Q136" s="29">
        <f t="shared" si="59"/>
        <v>0</v>
      </c>
      <c r="R136" s="29">
        <f t="shared" si="59"/>
        <v>0</v>
      </c>
      <c r="S136" s="29">
        <f t="shared" si="59"/>
        <v>0</v>
      </c>
      <c r="T136" s="29">
        <f t="shared" si="58"/>
        <v>0</v>
      </c>
    </row>
    <row r="138" spans="2:20" x14ac:dyDescent="0.35">
      <c r="B138" s="138" t="s">
        <v>1633</v>
      </c>
    </row>
    <row r="139" spans="2:20" x14ac:dyDescent="0.35">
      <c r="B139" s="37" t="s">
        <v>1596</v>
      </c>
    </row>
    <row r="140" spans="2:20" ht="25.5" customHeight="1" x14ac:dyDescent="0.35">
      <c r="B140" s="141" t="s">
        <v>0</v>
      </c>
      <c r="C140" s="141" t="s">
        <v>81</v>
      </c>
      <c r="D140" s="397" t="s">
        <v>11</v>
      </c>
      <c r="E140" s="397" t="s">
        <v>1943</v>
      </c>
      <c r="F140" s="397" t="s">
        <v>1942</v>
      </c>
      <c r="G140" s="7" t="s">
        <v>405</v>
      </c>
      <c r="H140" s="7" t="s">
        <v>56</v>
      </c>
      <c r="I140" s="7" t="s">
        <v>57</v>
      </c>
      <c r="J140" s="7" t="s">
        <v>58</v>
      </c>
      <c r="K140" s="7" t="s">
        <v>59</v>
      </c>
      <c r="L140" s="7" t="s">
        <v>60</v>
      </c>
      <c r="M140" s="7" t="s">
        <v>61</v>
      </c>
      <c r="N140" s="7" t="s">
        <v>62</v>
      </c>
      <c r="O140" s="7" t="s">
        <v>63</v>
      </c>
      <c r="P140" s="7" t="s">
        <v>64</v>
      </c>
      <c r="Q140" s="7" t="s">
        <v>65</v>
      </c>
      <c r="R140" s="7" t="s">
        <v>66</v>
      </c>
      <c r="S140" s="7" t="s">
        <v>67</v>
      </c>
      <c r="T140" s="7" t="s">
        <v>2246</v>
      </c>
    </row>
    <row r="141" spans="2:20" ht="17.5" customHeight="1" x14ac:dyDescent="0.35">
      <c r="B141" s="8">
        <v>1</v>
      </c>
      <c r="C141" s="9" t="s">
        <v>329</v>
      </c>
      <c r="D141" s="282"/>
      <c r="E141" s="282"/>
      <c r="F141" s="282"/>
      <c r="G141" s="203"/>
      <c r="H141" s="28">
        <f>'1.NVL Chai'!H$19*'2.Hao hut &amp; % chai '!F$49</f>
        <v>0</v>
      </c>
      <c r="I141" s="28">
        <f>'1.NVL Chai'!I$19*'2.Hao hut &amp; % chai '!G$49</f>
        <v>0</v>
      </c>
      <c r="J141" s="28">
        <f>'1.NVL Chai'!J$19*'2.Hao hut &amp; % chai '!H$49</f>
        <v>0</v>
      </c>
      <c r="K141" s="28">
        <f>'1.NVL Chai'!K$19*'2.Hao hut &amp; % chai '!I$49</f>
        <v>0</v>
      </c>
      <c r="L141" s="28">
        <f>'1.NVL Chai'!L$19*'2.Hao hut &amp; % chai '!J$49</f>
        <v>0</v>
      </c>
      <c r="M141" s="28">
        <f>'1.NVL Chai'!M$19*'2.Hao hut &amp; % chai '!K$49</f>
        <v>0</v>
      </c>
      <c r="N141" s="28">
        <f>'1.NVL Chai'!N$19*'2.Hao hut &amp; % chai '!L$49</f>
        <v>0</v>
      </c>
      <c r="O141" s="28">
        <f>'1.NVL Chai'!O$19*'2.Hao hut &amp; % chai '!M$49</f>
        <v>0</v>
      </c>
      <c r="P141" s="28">
        <f>'1.NVL Chai'!P$19*'2.Hao hut &amp; % chai '!N$49</f>
        <v>0</v>
      </c>
      <c r="Q141" s="28">
        <f>'1.NVL Chai'!Q$19*'2.Hao hut &amp; % chai '!O$49</f>
        <v>0</v>
      </c>
      <c r="R141" s="28">
        <f>'1.NVL Chai'!R$19*'2.Hao hut &amp; % chai '!P$49</f>
        <v>0</v>
      </c>
      <c r="S141" s="28">
        <f>'1.NVL Chai'!S$19*'2.Hao hut &amp; % chai '!Q$49</f>
        <v>0</v>
      </c>
      <c r="T141" s="203">
        <f>SUM(H141:S141)</f>
        <v>0</v>
      </c>
    </row>
    <row r="143" spans="2:20" x14ac:dyDescent="0.35">
      <c r="B143" s="138" t="s">
        <v>1634</v>
      </c>
    </row>
    <row r="145" spans="2:20" x14ac:dyDescent="0.35">
      <c r="B145" s="37" t="s">
        <v>1635</v>
      </c>
    </row>
    <row r="146" spans="2:20" s="39" customFormat="1" ht="26" x14ac:dyDescent="0.35">
      <c r="B146" s="7">
        <v>1</v>
      </c>
      <c r="C146" s="38" t="s">
        <v>334</v>
      </c>
      <c r="D146" s="397" t="s">
        <v>11</v>
      </c>
      <c r="E146" s="397" t="s">
        <v>1943</v>
      </c>
      <c r="F146" s="397" t="s">
        <v>1942</v>
      </c>
      <c r="G146" s="7" t="s">
        <v>405</v>
      </c>
      <c r="H146" s="7" t="s">
        <v>56</v>
      </c>
      <c r="I146" s="7" t="s">
        <v>57</v>
      </c>
      <c r="J146" s="7" t="s">
        <v>58</v>
      </c>
      <c r="K146" s="7" t="s">
        <v>59</v>
      </c>
      <c r="L146" s="7" t="s">
        <v>60</v>
      </c>
      <c r="M146" s="7" t="s">
        <v>61</v>
      </c>
      <c r="N146" s="7" t="s">
        <v>62</v>
      </c>
      <c r="O146" s="7" t="s">
        <v>63</v>
      </c>
      <c r="P146" s="7" t="s">
        <v>64</v>
      </c>
      <c r="Q146" s="7" t="s">
        <v>65</v>
      </c>
      <c r="R146" s="7" t="s">
        <v>66</v>
      </c>
      <c r="S146" s="7" t="s">
        <v>67</v>
      </c>
      <c r="T146" s="7" t="s">
        <v>2246</v>
      </c>
    </row>
    <row r="147" spans="2:20" x14ac:dyDescent="0.35">
      <c r="B147" s="622">
        <v>1</v>
      </c>
      <c r="C147" s="623" t="s">
        <v>68</v>
      </c>
      <c r="D147" s="611" t="s">
        <v>22</v>
      </c>
      <c r="E147" s="613">
        <f>210779.1*0.86</f>
        <v>181270.02600000001</v>
      </c>
      <c r="F147" s="613">
        <f>176486.5*0.9</f>
        <v>158837.85</v>
      </c>
      <c r="G147" s="613">
        <f>169554.66+58500</f>
        <v>228054.66</v>
      </c>
      <c r="H147" s="613">
        <f>'1.NVL Chai'!H$13*'2.Hao hut &amp; % chai '!F5</f>
        <v>19500</v>
      </c>
      <c r="I147" s="613">
        <f>'1.NVL Chai'!I$13*'2.Hao hut &amp; % chai '!G5</f>
        <v>14625</v>
      </c>
      <c r="J147" s="613">
        <f>'1.NVL Chai'!J$13*'2.Hao hut &amp; % chai '!H5</f>
        <v>21125</v>
      </c>
      <c r="K147" s="613">
        <f>'1.NVL Chai'!K$13*'2.Hao hut &amp; % chai '!I5</f>
        <v>22750</v>
      </c>
      <c r="L147" s="613">
        <f>'1.NVL Chai'!L$13*'2.Hao hut &amp; % chai '!J5</f>
        <v>22750</v>
      </c>
      <c r="M147" s="613">
        <f>'1.NVL Chai'!M$13*'2.Hao hut &amp; % chai '!K5</f>
        <v>22750</v>
      </c>
      <c r="N147" s="613">
        <f>'1.NVL Chai'!N$13*'2.Hao hut &amp; % chai '!L5</f>
        <v>22750</v>
      </c>
      <c r="O147" s="613">
        <f>'1.NVL Chai'!O$13*'2.Hao hut &amp; % chai '!M5</f>
        <v>22750</v>
      </c>
      <c r="P147" s="613">
        <f>'1.NVL Chai'!P$13*'2.Hao hut &amp; % chai '!N5</f>
        <v>22750</v>
      </c>
      <c r="Q147" s="613">
        <f>'1.NVL Chai'!Q$13*'2.Hao hut &amp; % chai '!O5</f>
        <v>22750</v>
      </c>
      <c r="R147" s="613">
        <f>'1.NVL Chai'!R$13*'2.Hao hut &amp; % chai '!P5</f>
        <v>22750</v>
      </c>
      <c r="S147" s="613">
        <f>'1.NVL Chai'!S$13*'2.Hao hut &amp; % chai '!Q5</f>
        <v>22750</v>
      </c>
      <c r="T147" s="612">
        <f t="shared" ref="T147:T149" si="60">SUM(H147:S147)</f>
        <v>260000</v>
      </c>
    </row>
    <row r="148" spans="2:20" x14ac:dyDescent="0.35">
      <c r="B148" s="625">
        <v>2</v>
      </c>
      <c r="C148" s="626" t="s">
        <v>43</v>
      </c>
      <c r="D148" s="611" t="s">
        <v>22</v>
      </c>
      <c r="E148" s="617">
        <f>277840.4*0.86</f>
        <v>238942.74400000001</v>
      </c>
      <c r="F148" s="617">
        <f>284402.5*0.9</f>
        <v>255962.25</v>
      </c>
      <c r="G148" s="617">
        <f>87346.34+48750</f>
        <v>136096.34</v>
      </c>
      <c r="H148" s="617">
        <f>'1.NVL Chai'!H$13*'2.Hao hut &amp; % chai '!F6</f>
        <v>19500</v>
      </c>
      <c r="I148" s="617">
        <f>'1.NVL Chai'!I$13*'2.Hao hut &amp; % chai '!G6</f>
        <v>14625</v>
      </c>
      <c r="J148" s="617">
        <f>'1.NVL Chai'!J$13*'2.Hao hut &amp; % chai '!H6</f>
        <v>21125</v>
      </c>
      <c r="K148" s="617">
        <f>'1.NVL Chai'!K$13*'2.Hao hut &amp; % chai '!I6</f>
        <v>22750</v>
      </c>
      <c r="L148" s="617">
        <f>'1.NVL Chai'!L$13*'2.Hao hut &amp; % chai '!J6</f>
        <v>22750</v>
      </c>
      <c r="M148" s="617">
        <f>'1.NVL Chai'!M$13*'2.Hao hut &amp; % chai '!K6</f>
        <v>22750</v>
      </c>
      <c r="N148" s="617">
        <f>'1.NVL Chai'!N$13*'2.Hao hut &amp; % chai '!L6</f>
        <v>22750</v>
      </c>
      <c r="O148" s="617">
        <f>'1.NVL Chai'!O$13*'2.Hao hut &amp; % chai '!M6</f>
        <v>22750</v>
      </c>
      <c r="P148" s="617">
        <f>'1.NVL Chai'!P$13*'2.Hao hut &amp; % chai '!N6</f>
        <v>22750</v>
      </c>
      <c r="Q148" s="617">
        <f>'1.NVL Chai'!Q$13*'2.Hao hut &amp; % chai '!O6</f>
        <v>22750</v>
      </c>
      <c r="R148" s="617">
        <f>'1.NVL Chai'!R$13*'2.Hao hut &amp; % chai '!P6</f>
        <v>22750</v>
      </c>
      <c r="S148" s="617">
        <f>'1.NVL Chai'!S$13*'2.Hao hut &amp; % chai '!Q6</f>
        <v>22750</v>
      </c>
      <c r="T148" s="616">
        <f t="shared" si="60"/>
        <v>260000</v>
      </c>
    </row>
    <row r="149" spans="2:20" ht="37.5" x14ac:dyDescent="0.35">
      <c r="B149" s="627">
        <v>3</v>
      </c>
      <c r="C149" s="628" t="s">
        <v>69</v>
      </c>
      <c r="D149" s="628"/>
      <c r="E149" s="629"/>
      <c r="F149" s="629"/>
      <c r="G149" s="629"/>
      <c r="H149" s="621">
        <f>'1.NVL Chai'!H$13*'2.Hao hut &amp; % chai '!F7</f>
        <v>0</v>
      </c>
      <c r="I149" s="621">
        <f>'1.NVL Chai'!I$13*'2.Hao hut &amp; % chai '!G7</f>
        <v>0</v>
      </c>
      <c r="J149" s="621">
        <f>'1.NVL Chai'!J$13*'2.Hao hut &amp; % chai '!H7</f>
        <v>0</v>
      </c>
      <c r="K149" s="621">
        <f>'1.NVL Chai'!K$13*'2.Hao hut &amp; % chai '!I7</f>
        <v>0</v>
      </c>
      <c r="L149" s="621">
        <f>'1.NVL Chai'!L$13*'2.Hao hut &amp; % chai '!J7</f>
        <v>0</v>
      </c>
      <c r="M149" s="621">
        <f>'1.NVL Chai'!M$13*'2.Hao hut &amp; % chai '!K7</f>
        <v>0</v>
      </c>
      <c r="N149" s="621">
        <f>'1.NVL Chai'!N$13*'2.Hao hut &amp; % chai '!L7</f>
        <v>0</v>
      </c>
      <c r="O149" s="621">
        <f>'1.NVL Chai'!O$13*'2.Hao hut &amp; % chai '!M7</f>
        <v>0</v>
      </c>
      <c r="P149" s="621">
        <f>'1.NVL Chai'!P$13*'2.Hao hut &amp; % chai '!N7</f>
        <v>0</v>
      </c>
      <c r="Q149" s="621">
        <f>'1.NVL Chai'!Q$13*'2.Hao hut &amp; % chai '!O7</f>
        <v>0</v>
      </c>
      <c r="R149" s="621">
        <f>'1.NVL Chai'!R$13*'2.Hao hut &amp; % chai '!P7</f>
        <v>0</v>
      </c>
      <c r="S149" s="621">
        <f>'1.NVL Chai'!S$13*'2.Hao hut &amp; % chai '!Q7</f>
        <v>0</v>
      </c>
      <c r="T149" s="620">
        <f t="shared" si="60"/>
        <v>0</v>
      </c>
    </row>
    <row r="150" spans="2:20" s="37" customFormat="1" x14ac:dyDescent="0.35">
      <c r="B150" s="190"/>
      <c r="C150" s="43" t="s">
        <v>31</v>
      </c>
      <c r="D150" s="914" t="s">
        <v>22</v>
      </c>
      <c r="E150" s="29">
        <f t="shared" ref="E150:S150" si="61">SUM(E147:E149)</f>
        <v>420212.77</v>
      </c>
      <c r="F150" s="29">
        <f t="shared" si="61"/>
        <v>414800.1</v>
      </c>
      <c r="G150" s="29">
        <f t="shared" si="61"/>
        <v>364151</v>
      </c>
      <c r="H150" s="29">
        <f t="shared" si="61"/>
        <v>39000</v>
      </c>
      <c r="I150" s="29">
        <f t="shared" si="61"/>
        <v>29250</v>
      </c>
      <c r="J150" s="29">
        <f t="shared" si="61"/>
        <v>42250</v>
      </c>
      <c r="K150" s="29">
        <f t="shared" si="61"/>
        <v>45500</v>
      </c>
      <c r="L150" s="29">
        <f t="shared" si="61"/>
        <v>45500</v>
      </c>
      <c r="M150" s="29">
        <f t="shared" si="61"/>
        <v>45500</v>
      </c>
      <c r="N150" s="29">
        <f t="shared" si="61"/>
        <v>45500</v>
      </c>
      <c r="O150" s="29">
        <f t="shared" si="61"/>
        <v>45500</v>
      </c>
      <c r="P150" s="29">
        <f t="shared" si="61"/>
        <v>45500</v>
      </c>
      <c r="Q150" s="29">
        <f t="shared" si="61"/>
        <v>45500</v>
      </c>
      <c r="R150" s="29">
        <f t="shared" si="61"/>
        <v>45500</v>
      </c>
      <c r="S150" s="29">
        <f t="shared" si="61"/>
        <v>45500</v>
      </c>
      <c r="T150" s="29">
        <f>SUM(T147:T149)</f>
        <v>520000</v>
      </c>
    </row>
    <row r="151" spans="2:20" s="37" customFormat="1" x14ac:dyDescent="0.35">
      <c r="B151" s="196"/>
      <c r="C151" s="39"/>
      <c r="D151" s="39"/>
      <c r="E151" s="39"/>
      <c r="F151" s="39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</row>
    <row r="152" spans="2:20" x14ac:dyDescent="0.35">
      <c r="B152" s="37" t="s">
        <v>1636</v>
      </c>
    </row>
    <row r="153" spans="2:20" s="39" customFormat="1" ht="26" x14ac:dyDescent="0.35">
      <c r="B153" s="7">
        <v>2</v>
      </c>
      <c r="C153" s="38" t="s">
        <v>335</v>
      </c>
      <c r="D153" s="397" t="s">
        <v>11</v>
      </c>
      <c r="E153" s="397" t="s">
        <v>1943</v>
      </c>
      <c r="F153" s="397" t="s">
        <v>1942</v>
      </c>
      <c r="G153" s="7" t="s">
        <v>405</v>
      </c>
      <c r="H153" s="7" t="s">
        <v>56</v>
      </c>
      <c r="I153" s="7" t="s">
        <v>57</v>
      </c>
      <c r="J153" s="7" t="s">
        <v>58</v>
      </c>
      <c r="K153" s="7" t="s">
        <v>59</v>
      </c>
      <c r="L153" s="7" t="s">
        <v>60</v>
      </c>
      <c r="M153" s="7" t="s">
        <v>61</v>
      </c>
      <c r="N153" s="7" t="s">
        <v>62</v>
      </c>
      <c r="O153" s="7" t="s">
        <v>63</v>
      </c>
      <c r="P153" s="7" t="s">
        <v>64</v>
      </c>
      <c r="Q153" s="7" t="s">
        <v>65</v>
      </c>
      <c r="R153" s="7" t="s">
        <v>66</v>
      </c>
      <c r="S153" s="7" t="s">
        <v>67</v>
      </c>
      <c r="T153" s="7" t="s">
        <v>2246</v>
      </c>
    </row>
    <row r="154" spans="2:20" x14ac:dyDescent="0.35">
      <c r="B154" s="622">
        <v>1</v>
      </c>
      <c r="C154" s="623" t="s">
        <v>68</v>
      </c>
      <c r="D154" s="611" t="s">
        <v>22</v>
      </c>
      <c r="E154" s="613">
        <f>210779.1*0.14</f>
        <v>29509.074000000004</v>
      </c>
      <c r="F154" s="613">
        <f>176486.5*0.1</f>
        <v>17648.650000000001</v>
      </c>
      <c r="G154" s="613">
        <v>201102.18000000002</v>
      </c>
      <c r="H154" s="613">
        <f>'1.NVL Chai'!H$14*'2.Hao hut &amp; % chai '!F11</f>
        <v>12600</v>
      </c>
      <c r="I154" s="613">
        <f>'1.NVL Chai'!I$14*'2.Hao hut &amp; % chai '!G11</f>
        <v>9450</v>
      </c>
      <c r="J154" s="613">
        <f>'1.NVL Chai'!J$14*'2.Hao hut &amp; % chai '!H11</f>
        <v>13650</v>
      </c>
      <c r="K154" s="613">
        <f>'1.NVL Chai'!K$14*'2.Hao hut &amp; % chai '!I11</f>
        <v>14699.999999999998</v>
      </c>
      <c r="L154" s="613">
        <f>'1.NVL Chai'!L$14*'2.Hao hut &amp; % chai '!J11</f>
        <v>14699.999999999998</v>
      </c>
      <c r="M154" s="613">
        <f>'1.NVL Chai'!M$14*'2.Hao hut &amp; % chai '!K11</f>
        <v>14699.999999999998</v>
      </c>
      <c r="N154" s="613">
        <f>'1.NVL Chai'!N$14*'2.Hao hut &amp; % chai '!L11</f>
        <v>14699.999999999998</v>
      </c>
      <c r="O154" s="613">
        <f>'1.NVL Chai'!O$14*'2.Hao hut &amp; % chai '!M11</f>
        <v>14699.999999999998</v>
      </c>
      <c r="P154" s="613">
        <f>'1.NVL Chai'!P$14*'2.Hao hut &amp; % chai '!N11</f>
        <v>14699.999999999998</v>
      </c>
      <c r="Q154" s="613">
        <f>'1.NVL Chai'!Q$14*'2.Hao hut &amp; % chai '!O11</f>
        <v>14699.999999999998</v>
      </c>
      <c r="R154" s="613">
        <f>'1.NVL Chai'!R$14*'2.Hao hut &amp; % chai '!P11</f>
        <v>14699.999999999998</v>
      </c>
      <c r="S154" s="613">
        <f>'1.NVL Chai'!S$14*'2.Hao hut &amp; % chai '!Q11</f>
        <v>14699.999999999998</v>
      </c>
      <c r="T154" s="612">
        <f t="shared" ref="T154:T156" si="62">SUM(H154:S154)</f>
        <v>168000</v>
      </c>
    </row>
    <row r="155" spans="2:20" x14ac:dyDescent="0.35">
      <c r="B155" s="625">
        <v>2</v>
      </c>
      <c r="C155" s="626" t="s">
        <v>43</v>
      </c>
      <c r="D155" s="611" t="s">
        <v>22</v>
      </c>
      <c r="E155" s="617">
        <f>277840.4*0.14</f>
        <v>38897.65600000001</v>
      </c>
      <c r="F155" s="617">
        <f>284402.5*0.1</f>
        <v>28440.25</v>
      </c>
      <c r="G155" s="617">
        <v>108869.09</v>
      </c>
      <c r="H155" s="617">
        <f>'1.NVL Chai'!H$14*'2.Hao hut &amp; % chai '!F12</f>
        <v>12600</v>
      </c>
      <c r="I155" s="617">
        <f>'1.NVL Chai'!I$14*'2.Hao hut &amp; % chai '!G12</f>
        <v>9450</v>
      </c>
      <c r="J155" s="617">
        <f>'1.NVL Chai'!J$14*'2.Hao hut &amp; % chai '!H12</f>
        <v>13650</v>
      </c>
      <c r="K155" s="617">
        <f>'1.NVL Chai'!K$14*'2.Hao hut &amp; % chai '!I12</f>
        <v>14699.999999999998</v>
      </c>
      <c r="L155" s="617">
        <f>'1.NVL Chai'!L$14*'2.Hao hut &amp; % chai '!J12</f>
        <v>14699.999999999998</v>
      </c>
      <c r="M155" s="617">
        <f>'1.NVL Chai'!M$14*'2.Hao hut &amp; % chai '!K12</f>
        <v>14699.999999999998</v>
      </c>
      <c r="N155" s="617">
        <f>'1.NVL Chai'!N$14*'2.Hao hut &amp; % chai '!L12</f>
        <v>14699.999999999998</v>
      </c>
      <c r="O155" s="617">
        <f>'1.NVL Chai'!O$14*'2.Hao hut &amp; % chai '!M12</f>
        <v>14699.999999999998</v>
      </c>
      <c r="P155" s="617">
        <f>'1.NVL Chai'!P$14*'2.Hao hut &amp; % chai '!N12</f>
        <v>14699.999999999998</v>
      </c>
      <c r="Q155" s="617">
        <f>'1.NVL Chai'!Q$14*'2.Hao hut &amp; % chai '!O12</f>
        <v>14699.999999999998</v>
      </c>
      <c r="R155" s="617">
        <f>'1.NVL Chai'!R$14*'2.Hao hut &amp; % chai '!P12</f>
        <v>14699.999999999998</v>
      </c>
      <c r="S155" s="617">
        <f>'1.NVL Chai'!S$14*'2.Hao hut &amp; % chai '!Q12</f>
        <v>14699.999999999998</v>
      </c>
      <c r="T155" s="616">
        <f t="shared" si="62"/>
        <v>168000</v>
      </c>
    </row>
    <row r="156" spans="2:20" ht="37.5" x14ac:dyDescent="0.35">
      <c r="B156" s="627">
        <v>3</v>
      </c>
      <c r="C156" s="628" t="s">
        <v>69</v>
      </c>
      <c r="D156" s="611" t="s">
        <v>22</v>
      </c>
      <c r="E156" s="629"/>
      <c r="F156" s="629"/>
      <c r="G156" s="621">
        <v>7819.73</v>
      </c>
      <c r="H156" s="621">
        <f>'1.NVL Chai'!H$14*'2.Hao hut &amp; % chai '!F13</f>
        <v>2100</v>
      </c>
      <c r="I156" s="621">
        <f>'1.NVL Chai'!I$14*'2.Hao hut &amp; % chai '!G13</f>
        <v>1575</v>
      </c>
      <c r="J156" s="621">
        <f>'1.NVL Chai'!J$14*'2.Hao hut &amp; % chai '!H13</f>
        <v>2275</v>
      </c>
      <c r="K156" s="621">
        <f>'1.NVL Chai'!K$14*'2.Hao hut &amp; % chai '!I13</f>
        <v>2449.9999999999995</v>
      </c>
      <c r="L156" s="621">
        <f>'1.NVL Chai'!L$14*'2.Hao hut &amp; % chai '!J13</f>
        <v>2449.9999999999995</v>
      </c>
      <c r="M156" s="621">
        <f>'1.NVL Chai'!M$14*'2.Hao hut &amp; % chai '!K13</f>
        <v>2449.9999999999995</v>
      </c>
      <c r="N156" s="621">
        <f>'1.NVL Chai'!N$14*'2.Hao hut &amp; % chai '!L13</f>
        <v>2449.9999999999995</v>
      </c>
      <c r="O156" s="621">
        <f>'1.NVL Chai'!O$14*'2.Hao hut &amp; % chai '!M13</f>
        <v>2449.9999999999995</v>
      </c>
      <c r="P156" s="621">
        <f>'1.NVL Chai'!P$14*'2.Hao hut &amp; % chai '!N13</f>
        <v>2449.9999999999995</v>
      </c>
      <c r="Q156" s="621">
        <f>'1.NVL Chai'!Q$14*'2.Hao hut &amp; % chai '!O13</f>
        <v>2449.9999999999995</v>
      </c>
      <c r="R156" s="621">
        <f>'1.NVL Chai'!R$14*'2.Hao hut &amp; % chai '!P13</f>
        <v>2449.9999999999995</v>
      </c>
      <c r="S156" s="621">
        <f>'1.NVL Chai'!S$14*'2.Hao hut &amp; % chai '!Q13</f>
        <v>2449.9999999999995</v>
      </c>
      <c r="T156" s="620">
        <f t="shared" si="62"/>
        <v>28000</v>
      </c>
    </row>
    <row r="157" spans="2:20" s="37" customFormat="1" ht="21" customHeight="1" x14ac:dyDescent="0.35">
      <c r="B157" s="190"/>
      <c r="C157" s="43" t="s">
        <v>31</v>
      </c>
      <c r="D157" s="914" t="s">
        <v>22</v>
      </c>
      <c r="E157" s="29">
        <f>SUM(E154:E156)</f>
        <v>68406.73000000001</v>
      </c>
      <c r="F157" s="29">
        <f>SUM(F154:F156)</f>
        <v>46088.9</v>
      </c>
      <c r="G157" s="29">
        <f>SUM(G154:G156)</f>
        <v>317791</v>
      </c>
      <c r="H157" s="29">
        <f t="shared" ref="H157:S157" si="63">SUM(H154:H156)</f>
        <v>27300</v>
      </c>
      <c r="I157" s="29">
        <f t="shared" si="63"/>
        <v>20475</v>
      </c>
      <c r="J157" s="29">
        <f t="shared" si="63"/>
        <v>29575</v>
      </c>
      <c r="K157" s="29">
        <f t="shared" si="63"/>
        <v>31849.999999999996</v>
      </c>
      <c r="L157" s="29">
        <f t="shared" si="63"/>
        <v>31849.999999999996</v>
      </c>
      <c r="M157" s="29">
        <f t="shared" si="63"/>
        <v>31849.999999999996</v>
      </c>
      <c r="N157" s="29">
        <f t="shared" si="63"/>
        <v>31849.999999999996</v>
      </c>
      <c r="O157" s="29">
        <f t="shared" si="63"/>
        <v>31849.999999999996</v>
      </c>
      <c r="P157" s="29">
        <f t="shared" si="63"/>
        <v>31849.999999999996</v>
      </c>
      <c r="Q157" s="29">
        <f t="shared" si="63"/>
        <v>31849.999999999996</v>
      </c>
      <c r="R157" s="29">
        <f t="shared" si="63"/>
        <v>31849.999999999996</v>
      </c>
      <c r="S157" s="29">
        <f t="shared" si="63"/>
        <v>31849.999999999996</v>
      </c>
      <c r="T157" s="29">
        <f>SUM(T154:T156)</f>
        <v>364000</v>
      </c>
    </row>
    <row r="158" spans="2:20" s="37" customFormat="1" ht="11.5" customHeight="1" x14ac:dyDescent="0.35">
      <c r="B158" s="196"/>
      <c r="C158" s="39"/>
      <c r="D158" s="39"/>
      <c r="E158" s="39"/>
      <c r="F158" s="39"/>
      <c r="G158" s="197"/>
      <c r="H158" s="197"/>
      <c r="I158" s="197"/>
      <c r="J158" s="197"/>
      <c r="K158" s="364"/>
      <c r="L158" s="197"/>
      <c r="M158" s="197"/>
      <c r="N158" s="197"/>
      <c r="O158" s="197"/>
      <c r="P158" s="197"/>
      <c r="Q158" s="197"/>
      <c r="R158" s="197"/>
      <c r="S158" s="197"/>
    </row>
    <row r="159" spans="2:20" x14ac:dyDescent="0.35">
      <c r="B159" s="37" t="s">
        <v>1637</v>
      </c>
    </row>
    <row r="160" spans="2:20" s="39" customFormat="1" ht="26" x14ac:dyDescent="0.35">
      <c r="B160" s="7">
        <v>3</v>
      </c>
      <c r="C160" s="38" t="s">
        <v>44</v>
      </c>
      <c r="D160" s="397" t="s">
        <v>11</v>
      </c>
      <c r="E160" s="397" t="s">
        <v>1943</v>
      </c>
      <c r="F160" s="397" t="s">
        <v>1942</v>
      </c>
      <c r="G160" s="7" t="s">
        <v>405</v>
      </c>
      <c r="H160" s="7" t="s">
        <v>56</v>
      </c>
      <c r="I160" s="7" t="s">
        <v>57</v>
      </c>
      <c r="J160" s="7" t="s">
        <v>58</v>
      </c>
      <c r="K160" s="7" t="s">
        <v>59</v>
      </c>
      <c r="L160" s="7" t="s">
        <v>60</v>
      </c>
      <c r="M160" s="7" t="s">
        <v>61</v>
      </c>
      <c r="N160" s="7" t="s">
        <v>62</v>
      </c>
      <c r="O160" s="7" t="s">
        <v>63</v>
      </c>
      <c r="P160" s="7" t="s">
        <v>64</v>
      </c>
      <c r="Q160" s="7" t="s">
        <v>65</v>
      </c>
      <c r="R160" s="7" t="s">
        <v>66</v>
      </c>
      <c r="S160" s="7" t="s">
        <v>67</v>
      </c>
      <c r="T160" s="7" t="s">
        <v>2246</v>
      </c>
    </row>
    <row r="161" spans="2:20" x14ac:dyDescent="0.35">
      <c r="B161" s="622">
        <v>1</v>
      </c>
      <c r="C161" s="623" t="s">
        <v>68</v>
      </c>
      <c r="D161" s="611" t="s">
        <v>22</v>
      </c>
      <c r="E161" s="611"/>
      <c r="F161" s="611"/>
      <c r="G161" s="624"/>
      <c r="H161" s="630">
        <f>'1.NVL Chai'!H$15*'2.Hao hut &amp; % chai '!F17</f>
        <v>0</v>
      </c>
      <c r="I161" s="630">
        <f>'1.NVL Chai'!I$15*'2.Hao hut &amp; % chai '!G17</f>
        <v>0</v>
      </c>
      <c r="J161" s="630">
        <f>'1.NVL Chai'!J$15*'2.Hao hut &amp; % chai '!H17</f>
        <v>0</v>
      </c>
      <c r="K161" s="630">
        <f>'1.NVL Chai'!K$15*'2.Hao hut &amp; % chai '!I17</f>
        <v>0</v>
      </c>
      <c r="L161" s="630">
        <f>'1.NVL Chai'!L$15*'2.Hao hut &amp; % chai '!J17</f>
        <v>0</v>
      </c>
      <c r="M161" s="630">
        <f>'1.NVL Chai'!M$15*'2.Hao hut &amp; % chai '!K17</f>
        <v>0</v>
      </c>
      <c r="N161" s="630">
        <f>'1.NVL Chai'!N$15*'2.Hao hut &amp; % chai '!L17</f>
        <v>0</v>
      </c>
      <c r="O161" s="630">
        <f>'1.NVL Chai'!O$15*'2.Hao hut &amp; % chai '!M17</f>
        <v>0</v>
      </c>
      <c r="P161" s="630">
        <f>'1.NVL Chai'!P$15*'2.Hao hut &amp; % chai '!N17</f>
        <v>0</v>
      </c>
      <c r="Q161" s="630">
        <f>'1.NVL Chai'!Q$15*'2.Hao hut &amp; % chai '!O17</f>
        <v>0</v>
      </c>
      <c r="R161" s="630">
        <f>'1.NVL Chai'!R$15*'2.Hao hut &amp; % chai '!P17</f>
        <v>0</v>
      </c>
      <c r="S161" s="630">
        <f>'1.NVL Chai'!S$15*'2.Hao hut &amp; % chai '!Q17</f>
        <v>0</v>
      </c>
      <c r="T161" s="631">
        <f t="shared" ref="T161:T163" si="64">SUM(H161:S161)</f>
        <v>0</v>
      </c>
    </row>
    <row r="162" spans="2:20" x14ac:dyDescent="0.35">
      <c r="B162" s="625">
        <v>2</v>
      </c>
      <c r="C162" s="626" t="s">
        <v>43</v>
      </c>
      <c r="D162" s="611" t="s">
        <v>22</v>
      </c>
      <c r="E162" s="1222"/>
      <c r="F162" s="1222"/>
      <c r="G162" s="621">
        <v>7432</v>
      </c>
      <c r="H162" s="617">
        <f>'1.NVL Chai'!H$15*'2.Hao hut &amp; % chai '!F18</f>
        <v>0</v>
      </c>
      <c r="I162" s="617">
        <f>'1.NVL Chai'!I$15*'2.Hao hut &amp; % chai '!G18</f>
        <v>0</v>
      </c>
      <c r="J162" s="617">
        <f>'1.NVL Chai'!J$15*'2.Hao hut &amp; % chai '!H18</f>
        <v>0</v>
      </c>
      <c r="K162" s="617">
        <f>'1.NVL Chai'!K$15*'2.Hao hut &amp; % chai '!I18</f>
        <v>0</v>
      </c>
      <c r="L162" s="617">
        <f>'1.NVL Chai'!L$15*'2.Hao hut &amp; % chai '!J18</f>
        <v>0</v>
      </c>
      <c r="M162" s="617">
        <f>'1.NVL Chai'!M$15*'2.Hao hut &amp; % chai '!K18</f>
        <v>0</v>
      </c>
      <c r="N162" s="617">
        <f>'1.NVL Chai'!N$15*'2.Hao hut &amp; % chai '!L18</f>
        <v>0</v>
      </c>
      <c r="O162" s="617">
        <f>'1.NVL Chai'!O$15*'2.Hao hut &amp; % chai '!M18</f>
        <v>0</v>
      </c>
      <c r="P162" s="617">
        <f>'1.NVL Chai'!P$15*'2.Hao hut &amp; % chai '!N18</f>
        <v>0</v>
      </c>
      <c r="Q162" s="617">
        <f>'1.NVL Chai'!Q$15*'2.Hao hut &amp; % chai '!O18</f>
        <v>0</v>
      </c>
      <c r="R162" s="617">
        <f>'1.NVL Chai'!R$15*'2.Hao hut &amp; % chai '!P18</f>
        <v>0</v>
      </c>
      <c r="S162" s="617">
        <f>'1.NVL Chai'!S$15*'2.Hao hut &amp; % chai '!Q18</f>
        <v>0</v>
      </c>
      <c r="T162" s="616">
        <f t="shared" si="64"/>
        <v>0</v>
      </c>
    </row>
    <row r="163" spans="2:20" ht="37.5" x14ac:dyDescent="0.35">
      <c r="B163" s="627">
        <v>3</v>
      </c>
      <c r="C163" s="628" t="s">
        <v>69</v>
      </c>
      <c r="D163" s="628"/>
      <c r="E163" s="628"/>
      <c r="F163" s="628"/>
      <c r="G163" s="621"/>
      <c r="H163" s="621">
        <f>'1.NVL Chai'!H$15*'2.Hao hut &amp; % chai '!F19</f>
        <v>0</v>
      </c>
      <c r="I163" s="621">
        <f>'1.NVL Chai'!I$15*'2.Hao hut &amp; % chai '!G19</f>
        <v>0</v>
      </c>
      <c r="J163" s="621">
        <f>'1.NVL Chai'!J$15*'2.Hao hut &amp; % chai '!H19</f>
        <v>0</v>
      </c>
      <c r="K163" s="621">
        <f>'1.NVL Chai'!K$15*'2.Hao hut &amp; % chai '!I19</f>
        <v>0</v>
      </c>
      <c r="L163" s="621">
        <f>'1.NVL Chai'!L$15*'2.Hao hut &amp; % chai '!J19</f>
        <v>0</v>
      </c>
      <c r="M163" s="621">
        <f>'1.NVL Chai'!M$15*'2.Hao hut &amp; % chai '!K19</f>
        <v>0</v>
      </c>
      <c r="N163" s="621">
        <f>'1.NVL Chai'!N$15*'2.Hao hut &amp; % chai '!L19</f>
        <v>0</v>
      </c>
      <c r="O163" s="621">
        <f>'1.NVL Chai'!O$15*'2.Hao hut &amp; % chai '!M19</f>
        <v>0</v>
      </c>
      <c r="P163" s="621">
        <f>'1.NVL Chai'!P$15*'2.Hao hut &amp; % chai '!N19</f>
        <v>0</v>
      </c>
      <c r="Q163" s="621">
        <f>'1.NVL Chai'!Q$15*'2.Hao hut &amp; % chai '!O19</f>
        <v>0</v>
      </c>
      <c r="R163" s="621">
        <f>'1.NVL Chai'!R$15*'2.Hao hut &amp; % chai '!P19</f>
        <v>0</v>
      </c>
      <c r="S163" s="621">
        <f>'1.NVL Chai'!S$15*'2.Hao hut &amp; % chai '!Q19</f>
        <v>0</v>
      </c>
      <c r="T163" s="620">
        <f t="shared" si="64"/>
        <v>0</v>
      </c>
    </row>
    <row r="164" spans="2:20" x14ac:dyDescent="0.35">
      <c r="B164" s="190"/>
      <c r="C164" s="43" t="s">
        <v>31</v>
      </c>
      <c r="D164" s="914" t="s">
        <v>22</v>
      </c>
      <c r="E164" s="1223"/>
      <c r="F164" s="1223"/>
      <c r="G164" s="29">
        <f t="shared" ref="G164:S164" si="65">SUM(G161:G163)</f>
        <v>7432</v>
      </c>
      <c r="H164" s="29">
        <f t="shared" si="65"/>
        <v>0</v>
      </c>
      <c r="I164" s="29">
        <f t="shared" si="65"/>
        <v>0</v>
      </c>
      <c r="J164" s="29">
        <f t="shared" si="65"/>
        <v>0</v>
      </c>
      <c r="K164" s="29">
        <f t="shared" si="65"/>
        <v>0</v>
      </c>
      <c r="L164" s="29">
        <f t="shared" si="65"/>
        <v>0</v>
      </c>
      <c r="M164" s="29">
        <f t="shared" si="65"/>
        <v>0</v>
      </c>
      <c r="N164" s="29">
        <f t="shared" si="65"/>
        <v>0</v>
      </c>
      <c r="O164" s="29">
        <f t="shared" si="65"/>
        <v>0</v>
      </c>
      <c r="P164" s="29">
        <f t="shared" si="65"/>
        <v>0</v>
      </c>
      <c r="Q164" s="29">
        <f t="shared" si="65"/>
        <v>0</v>
      </c>
      <c r="R164" s="29">
        <f t="shared" si="65"/>
        <v>0</v>
      </c>
      <c r="S164" s="29">
        <f t="shared" si="65"/>
        <v>0</v>
      </c>
      <c r="T164" s="29">
        <f>SUM(T161:T163)</f>
        <v>0</v>
      </c>
    </row>
    <row r="165" spans="2:20" x14ac:dyDescent="0.35">
      <c r="B165" s="196"/>
      <c r="C165" s="39"/>
      <c r="D165" s="39"/>
      <c r="E165" s="39"/>
      <c r="F165" s="39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</row>
    <row r="166" spans="2:20" x14ac:dyDescent="0.35">
      <c r="B166" s="37" t="s">
        <v>1638</v>
      </c>
    </row>
    <row r="167" spans="2:20" ht="26" x14ac:dyDescent="0.35">
      <c r="B167" s="141" t="s">
        <v>0</v>
      </c>
      <c r="C167" s="141" t="s">
        <v>414</v>
      </c>
      <c r="D167" s="397" t="s">
        <v>11</v>
      </c>
      <c r="E167" s="397" t="s">
        <v>1943</v>
      </c>
      <c r="F167" s="397" t="s">
        <v>1942</v>
      </c>
      <c r="G167" s="7" t="s">
        <v>405</v>
      </c>
      <c r="H167" s="7" t="s">
        <v>56</v>
      </c>
      <c r="I167" s="7" t="s">
        <v>57</v>
      </c>
      <c r="J167" s="7" t="s">
        <v>58</v>
      </c>
      <c r="K167" s="7" t="s">
        <v>59</v>
      </c>
      <c r="L167" s="7" t="s">
        <v>60</v>
      </c>
      <c r="M167" s="7" t="s">
        <v>61</v>
      </c>
      <c r="N167" s="7" t="s">
        <v>62</v>
      </c>
      <c r="O167" s="7" t="s">
        <v>63</v>
      </c>
      <c r="P167" s="7" t="s">
        <v>64</v>
      </c>
      <c r="Q167" s="7" t="s">
        <v>65</v>
      </c>
      <c r="R167" s="7" t="s">
        <v>66</v>
      </c>
      <c r="S167" s="7" t="s">
        <v>67</v>
      </c>
      <c r="T167" s="7" t="s">
        <v>2246</v>
      </c>
    </row>
    <row r="168" spans="2:20" x14ac:dyDescent="0.35">
      <c r="B168" s="610">
        <v>1</v>
      </c>
      <c r="C168" s="611" t="s">
        <v>35</v>
      </c>
      <c r="D168" s="611"/>
      <c r="E168" s="611"/>
      <c r="F168" s="611"/>
      <c r="G168" s="613"/>
      <c r="H168" s="613">
        <f>H102*'2.Hao hut &amp; % chai '!F130</f>
        <v>0</v>
      </c>
      <c r="I168" s="613">
        <f>I102*'2.Hao hut &amp; % chai '!G130</f>
        <v>0</v>
      </c>
      <c r="J168" s="613">
        <f>J102*'2.Hao hut &amp; % chai '!H130</f>
        <v>0</v>
      </c>
      <c r="K168" s="613">
        <f>K102*'2.Hao hut &amp; % chai '!I130</f>
        <v>0</v>
      </c>
      <c r="L168" s="613">
        <f>L102*'2.Hao hut &amp; % chai '!J130</f>
        <v>0</v>
      </c>
      <c r="M168" s="613">
        <f>M102*'2.Hao hut &amp; % chai '!K130</f>
        <v>0</v>
      </c>
      <c r="N168" s="613">
        <f>N102*'2.Hao hut &amp; % chai '!L130</f>
        <v>0</v>
      </c>
      <c r="O168" s="613">
        <f>O102*'2.Hao hut &amp; % chai '!M130</f>
        <v>0</v>
      </c>
      <c r="P168" s="613">
        <f>P102*'2.Hao hut &amp; % chai '!N130</f>
        <v>0</v>
      </c>
      <c r="Q168" s="613">
        <f>Q102*'2.Hao hut &amp; % chai '!O130</f>
        <v>0</v>
      </c>
      <c r="R168" s="613">
        <f>R102*'2.Hao hut &amp; % chai '!P130</f>
        <v>0</v>
      </c>
      <c r="S168" s="613">
        <f>S102*'2.Hao hut &amp; % chai '!Q130</f>
        <v>0</v>
      </c>
      <c r="T168" s="612">
        <f t="shared" ref="T168:T182" si="66">SUM(H168:S168)</f>
        <v>0</v>
      </c>
    </row>
    <row r="169" spans="2:20" x14ac:dyDescent="0.35">
      <c r="B169" s="614">
        <v>2</v>
      </c>
      <c r="C169" s="615" t="s">
        <v>401</v>
      </c>
      <c r="D169" s="615"/>
      <c r="E169" s="615"/>
      <c r="F169" s="615"/>
      <c r="G169" s="617"/>
      <c r="H169" s="617">
        <f>H103*'2.Hao hut &amp; % chai '!F131</f>
        <v>0</v>
      </c>
      <c r="I169" s="617">
        <f>I103*'2.Hao hut &amp; % chai '!G131</f>
        <v>0</v>
      </c>
      <c r="J169" s="617">
        <f>J103*'2.Hao hut &amp; % chai '!H131</f>
        <v>0</v>
      </c>
      <c r="K169" s="617">
        <f>K103*'2.Hao hut &amp; % chai '!I131</f>
        <v>0</v>
      </c>
      <c r="L169" s="617">
        <f>L103*'2.Hao hut &amp; % chai '!J131</f>
        <v>0</v>
      </c>
      <c r="M169" s="617">
        <f>M103*'2.Hao hut &amp; % chai '!K131</f>
        <v>0</v>
      </c>
      <c r="N169" s="617">
        <f>N103*'2.Hao hut &amp; % chai '!L131</f>
        <v>0</v>
      </c>
      <c r="O169" s="617">
        <f>O103*'2.Hao hut &amp; % chai '!M131</f>
        <v>0</v>
      </c>
      <c r="P169" s="617">
        <f>P103*'2.Hao hut &amp; % chai '!N131</f>
        <v>0</v>
      </c>
      <c r="Q169" s="617">
        <f>Q103*'2.Hao hut &amp; % chai '!O131</f>
        <v>0</v>
      </c>
      <c r="R169" s="617">
        <f>R103*'2.Hao hut &amp; % chai '!P131</f>
        <v>0</v>
      </c>
      <c r="S169" s="617">
        <f>S103*'2.Hao hut &amp; % chai '!Q131</f>
        <v>0</v>
      </c>
      <c r="T169" s="616">
        <f t="shared" si="66"/>
        <v>0</v>
      </c>
    </row>
    <row r="170" spans="2:20" x14ac:dyDescent="0.35">
      <c r="B170" s="614">
        <v>3</v>
      </c>
      <c r="C170" s="615" t="s">
        <v>42</v>
      </c>
      <c r="D170" s="615"/>
      <c r="E170" s="615"/>
      <c r="F170" s="615"/>
      <c r="G170" s="617"/>
      <c r="H170" s="617">
        <f>H104*'2.Hao hut &amp; % chai '!F132</f>
        <v>0</v>
      </c>
      <c r="I170" s="617">
        <f>I104*'2.Hao hut &amp; % chai '!G132</f>
        <v>0</v>
      </c>
      <c r="J170" s="617">
        <f>J104*'2.Hao hut &amp; % chai '!H132</f>
        <v>0</v>
      </c>
      <c r="K170" s="617">
        <f>K104*'2.Hao hut &amp; % chai '!I132</f>
        <v>0</v>
      </c>
      <c r="L170" s="617">
        <f>L104*'2.Hao hut &amp; % chai '!J132</f>
        <v>0</v>
      </c>
      <c r="M170" s="617">
        <f>M104*'2.Hao hut &amp; % chai '!K132</f>
        <v>0</v>
      </c>
      <c r="N170" s="617">
        <f>N104*'2.Hao hut &amp; % chai '!L132</f>
        <v>0</v>
      </c>
      <c r="O170" s="617">
        <f>O104*'2.Hao hut &amp; % chai '!M132</f>
        <v>0</v>
      </c>
      <c r="P170" s="617">
        <f>P104*'2.Hao hut &amp; % chai '!N132</f>
        <v>0</v>
      </c>
      <c r="Q170" s="617">
        <f>Q104*'2.Hao hut &amp; % chai '!O132</f>
        <v>0</v>
      </c>
      <c r="R170" s="617">
        <f>R104*'2.Hao hut &amp; % chai '!P132</f>
        <v>0</v>
      </c>
      <c r="S170" s="617">
        <f>S104*'2.Hao hut &amp; % chai '!Q132</f>
        <v>0</v>
      </c>
      <c r="T170" s="616">
        <f t="shared" si="66"/>
        <v>0</v>
      </c>
    </row>
    <row r="171" spans="2:20" x14ac:dyDescent="0.35">
      <c r="B171" s="614">
        <v>4</v>
      </c>
      <c r="C171" s="615" t="s">
        <v>39</v>
      </c>
      <c r="D171" s="615"/>
      <c r="E171" s="615"/>
      <c r="F171" s="615"/>
      <c r="G171" s="617"/>
      <c r="H171" s="617">
        <f>H105*'2.Hao hut &amp; % chai '!F133</f>
        <v>0</v>
      </c>
      <c r="I171" s="617">
        <f>I105*'2.Hao hut &amp; % chai '!G133</f>
        <v>0</v>
      </c>
      <c r="J171" s="617">
        <f>J105*'2.Hao hut &amp; % chai '!H133</f>
        <v>0</v>
      </c>
      <c r="K171" s="617">
        <f>K105*'2.Hao hut &amp; % chai '!I133</f>
        <v>0</v>
      </c>
      <c r="L171" s="617">
        <f>L105*'2.Hao hut &amp; % chai '!J133</f>
        <v>0</v>
      </c>
      <c r="M171" s="617">
        <f>M105*'2.Hao hut &amp; % chai '!K133</f>
        <v>0</v>
      </c>
      <c r="N171" s="617">
        <f>N105*'2.Hao hut &amp; % chai '!L133</f>
        <v>0</v>
      </c>
      <c r="O171" s="617">
        <f>O105*'2.Hao hut &amp; % chai '!M133</f>
        <v>0</v>
      </c>
      <c r="P171" s="617">
        <f>P105*'2.Hao hut &amp; % chai '!N133</f>
        <v>0</v>
      </c>
      <c r="Q171" s="617">
        <f>Q105*'2.Hao hut &amp; % chai '!O133</f>
        <v>0</v>
      </c>
      <c r="R171" s="617">
        <f>R105*'2.Hao hut &amp; % chai '!P133</f>
        <v>0</v>
      </c>
      <c r="S171" s="617">
        <f>S105*'2.Hao hut &amp; % chai '!Q133</f>
        <v>0</v>
      </c>
      <c r="T171" s="616">
        <f t="shared" si="66"/>
        <v>0</v>
      </c>
    </row>
    <row r="172" spans="2:20" x14ac:dyDescent="0.35">
      <c r="B172" s="614">
        <v>5</v>
      </c>
      <c r="C172" s="615" t="s">
        <v>32</v>
      </c>
      <c r="D172" s="615"/>
      <c r="E172" s="615"/>
      <c r="F172" s="615"/>
      <c r="G172" s="617"/>
      <c r="H172" s="617">
        <f>H106*'2.Hao hut &amp; % chai '!F134</f>
        <v>0</v>
      </c>
      <c r="I172" s="617">
        <f>I106*'2.Hao hut &amp; % chai '!G134</f>
        <v>0</v>
      </c>
      <c r="J172" s="617">
        <f>J106*'2.Hao hut &amp; % chai '!H134</f>
        <v>0</v>
      </c>
      <c r="K172" s="617">
        <f>K106*'2.Hao hut &amp; % chai '!I134</f>
        <v>0</v>
      </c>
      <c r="L172" s="617">
        <f>L106*'2.Hao hut &amp; % chai '!J134</f>
        <v>0</v>
      </c>
      <c r="M172" s="617">
        <f>M106*'2.Hao hut &amp; % chai '!K134</f>
        <v>0</v>
      </c>
      <c r="N172" s="617">
        <f>N106*'2.Hao hut &amp; % chai '!L134</f>
        <v>0</v>
      </c>
      <c r="O172" s="617">
        <f>O106*'2.Hao hut &amp; % chai '!M134</f>
        <v>0</v>
      </c>
      <c r="P172" s="617">
        <f>P106*'2.Hao hut &amp; % chai '!N134</f>
        <v>0</v>
      </c>
      <c r="Q172" s="617">
        <f>Q106*'2.Hao hut &amp; % chai '!O134</f>
        <v>0</v>
      </c>
      <c r="R172" s="617">
        <f>R106*'2.Hao hut &amp; % chai '!P134</f>
        <v>0</v>
      </c>
      <c r="S172" s="617">
        <f>S106*'2.Hao hut &amp; % chai '!Q134</f>
        <v>0</v>
      </c>
      <c r="T172" s="616">
        <f t="shared" si="66"/>
        <v>0</v>
      </c>
    </row>
    <row r="173" spans="2:20" x14ac:dyDescent="0.35">
      <c r="B173" s="614">
        <v>6</v>
      </c>
      <c r="C173" s="615" t="s">
        <v>36</v>
      </c>
      <c r="D173" s="615"/>
      <c r="E173" s="615"/>
      <c r="F173" s="615"/>
      <c r="G173" s="617"/>
      <c r="H173" s="617">
        <f>H107*'2.Hao hut &amp; % chai '!F135</f>
        <v>0</v>
      </c>
      <c r="I173" s="617">
        <f>I107*'2.Hao hut &amp; % chai '!G135</f>
        <v>0</v>
      </c>
      <c r="J173" s="617">
        <f>J107*'2.Hao hut &amp; % chai '!H135</f>
        <v>0</v>
      </c>
      <c r="K173" s="617">
        <f>K107*'2.Hao hut &amp; % chai '!I135</f>
        <v>0</v>
      </c>
      <c r="L173" s="617">
        <f>L107*'2.Hao hut &amp; % chai '!J135</f>
        <v>0</v>
      </c>
      <c r="M173" s="617">
        <f>M107*'2.Hao hut &amp; % chai '!K135</f>
        <v>0</v>
      </c>
      <c r="N173" s="617">
        <f>N107*'2.Hao hut &amp; % chai '!L135</f>
        <v>0</v>
      </c>
      <c r="O173" s="617">
        <f>O107*'2.Hao hut &amp; % chai '!M135</f>
        <v>0</v>
      </c>
      <c r="P173" s="617">
        <f>P107*'2.Hao hut &amp; % chai '!N135</f>
        <v>0</v>
      </c>
      <c r="Q173" s="617">
        <f>Q107*'2.Hao hut &amp; % chai '!O135</f>
        <v>0</v>
      </c>
      <c r="R173" s="617">
        <f>R107*'2.Hao hut &amp; % chai '!P135</f>
        <v>0</v>
      </c>
      <c r="S173" s="617">
        <f>S107*'2.Hao hut &amp; % chai '!Q135</f>
        <v>0</v>
      </c>
      <c r="T173" s="616">
        <f t="shared" si="66"/>
        <v>0</v>
      </c>
    </row>
    <row r="174" spans="2:20" x14ac:dyDescent="0.35">
      <c r="B174" s="614">
        <v>7</v>
      </c>
      <c r="C174" s="615" t="s">
        <v>34</v>
      </c>
      <c r="D174" s="615"/>
      <c r="E174" s="615"/>
      <c r="F174" s="615"/>
      <c r="G174" s="617"/>
      <c r="H174" s="617">
        <f>H108*'2.Hao hut &amp; % chai '!F136</f>
        <v>0</v>
      </c>
      <c r="I174" s="617">
        <f>I108*'2.Hao hut &amp; % chai '!G136</f>
        <v>0</v>
      </c>
      <c r="J174" s="617">
        <f>J108*'2.Hao hut &amp; % chai '!H136</f>
        <v>0</v>
      </c>
      <c r="K174" s="617">
        <f>K108*'2.Hao hut &amp; % chai '!I136</f>
        <v>0</v>
      </c>
      <c r="L174" s="617">
        <f>L108*'2.Hao hut &amp; % chai '!J136</f>
        <v>0</v>
      </c>
      <c r="M174" s="617">
        <f>M108*'2.Hao hut &amp; % chai '!K136</f>
        <v>0</v>
      </c>
      <c r="N174" s="617">
        <f>N108*'2.Hao hut &amp; % chai '!L136</f>
        <v>0</v>
      </c>
      <c r="O174" s="617">
        <f>O108*'2.Hao hut &amp; % chai '!M136</f>
        <v>0</v>
      </c>
      <c r="P174" s="617">
        <f>P108*'2.Hao hut &amp; % chai '!N136</f>
        <v>0</v>
      </c>
      <c r="Q174" s="617">
        <f>Q108*'2.Hao hut &amp; % chai '!O136</f>
        <v>0</v>
      </c>
      <c r="R174" s="617">
        <f>R108*'2.Hao hut &amp; % chai '!P136</f>
        <v>0</v>
      </c>
      <c r="S174" s="617">
        <f>S108*'2.Hao hut &amp; % chai '!Q136</f>
        <v>0</v>
      </c>
      <c r="T174" s="616">
        <f t="shared" si="66"/>
        <v>0</v>
      </c>
    </row>
    <row r="175" spans="2:20" x14ac:dyDescent="0.35">
      <c r="B175" s="614">
        <v>8</v>
      </c>
      <c r="C175" s="615" t="s">
        <v>33</v>
      </c>
      <c r="D175" s="615"/>
      <c r="E175" s="615"/>
      <c r="F175" s="615"/>
      <c r="G175" s="617"/>
      <c r="H175" s="617">
        <f>H109*'2.Hao hut &amp; % chai '!F137</f>
        <v>0</v>
      </c>
      <c r="I175" s="617">
        <f>I109*'2.Hao hut &amp; % chai '!G137</f>
        <v>0</v>
      </c>
      <c r="J175" s="617">
        <f>J109*'2.Hao hut &amp; % chai '!H137</f>
        <v>0</v>
      </c>
      <c r="K175" s="617">
        <f>K109*'2.Hao hut &amp; % chai '!I137</f>
        <v>0</v>
      </c>
      <c r="L175" s="617">
        <f>L109*'2.Hao hut &amp; % chai '!J137</f>
        <v>0</v>
      </c>
      <c r="M175" s="617">
        <f>M109*'2.Hao hut &amp; % chai '!K137</f>
        <v>0</v>
      </c>
      <c r="N175" s="617">
        <f>N109*'2.Hao hut &amp; % chai '!L137</f>
        <v>0</v>
      </c>
      <c r="O175" s="617">
        <f>O109*'2.Hao hut &amp; % chai '!M137</f>
        <v>0</v>
      </c>
      <c r="P175" s="617">
        <f>P109*'2.Hao hut &amp; % chai '!N137</f>
        <v>0</v>
      </c>
      <c r="Q175" s="617">
        <f>Q109*'2.Hao hut &amp; % chai '!O137</f>
        <v>0</v>
      </c>
      <c r="R175" s="617">
        <f>R109*'2.Hao hut &amp; % chai '!P137</f>
        <v>0</v>
      </c>
      <c r="S175" s="617">
        <f>S109*'2.Hao hut &amp; % chai '!Q137</f>
        <v>0</v>
      </c>
      <c r="T175" s="616">
        <f t="shared" si="66"/>
        <v>0</v>
      </c>
    </row>
    <row r="176" spans="2:20" x14ac:dyDescent="0.35">
      <c r="B176" s="614">
        <v>9</v>
      </c>
      <c r="C176" s="615" t="s">
        <v>37</v>
      </c>
      <c r="D176" s="615"/>
      <c r="E176" s="615"/>
      <c r="F176" s="615"/>
      <c r="G176" s="617"/>
      <c r="H176" s="617">
        <f>H110*'2.Hao hut &amp; % chai '!F138</f>
        <v>0</v>
      </c>
      <c r="I176" s="617">
        <f>I110*'2.Hao hut &amp; % chai '!G138</f>
        <v>0</v>
      </c>
      <c r="J176" s="617">
        <f>J110*'2.Hao hut &amp; % chai '!H138</f>
        <v>0</v>
      </c>
      <c r="K176" s="617">
        <f>K110*'2.Hao hut &amp; % chai '!I138</f>
        <v>0</v>
      </c>
      <c r="L176" s="617">
        <f>L110*'2.Hao hut &amp; % chai '!J138</f>
        <v>0</v>
      </c>
      <c r="M176" s="617">
        <f>M110*'2.Hao hut &amp; % chai '!K138</f>
        <v>0</v>
      </c>
      <c r="N176" s="617">
        <f>N110*'2.Hao hut &amp; % chai '!L138</f>
        <v>0</v>
      </c>
      <c r="O176" s="617">
        <f>O110*'2.Hao hut &amp; % chai '!M138</f>
        <v>0</v>
      </c>
      <c r="P176" s="617">
        <f>P110*'2.Hao hut &amp; % chai '!N138</f>
        <v>0</v>
      </c>
      <c r="Q176" s="617">
        <f>Q110*'2.Hao hut &amp; % chai '!O138</f>
        <v>0</v>
      </c>
      <c r="R176" s="617">
        <f>R110*'2.Hao hut &amp; % chai '!P138</f>
        <v>0</v>
      </c>
      <c r="S176" s="617">
        <f>S110*'2.Hao hut &amp; % chai '!Q138</f>
        <v>0</v>
      </c>
      <c r="T176" s="616">
        <f t="shared" si="66"/>
        <v>0</v>
      </c>
    </row>
    <row r="177" spans="2:20" x14ac:dyDescent="0.35">
      <c r="B177" s="614">
        <v>10</v>
      </c>
      <c r="C177" s="615" t="s">
        <v>38</v>
      </c>
      <c r="D177" s="615"/>
      <c r="E177" s="615"/>
      <c r="F177" s="615"/>
      <c r="G177" s="617"/>
      <c r="H177" s="617">
        <f>H111*'2.Hao hut &amp; % chai '!F139</f>
        <v>0</v>
      </c>
      <c r="I177" s="617">
        <f>I111*'2.Hao hut &amp; % chai '!G139</f>
        <v>0</v>
      </c>
      <c r="J177" s="617">
        <f>J111*'2.Hao hut &amp; % chai '!H139</f>
        <v>0</v>
      </c>
      <c r="K177" s="617">
        <f>K111*'2.Hao hut &amp; % chai '!I139</f>
        <v>0</v>
      </c>
      <c r="L177" s="617">
        <f>L111*'2.Hao hut &amp; % chai '!J139</f>
        <v>0</v>
      </c>
      <c r="M177" s="617">
        <f>M111*'2.Hao hut &amp; % chai '!K139</f>
        <v>0</v>
      </c>
      <c r="N177" s="617">
        <f>N111*'2.Hao hut &amp; % chai '!L139</f>
        <v>0</v>
      </c>
      <c r="O177" s="617">
        <f>O111*'2.Hao hut &amp; % chai '!M139</f>
        <v>0</v>
      </c>
      <c r="P177" s="617">
        <f>P111*'2.Hao hut &amp; % chai '!N139</f>
        <v>0</v>
      </c>
      <c r="Q177" s="617">
        <f>Q111*'2.Hao hut &amp; % chai '!O139</f>
        <v>0</v>
      </c>
      <c r="R177" s="617">
        <f>R111*'2.Hao hut &amp; % chai '!P139</f>
        <v>0</v>
      </c>
      <c r="S177" s="617">
        <f>S111*'2.Hao hut &amp; % chai '!Q139</f>
        <v>0</v>
      </c>
      <c r="T177" s="616">
        <f t="shared" si="66"/>
        <v>0</v>
      </c>
    </row>
    <row r="178" spans="2:20" x14ac:dyDescent="0.35">
      <c r="B178" s="614">
        <v>11</v>
      </c>
      <c r="C178" s="615" t="s">
        <v>402</v>
      </c>
      <c r="D178" s="615"/>
      <c r="E178" s="615"/>
      <c r="F178" s="615"/>
      <c r="G178" s="617"/>
      <c r="H178" s="617">
        <f>H112*'2.Hao hut &amp; % chai '!F140</f>
        <v>0</v>
      </c>
      <c r="I178" s="617">
        <f>I112*'2.Hao hut &amp; % chai '!G140</f>
        <v>0</v>
      </c>
      <c r="J178" s="617">
        <f>J112*'2.Hao hut &amp; % chai '!H140</f>
        <v>0</v>
      </c>
      <c r="K178" s="617">
        <f>K112*'2.Hao hut &amp; % chai '!I140</f>
        <v>0</v>
      </c>
      <c r="L178" s="617">
        <f>L112*'2.Hao hut &amp; % chai '!J140</f>
        <v>0</v>
      </c>
      <c r="M178" s="617">
        <f>M112*'2.Hao hut &amp; % chai '!K140</f>
        <v>0</v>
      </c>
      <c r="N178" s="617">
        <f>N112*'2.Hao hut &amp; % chai '!L140</f>
        <v>0</v>
      </c>
      <c r="O178" s="617">
        <f>O112*'2.Hao hut &amp; % chai '!M140</f>
        <v>0</v>
      </c>
      <c r="P178" s="617">
        <f>P112*'2.Hao hut &amp; % chai '!N140</f>
        <v>0</v>
      </c>
      <c r="Q178" s="617">
        <f>Q112*'2.Hao hut &amp; % chai '!O140</f>
        <v>0</v>
      </c>
      <c r="R178" s="617">
        <f>R112*'2.Hao hut &amp; % chai '!P140</f>
        <v>0</v>
      </c>
      <c r="S178" s="617">
        <f>S112*'2.Hao hut &amp; % chai '!Q140</f>
        <v>0</v>
      </c>
      <c r="T178" s="616">
        <f t="shared" si="66"/>
        <v>0</v>
      </c>
    </row>
    <row r="179" spans="2:20" x14ac:dyDescent="0.35">
      <c r="B179" s="614">
        <v>12</v>
      </c>
      <c r="C179" s="615" t="s">
        <v>311</v>
      </c>
      <c r="D179" s="615"/>
      <c r="E179" s="615"/>
      <c r="F179" s="615"/>
      <c r="G179" s="617"/>
      <c r="H179" s="617">
        <f>H113*'2.Hao hut &amp; % chai '!F141</f>
        <v>0</v>
      </c>
      <c r="I179" s="617">
        <f>I113*'2.Hao hut &amp; % chai '!G141</f>
        <v>0</v>
      </c>
      <c r="J179" s="617">
        <f>J113*'2.Hao hut &amp; % chai '!H141</f>
        <v>0</v>
      </c>
      <c r="K179" s="617">
        <f>K113*'2.Hao hut &amp; % chai '!I141</f>
        <v>0</v>
      </c>
      <c r="L179" s="617">
        <f>L113*'2.Hao hut &amp; % chai '!J141</f>
        <v>0</v>
      </c>
      <c r="M179" s="617">
        <f>M113*'2.Hao hut &amp; % chai '!K141</f>
        <v>0</v>
      </c>
      <c r="N179" s="617">
        <f>N113*'2.Hao hut &amp; % chai '!L141</f>
        <v>0</v>
      </c>
      <c r="O179" s="617">
        <f>O113*'2.Hao hut &amp; % chai '!M141</f>
        <v>0</v>
      </c>
      <c r="P179" s="617">
        <f>P113*'2.Hao hut &amp; % chai '!N141</f>
        <v>0</v>
      </c>
      <c r="Q179" s="617">
        <f>Q113*'2.Hao hut &amp; % chai '!O141</f>
        <v>0</v>
      </c>
      <c r="R179" s="617">
        <f>R113*'2.Hao hut &amp; % chai '!P141</f>
        <v>0</v>
      </c>
      <c r="S179" s="617">
        <f>S113*'2.Hao hut &amp; % chai '!Q141</f>
        <v>0</v>
      </c>
      <c r="T179" s="616">
        <f t="shared" si="66"/>
        <v>0</v>
      </c>
    </row>
    <row r="180" spans="2:20" x14ac:dyDescent="0.35">
      <c r="B180" s="614">
        <v>13</v>
      </c>
      <c r="C180" s="615" t="s">
        <v>403</v>
      </c>
      <c r="D180" s="615"/>
      <c r="E180" s="615"/>
      <c r="F180" s="615"/>
      <c r="G180" s="617"/>
      <c r="H180" s="632"/>
      <c r="I180" s="632"/>
      <c r="J180" s="632"/>
      <c r="K180" s="632"/>
      <c r="L180" s="632"/>
      <c r="M180" s="632"/>
      <c r="N180" s="632"/>
      <c r="O180" s="632"/>
      <c r="P180" s="632"/>
      <c r="Q180" s="632"/>
      <c r="R180" s="632"/>
      <c r="S180" s="632"/>
      <c r="T180" s="633"/>
    </row>
    <row r="181" spans="2:20" x14ac:dyDescent="0.35">
      <c r="B181" s="614">
        <v>14</v>
      </c>
      <c r="C181" s="615" t="s">
        <v>404</v>
      </c>
      <c r="D181" s="615"/>
      <c r="E181" s="615"/>
      <c r="F181" s="615"/>
      <c r="G181" s="617"/>
      <c r="H181" s="617"/>
      <c r="I181" s="617"/>
      <c r="J181" s="617"/>
      <c r="K181" s="617"/>
      <c r="L181" s="617"/>
      <c r="M181" s="617"/>
      <c r="N181" s="617"/>
      <c r="O181" s="617"/>
      <c r="P181" s="617"/>
      <c r="Q181" s="617"/>
      <c r="R181" s="617"/>
      <c r="S181" s="617"/>
      <c r="T181" s="616"/>
    </row>
    <row r="182" spans="2:20" x14ac:dyDescent="0.35">
      <c r="B182" s="618">
        <v>15</v>
      </c>
      <c r="C182" s="619" t="s">
        <v>25</v>
      </c>
      <c r="D182" s="619"/>
      <c r="E182" s="619"/>
      <c r="F182" s="619"/>
      <c r="G182" s="621"/>
      <c r="H182" s="621">
        <f>H116*'2.Hao hut &amp; % chai '!F144</f>
        <v>0</v>
      </c>
      <c r="I182" s="621">
        <f>I116*'2.Hao hut &amp; % chai '!G144</f>
        <v>0</v>
      </c>
      <c r="J182" s="621">
        <f>J116*'2.Hao hut &amp; % chai '!H144</f>
        <v>0</v>
      </c>
      <c r="K182" s="621">
        <f>K116*'2.Hao hut &amp; % chai '!I144</f>
        <v>0</v>
      </c>
      <c r="L182" s="621">
        <f>L116*'2.Hao hut &amp; % chai '!J144</f>
        <v>0</v>
      </c>
      <c r="M182" s="621">
        <f>M116*'2.Hao hut &amp; % chai '!K144</f>
        <v>0</v>
      </c>
      <c r="N182" s="621">
        <f>N116*'2.Hao hut &amp; % chai '!L144</f>
        <v>0</v>
      </c>
      <c r="O182" s="621">
        <f>O116*'2.Hao hut &amp; % chai '!M144</f>
        <v>0</v>
      </c>
      <c r="P182" s="621">
        <f>P116*'2.Hao hut &amp; % chai '!N144</f>
        <v>0</v>
      </c>
      <c r="Q182" s="621">
        <f>Q116*'2.Hao hut &amp; % chai '!O144</f>
        <v>0</v>
      </c>
      <c r="R182" s="621">
        <f>R116*'2.Hao hut &amp; % chai '!P144</f>
        <v>0</v>
      </c>
      <c r="S182" s="621">
        <f>S116*'2.Hao hut &amp; % chai '!Q144</f>
        <v>0</v>
      </c>
      <c r="T182" s="620">
        <f t="shared" si="66"/>
        <v>0</v>
      </c>
    </row>
    <row r="183" spans="2:20" x14ac:dyDescent="0.35">
      <c r="B183" s="23"/>
      <c r="C183" s="24" t="s">
        <v>41</v>
      </c>
      <c r="D183" s="369"/>
      <c r="E183" s="369"/>
      <c r="F183" s="369"/>
      <c r="G183" s="329"/>
      <c r="H183" s="29">
        <f>SUM(H168:H182)</f>
        <v>0</v>
      </c>
      <c r="I183" s="29">
        <f t="shared" ref="I183:R183" si="67">SUM(I168:I182)</f>
        <v>0</v>
      </c>
      <c r="J183" s="29">
        <f t="shared" si="67"/>
        <v>0</v>
      </c>
      <c r="K183" s="29">
        <f t="shared" si="67"/>
        <v>0</v>
      </c>
      <c r="L183" s="29">
        <f t="shared" si="67"/>
        <v>0</v>
      </c>
      <c r="M183" s="29">
        <f t="shared" si="67"/>
        <v>0</v>
      </c>
      <c r="N183" s="29">
        <f t="shared" si="67"/>
        <v>0</v>
      </c>
      <c r="O183" s="29">
        <f t="shared" si="67"/>
        <v>0</v>
      </c>
      <c r="P183" s="29">
        <f t="shared" si="67"/>
        <v>0</v>
      </c>
      <c r="Q183" s="29">
        <f t="shared" si="67"/>
        <v>0</v>
      </c>
      <c r="R183" s="29">
        <f t="shared" si="67"/>
        <v>0</v>
      </c>
      <c r="S183" s="29">
        <f>SUM(S168:S182)</f>
        <v>0</v>
      </c>
      <c r="T183" s="29">
        <f>SUM(T168:T182)</f>
        <v>0</v>
      </c>
    </row>
    <row r="185" spans="2:20" x14ac:dyDescent="0.35">
      <c r="B185" s="37" t="s">
        <v>1639</v>
      </c>
    </row>
    <row r="186" spans="2:20" ht="26" x14ac:dyDescent="0.35">
      <c r="B186" s="294" t="s">
        <v>0</v>
      </c>
      <c r="C186" s="294" t="s">
        <v>416</v>
      </c>
      <c r="D186" s="397" t="s">
        <v>11</v>
      </c>
      <c r="E186" s="397" t="s">
        <v>1943</v>
      </c>
      <c r="F186" s="397" t="s">
        <v>1942</v>
      </c>
      <c r="G186" s="365" t="s">
        <v>405</v>
      </c>
      <c r="H186" s="365" t="s">
        <v>56</v>
      </c>
      <c r="I186" s="365" t="s">
        <v>57</v>
      </c>
      <c r="J186" s="365" t="s">
        <v>58</v>
      </c>
      <c r="K186" s="365" t="s">
        <v>59</v>
      </c>
      <c r="L186" s="365" t="s">
        <v>60</v>
      </c>
      <c r="M186" s="365" t="s">
        <v>61</v>
      </c>
      <c r="N186" s="365" t="s">
        <v>62</v>
      </c>
      <c r="O186" s="365" t="s">
        <v>63</v>
      </c>
      <c r="P186" s="365" t="s">
        <v>64</v>
      </c>
      <c r="Q186" s="365" t="s">
        <v>65</v>
      </c>
      <c r="R186" s="365" t="s">
        <v>66</v>
      </c>
      <c r="S186" s="365" t="s">
        <v>67</v>
      </c>
      <c r="T186" s="365" t="s">
        <v>2246</v>
      </c>
    </row>
    <row r="187" spans="2:20" x14ac:dyDescent="0.35">
      <c r="B187" s="570">
        <v>1</v>
      </c>
      <c r="C187" s="584" t="s">
        <v>417</v>
      </c>
      <c r="D187" s="584" t="s">
        <v>22</v>
      </c>
      <c r="E187" s="636">
        <f>E$150</f>
        <v>420212.77</v>
      </c>
      <c r="F187" s="636">
        <f>F$150</f>
        <v>414800.1</v>
      </c>
      <c r="G187" s="636">
        <f>G$150</f>
        <v>364151</v>
      </c>
      <c r="H187" s="636">
        <f>H$150</f>
        <v>39000</v>
      </c>
      <c r="I187" s="636">
        <f t="shared" ref="I187:T187" si="68">I$150</f>
        <v>29250</v>
      </c>
      <c r="J187" s="636">
        <f t="shared" si="68"/>
        <v>42250</v>
      </c>
      <c r="K187" s="636">
        <f t="shared" si="68"/>
        <v>45500</v>
      </c>
      <c r="L187" s="636">
        <f t="shared" si="68"/>
        <v>45500</v>
      </c>
      <c r="M187" s="636">
        <f t="shared" si="68"/>
        <v>45500</v>
      </c>
      <c r="N187" s="636">
        <f t="shared" si="68"/>
        <v>45500</v>
      </c>
      <c r="O187" s="636">
        <f t="shared" si="68"/>
        <v>45500</v>
      </c>
      <c r="P187" s="636">
        <f t="shared" si="68"/>
        <v>45500</v>
      </c>
      <c r="Q187" s="636">
        <f t="shared" si="68"/>
        <v>45500</v>
      </c>
      <c r="R187" s="636">
        <f t="shared" si="68"/>
        <v>45500</v>
      </c>
      <c r="S187" s="636">
        <f t="shared" si="68"/>
        <v>45500</v>
      </c>
      <c r="T187" s="637">
        <f t="shared" si="68"/>
        <v>520000</v>
      </c>
    </row>
    <row r="188" spans="2:20" x14ac:dyDescent="0.35">
      <c r="B188" s="575">
        <v>2</v>
      </c>
      <c r="C188" s="638" t="s">
        <v>418</v>
      </c>
      <c r="D188" s="638" t="s">
        <v>22</v>
      </c>
      <c r="E188" s="640">
        <f>E$157</f>
        <v>68406.73000000001</v>
      </c>
      <c r="F188" s="640">
        <f>F$157</f>
        <v>46088.9</v>
      </c>
      <c r="G188" s="640">
        <f>G$157</f>
        <v>317791</v>
      </c>
      <c r="H188" s="640">
        <f>H$157</f>
        <v>27300</v>
      </c>
      <c r="I188" s="640">
        <f t="shared" ref="I188:T188" si="69">I$157</f>
        <v>20475</v>
      </c>
      <c r="J188" s="640">
        <f t="shared" si="69"/>
        <v>29575</v>
      </c>
      <c r="K188" s="640">
        <f t="shared" si="69"/>
        <v>31849.999999999996</v>
      </c>
      <c r="L188" s="640">
        <f t="shared" si="69"/>
        <v>31849.999999999996</v>
      </c>
      <c r="M188" s="640">
        <f t="shared" si="69"/>
        <v>31849.999999999996</v>
      </c>
      <c r="N188" s="640">
        <f t="shared" si="69"/>
        <v>31849.999999999996</v>
      </c>
      <c r="O188" s="640">
        <f t="shared" si="69"/>
        <v>31849.999999999996</v>
      </c>
      <c r="P188" s="640">
        <f t="shared" si="69"/>
        <v>31849.999999999996</v>
      </c>
      <c r="Q188" s="640">
        <f t="shared" si="69"/>
        <v>31849.999999999996</v>
      </c>
      <c r="R188" s="640">
        <f t="shared" si="69"/>
        <v>31849.999999999996</v>
      </c>
      <c r="S188" s="640">
        <f t="shared" si="69"/>
        <v>31849.999999999996</v>
      </c>
      <c r="T188" s="641">
        <f t="shared" si="69"/>
        <v>364000</v>
      </c>
    </row>
    <row r="189" spans="2:20" x14ac:dyDescent="0.35">
      <c r="B189" s="575">
        <v>3</v>
      </c>
      <c r="C189" s="638" t="s">
        <v>419</v>
      </c>
      <c r="D189" s="638" t="s">
        <v>22</v>
      </c>
      <c r="E189" s="640">
        <f>E$164</f>
        <v>0</v>
      </c>
      <c r="F189" s="640">
        <f>F$164</f>
        <v>0</v>
      </c>
      <c r="G189" s="640">
        <f>G$164</f>
        <v>7432</v>
      </c>
      <c r="H189" s="640">
        <f>H$164</f>
        <v>0</v>
      </c>
      <c r="I189" s="640">
        <f t="shared" ref="I189:T189" si="70">I$164</f>
        <v>0</v>
      </c>
      <c r="J189" s="640">
        <f t="shared" si="70"/>
        <v>0</v>
      </c>
      <c r="K189" s="640">
        <f t="shared" si="70"/>
        <v>0</v>
      </c>
      <c r="L189" s="640">
        <f t="shared" si="70"/>
        <v>0</v>
      </c>
      <c r="M189" s="640">
        <f t="shared" si="70"/>
        <v>0</v>
      </c>
      <c r="N189" s="640">
        <f t="shared" si="70"/>
        <v>0</v>
      </c>
      <c r="O189" s="640">
        <f t="shared" si="70"/>
        <v>0</v>
      </c>
      <c r="P189" s="640">
        <f t="shared" si="70"/>
        <v>0</v>
      </c>
      <c r="Q189" s="640">
        <f t="shared" si="70"/>
        <v>0</v>
      </c>
      <c r="R189" s="640">
        <f t="shared" si="70"/>
        <v>0</v>
      </c>
      <c r="S189" s="640">
        <f t="shared" si="70"/>
        <v>0</v>
      </c>
      <c r="T189" s="641">
        <f t="shared" si="70"/>
        <v>0</v>
      </c>
    </row>
    <row r="190" spans="2:20" x14ac:dyDescent="0.35">
      <c r="B190" s="580">
        <v>4</v>
      </c>
      <c r="C190" s="586" t="s">
        <v>420</v>
      </c>
      <c r="D190" s="638" t="s">
        <v>22</v>
      </c>
      <c r="E190" s="1021"/>
      <c r="F190" s="1021"/>
      <c r="G190" s="643">
        <f>G$183</f>
        <v>0</v>
      </c>
      <c r="H190" s="643">
        <f>H$183</f>
        <v>0</v>
      </c>
      <c r="I190" s="643">
        <f t="shared" ref="I190:T190" si="71">I$183</f>
        <v>0</v>
      </c>
      <c r="J190" s="643">
        <f t="shared" si="71"/>
        <v>0</v>
      </c>
      <c r="K190" s="643">
        <f t="shared" si="71"/>
        <v>0</v>
      </c>
      <c r="L190" s="643">
        <f t="shared" si="71"/>
        <v>0</v>
      </c>
      <c r="M190" s="643">
        <f t="shared" si="71"/>
        <v>0</v>
      </c>
      <c r="N190" s="643">
        <f t="shared" si="71"/>
        <v>0</v>
      </c>
      <c r="O190" s="643">
        <f t="shared" si="71"/>
        <v>0</v>
      </c>
      <c r="P190" s="643">
        <f t="shared" si="71"/>
        <v>0</v>
      </c>
      <c r="Q190" s="643">
        <f t="shared" si="71"/>
        <v>0</v>
      </c>
      <c r="R190" s="643">
        <f t="shared" si="71"/>
        <v>0</v>
      </c>
      <c r="S190" s="643">
        <f t="shared" si="71"/>
        <v>0</v>
      </c>
      <c r="T190" s="644">
        <f t="shared" si="71"/>
        <v>0</v>
      </c>
    </row>
    <row r="191" spans="2:20" x14ac:dyDescent="0.35">
      <c r="B191" s="368"/>
      <c r="C191" s="369" t="s">
        <v>41</v>
      </c>
      <c r="D191" s="914" t="s">
        <v>22</v>
      </c>
      <c r="E191" s="370">
        <f>SUM(E187:E190)</f>
        <v>488619.5</v>
      </c>
      <c r="F191" s="370">
        <f>SUM(F187:F190)</f>
        <v>460889</v>
      </c>
      <c r="G191" s="370">
        <f>SUM(G187:G190)</f>
        <v>689374</v>
      </c>
      <c r="H191" s="370">
        <f>SUM(H187:H190)</f>
        <v>66300</v>
      </c>
      <c r="I191" s="370">
        <f t="shared" ref="I191:S191" si="72">SUM(I187:I190)</f>
        <v>49725</v>
      </c>
      <c r="J191" s="370">
        <f t="shared" si="72"/>
        <v>71825</v>
      </c>
      <c r="K191" s="370">
        <f t="shared" si="72"/>
        <v>77350</v>
      </c>
      <c r="L191" s="370">
        <f t="shared" si="72"/>
        <v>77350</v>
      </c>
      <c r="M191" s="370">
        <f t="shared" si="72"/>
        <v>77350</v>
      </c>
      <c r="N191" s="370">
        <f t="shared" si="72"/>
        <v>77350</v>
      </c>
      <c r="O191" s="370">
        <f t="shared" si="72"/>
        <v>77350</v>
      </c>
      <c r="P191" s="370">
        <f t="shared" si="72"/>
        <v>77350</v>
      </c>
      <c r="Q191" s="370">
        <f t="shared" si="72"/>
        <v>77350</v>
      </c>
      <c r="R191" s="370">
        <f t="shared" si="72"/>
        <v>77350</v>
      </c>
      <c r="S191" s="370">
        <f t="shared" si="72"/>
        <v>77350</v>
      </c>
      <c r="T191" s="370">
        <f>SUM(T187:T190)</f>
        <v>884000</v>
      </c>
    </row>
    <row r="193" spans="2:20" ht="22.4" customHeight="1" x14ac:dyDescent="0.35">
      <c r="C193" s="1399" t="s">
        <v>1608</v>
      </c>
      <c r="D193" s="37"/>
      <c r="E193" s="37"/>
      <c r="F193" s="37"/>
    </row>
    <row r="194" spans="2:20" ht="26" x14ac:dyDescent="0.35">
      <c r="B194" s="294" t="s">
        <v>0</v>
      </c>
      <c r="C194" s="294" t="s">
        <v>416</v>
      </c>
      <c r="D194" s="397" t="s">
        <v>11</v>
      </c>
      <c r="E194" s="397" t="s">
        <v>1943</v>
      </c>
      <c r="F194" s="397" t="s">
        <v>1942</v>
      </c>
      <c r="G194" s="365" t="s">
        <v>405</v>
      </c>
      <c r="H194" s="365" t="s">
        <v>56</v>
      </c>
      <c r="I194" s="365" t="s">
        <v>57</v>
      </c>
      <c r="J194" s="365" t="s">
        <v>58</v>
      </c>
      <c r="K194" s="365" t="s">
        <v>59</v>
      </c>
      <c r="L194" s="365" t="s">
        <v>60</v>
      </c>
      <c r="M194" s="365" t="s">
        <v>61</v>
      </c>
      <c r="N194" s="365" t="s">
        <v>62</v>
      </c>
      <c r="O194" s="365" t="s">
        <v>63</v>
      </c>
      <c r="P194" s="365" t="s">
        <v>64</v>
      </c>
      <c r="Q194" s="365" t="s">
        <v>65</v>
      </c>
      <c r="R194" s="365" t="s">
        <v>66</v>
      </c>
      <c r="S194" s="365" t="s">
        <v>67</v>
      </c>
      <c r="T194" s="7" t="s">
        <v>2246</v>
      </c>
    </row>
    <row r="195" spans="2:20" ht="18.649999999999999" customHeight="1" x14ac:dyDescent="0.35">
      <c r="B195" s="570">
        <v>1</v>
      </c>
      <c r="C195" s="584" t="s">
        <v>425</v>
      </c>
      <c r="D195" s="584" t="s">
        <v>234</v>
      </c>
      <c r="E195" s="670">
        <f>'KQKD PET'!D16</f>
        <v>66674046263</v>
      </c>
      <c r="F195" s="670">
        <f>'KQKD PET'!E16</f>
        <v>64023356129</v>
      </c>
      <c r="G195" s="670">
        <f>'KQKD PET'!F16</f>
        <v>79307026326</v>
      </c>
      <c r="H195" s="670">
        <f>(H97+H136)*'1.NVL Chai'!H$34</f>
        <v>5337000000</v>
      </c>
      <c r="I195" s="670">
        <f>(I97+I136)*'1.NVL Chai'!I$34</f>
        <v>4002750000</v>
      </c>
      <c r="J195" s="670">
        <f>(J97+J136)*'1.NVL Chai'!J$34</f>
        <v>5781750000</v>
      </c>
      <c r="K195" s="670">
        <f>(K97+K136)*'1.NVL Chai'!K$34</f>
        <v>6226500000</v>
      </c>
      <c r="L195" s="670">
        <f>(L97+L136)*'1.NVL Chai'!L$34</f>
        <v>6226500000</v>
      </c>
      <c r="M195" s="670">
        <f>(M97+M136)*'1.NVL Chai'!M$34</f>
        <v>6226500000</v>
      </c>
      <c r="N195" s="670">
        <f>(N97+N136)*'1.NVL Chai'!N$34</f>
        <v>6226500000</v>
      </c>
      <c r="O195" s="670">
        <f>(O97+O136)*'1.NVL Chai'!O$34</f>
        <v>6226500000</v>
      </c>
      <c r="P195" s="670">
        <f>(P97+P136)*'1.NVL Chai'!P$34</f>
        <v>6226500000</v>
      </c>
      <c r="Q195" s="670">
        <f>(Q97+Q136)*'1.NVL Chai'!Q$34</f>
        <v>6226500000</v>
      </c>
      <c r="R195" s="670">
        <f>(R97+R136)*'1.NVL Chai'!R$34</f>
        <v>6226500000</v>
      </c>
      <c r="S195" s="670">
        <f>(S97+S136)*'1.NVL Chai'!S$34</f>
        <v>6226500000</v>
      </c>
      <c r="T195" s="596">
        <f>SUM(H195:S195)</f>
        <v>71160000000</v>
      </c>
    </row>
    <row r="196" spans="2:20" ht="18.649999999999999" customHeight="1" x14ac:dyDescent="0.35">
      <c r="B196" s="575">
        <v>2</v>
      </c>
      <c r="C196" s="638" t="s">
        <v>6</v>
      </c>
      <c r="D196" s="584" t="s">
        <v>234</v>
      </c>
      <c r="E196" s="671">
        <f>'KQKD PET'!D17</f>
        <v>4304680024</v>
      </c>
      <c r="F196" s="671">
        <f>'KQKD PET'!E17</f>
        <v>5823164953</v>
      </c>
      <c r="G196" s="671">
        <f>'KQKD PET'!F17</f>
        <v>8362915901</v>
      </c>
      <c r="H196" s="671">
        <f>H191*'1.NVL Chai'!H34</f>
        <v>663000000</v>
      </c>
      <c r="I196" s="671">
        <f>I191*'1.NVL Chai'!I34</f>
        <v>497250000</v>
      </c>
      <c r="J196" s="671">
        <f>J191*'1.NVL Chai'!J34</f>
        <v>718250000</v>
      </c>
      <c r="K196" s="671">
        <f>K191*'1.NVL Chai'!K34</f>
        <v>773500000</v>
      </c>
      <c r="L196" s="671">
        <f>L191*'1.NVL Chai'!L34</f>
        <v>773500000</v>
      </c>
      <c r="M196" s="671">
        <f>M191*'1.NVL Chai'!M34</f>
        <v>773500000</v>
      </c>
      <c r="N196" s="671">
        <f>N191*'1.NVL Chai'!N34</f>
        <v>773500000</v>
      </c>
      <c r="O196" s="671">
        <f>O191*'1.NVL Chai'!O34</f>
        <v>773500000</v>
      </c>
      <c r="P196" s="671">
        <f>P191*'1.NVL Chai'!P34</f>
        <v>773500000</v>
      </c>
      <c r="Q196" s="671">
        <f>Q191*'1.NVL Chai'!Q34</f>
        <v>773500000</v>
      </c>
      <c r="R196" s="671">
        <f>R191*'1.NVL Chai'!R34</f>
        <v>773500000</v>
      </c>
      <c r="S196" s="671">
        <f>S191*'1.NVL Chai'!S34</f>
        <v>773500000</v>
      </c>
      <c r="T196" s="646">
        <f>SUM(H196:S196)</f>
        <v>8840000000</v>
      </c>
    </row>
    <row r="197" spans="2:20" ht="18.649999999999999" customHeight="1" x14ac:dyDescent="0.35">
      <c r="B197" s="575" t="s">
        <v>1606</v>
      </c>
      <c r="C197" s="639" t="s">
        <v>426</v>
      </c>
      <c r="D197" s="584" t="s">
        <v>234</v>
      </c>
      <c r="E197" s="646">
        <f>SUM(E195:E196)</f>
        <v>70978726287</v>
      </c>
      <c r="F197" s="646">
        <f>SUM(F195:F196)</f>
        <v>69846521082</v>
      </c>
      <c r="G197" s="646">
        <f>SUM(G195:G196)</f>
        <v>87669942227</v>
      </c>
      <c r="H197" s="646">
        <f t="shared" ref="H197:S197" si="73">SUM(H195:H196)</f>
        <v>6000000000</v>
      </c>
      <c r="I197" s="646">
        <f t="shared" si="73"/>
        <v>4500000000</v>
      </c>
      <c r="J197" s="646">
        <f t="shared" si="73"/>
        <v>6500000000</v>
      </c>
      <c r="K197" s="646">
        <f t="shared" si="73"/>
        <v>7000000000</v>
      </c>
      <c r="L197" s="646">
        <f t="shared" si="73"/>
        <v>7000000000</v>
      </c>
      <c r="M197" s="646">
        <f t="shared" si="73"/>
        <v>7000000000</v>
      </c>
      <c r="N197" s="646">
        <f t="shared" si="73"/>
        <v>7000000000</v>
      </c>
      <c r="O197" s="646">
        <f t="shared" si="73"/>
        <v>7000000000</v>
      </c>
      <c r="P197" s="646">
        <f t="shared" si="73"/>
        <v>7000000000</v>
      </c>
      <c r="Q197" s="646">
        <f t="shared" si="73"/>
        <v>7000000000</v>
      </c>
      <c r="R197" s="646">
        <f t="shared" si="73"/>
        <v>7000000000</v>
      </c>
      <c r="S197" s="646">
        <f t="shared" si="73"/>
        <v>7000000000</v>
      </c>
      <c r="T197" s="646">
        <f>SUM(T195:T196)</f>
        <v>80000000000</v>
      </c>
    </row>
    <row r="198" spans="2:20" ht="18.649999999999999" customHeight="1" x14ac:dyDescent="0.35">
      <c r="B198" s="575">
        <v>4</v>
      </c>
      <c r="C198" s="639" t="s">
        <v>427</v>
      </c>
      <c r="D198" s="584" t="s">
        <v>234</v>
      </c>
      <c r="E198" s="646">
        <f>'1.NVL Chai'!E42</f>
        <v>50023145188</v>
      </c>
      <c r="F198" s="646">
        <f>'1.NVL Chai'!F42</f>
        <v>60831877761</v>
      </c>
      <c r="G198" s="646">
        <f>'1.NVL Chai'!G42</f>
        <v>78679961036</v>
      </c>
      <c r="H198" s="646">
        <f>'1.NVL Chai'!H42</f>
        <v>6000000000</v>
      </c>
      <c r="I198" s="646">
        <f>'1.NVL Chai'!I42</f>
        <v>4500000000</v>
      </c>
      <c r="J198" s="646">
        <f>'1.NVL Chai'!J42</f>
        <v>6500000000</v>
      </c>
      <c r="K198" s="646">
        <f>'1.NVL Chai'!K42</f>
        <v>7000000000</v>
      </c>
      <c r="L198" s="646">
        <f>'1.NVL Chai'!L42</f>
        <v>7000000000</v>
      </c>
      <c r="M198" s="646">
        <f>'1.NVL Chai'!M42</f>
        <v>7000000000</v>
      </c>
      <c r="N198" s="646">
        <f>'1.NVL Chai'!N42</f>
        <v>7000000000</v>
      </c>
      <c r="O198" s="646">
        <f>'1.NVL Chai'!O42</f>
        <v>7000000000</v>
      </c>
      <c r="P198" s="646">
        <f>'1.NVL Chai'!P42</f>
        <v>7000000000</v>
      </c>
      <c r="Q198" s="646">
        <f>'1.NVL Chai'!Q42</f>
        <v>7000000000</v>
      </c>
      <c r="R198" s="646">
        <f>'1.NVL Chai'!R42</f>
        <v>7000000000</v>
      </c>
      <c r="S198" s="646">
        <f>'1.NVL Chai'!S42</f>
        <v>7000000000</v>
      </c>
      <c r="T198" s="646">
        <f>'1.NVL Chai'!T42</f>
        <v>80000000000</v>
      </c>
    </row>
    <row r="199" spans="2:20" ht="18.649999999999999" customHeight="1" x14ac:dyDescent="0.35">
      <c r="B199" s="575" t="s">
        <v>1605</v>
      </c>
      <c r="C199" s="639" t="s">
        <v>1598</v>
      </c>
      <c r="D199" s="584" t="s">
        <v>234</v>
      </c>
      <c r="E199" s="647">
        <f>E198-E197</f>
        <v>-20955581099</v>
      </c>
      <c r="F199" s="647">
        <f t="shared" ref="F199" si="74">F198-F197</f>
        <v>-9014643321</v>
      </c>
      <c r="G199" s="647">
        <f t="shared" ref="G199:S199" si="75">G198-G197</f>
        <v>-8989981191</v>
      </c>
      <c r="H199" s="647">
        <f t="shared" si="75"/>
        <v>0</v>
      </c>
      <c r="I199" s="647">
        <f t="shared" si="75"/>
        <v>0</v>
      </c>
      <c r="J199" s="647">
        <f t="shared" si="75"/>
        <v>0</v>
      </c>
      <c r="K199" s="647">
        <f t="shared" si="75"/>
        <v>0</v>
      </c>
      <c r="L199" s="647">
        <f t="shared" si="75"/>
        <v>0</v>
      </c>
      <c r="M199" s="647">
        <f t="shared" si="75"/>
        <v>0</v>
      </c>
      <c r="N199" s="647">
        <f t="shared" si="75"/>
        <v>0</v>
      </c>
      <c r="O199" s="647">
        <f t="shared" si="75"/>
        <v>0</v>
      </c>
      <c r="P199" s="647">
        <f t="shared" si="75"/>
        <v>0</v>
      </c>
      <c r="Q199" s="647">
        <f t="shared" si="75"/>
        <v>0</v>
      </c>
      <c r="R199" s="647">
        <f t="shared" si="75"/>
        <v>0</v>
      </c>
      <c r="S199" s="647">
        <f t="shared" si="75"/>
        <v>0</v>
      </c>
      <c r="T199" s="647">
        <f>T198-T197</f>
        <v>0</v>
      </c>
    </row>
    <row r="200" spans="2:20" ht="18.649999999999999" customHeight="1" x14ac:dyDescent="0.35">
      <c r="B200" s="575">
        <v>6</v>
      </c>
      <c r="C200" s="638" t="s">
        <v>1599</v>
      </c>
      <c r="D200" s="584" t="s">
        <v>234</v>
      </c>
      <c r="E200" s="648">
        <f>'4.Doanh thu'!AJ60</f>
        <v>78915665269</v>
      </c>
      <c r="F200" s="648">
        <f>'4.Doanh thu'!AH60</f>
        <v>74523104085</v>
      </c>
      <c r="G200" s="648">
        <f>'4.Doanh thu'!AF60</f>
        <v>97725917198</v>
      </c>
      <c r="H200" s="648">
        <f>'4.Doanh thu'!F60</f>
        <v>7469550000</v>
      </c>
      <c r="I200" s="648">
        <f>'4.Doanh thu'!G60</f>
        <v>5602162500</v>
      </c>
      <c r="J200" s="648">
        <f>'4.Doanh thu'!H60</f>
        <v>8092012500</v>
      </c>
      <c r="K200" s="648">
        <f>'4.Doanh thu'!I60</f>
        <v>8714475000</v>
      </c>
      <c r="L200" s="648">
        <f>'4.Doanh thu'!J60</f>
        <v>8714475000</v>
      </c>
      <c r="M200" s="648">
        <f>'4.Doanh thu'!K60</f>
        <v>8714475000</v>
      </c>
      <c r="N200" s="648">
        <f>'4.Doanh thu'!L60</f>
        <v>8714475000</v>
      </c>
      <c r="O200" s="648">
        <f>'4.Doanh thu'!M60</f>
        <v>8714475000</v>
      </c>
      <c r="P200" s="648">
        <f>'4.Doanh thu'!N60</f>
        <v>8714475000</v>
      </c>
      <c r="Q200" s="648">
        <f>'4.Doanh thu'!O60</f>
        <v>8714475000</v>
      </c>
      <c r="R200" s="648">
        <f>'4.Doanh thu'!P60</f>
        <v>8714475000</v>
      </c>
      <c r="S200" s="648">
        <f>'4.Doanh thu'!Q60</f>
        <v>8714475000</v>
      </c>
      <c r="T200" s="646">
        <f>'4.Doanh thu'!R60</f>
        <v>99594000000</v>
      </c>
    </row>
    <row r="201" spans="2:20" ht="18.649999999999999" customHeight="1" x14ac:dyDescent="0.35">
      <c r="B201" s="575">
        <v>7</v>
      </c>
      <c r="C201" s="638" t="s">
        <v>1600</v>
      </c>
      <c r="D201" s="584" t="s">
        <v>234</v>
      </c>
      <c r="E201" s="648">
        <f>'4.Doanh thu'!AJ119</f>
        <v>0</v>
      </c>
      <c r="F201" s="648">
        <f>'4.Doanh thu'!AH119</f>
        <v>0</v>
      </c>
      <c r="G201" s="648">
        <f>'4.Doanh thu'!E119</f>
        <v>0</v>
      </c>
      <c r="H201" s="648">
        <f>'4.Doanh thu'!F119</f>
        <v>0</v>
      </c>
      <c r="I201" s="648">
        <f>'4.Doanh thu'!G119</f>
        <v>0</v>
      </c>
      <c r="J201" s="648">
        <f>'4.Doanh thu'!H119</f>
        <v>0</v>
      </c>
      <c r="K201" s="648">
        <f>'4.Doanh thu'!I119</f>
        <v>0</v>
      </c>
      <c r="L201" s="648">
        <f>'4.Doanh thu'!J119</f>
        <v>0</v>
      </c>
      <c r="M201" s="648">
        <f>'4.Doanh thu'!K119</f>
        <v>0</v>
      </c>
      <c r="N201" s="648">
        <f>'4.Doanh thu'!L119</f>
        <v>0</v>
      </c>
      <c r="O201" s="648">
        <f>'4.Doanh thu'!M119</f>
        <v>0</v>
      </c>
      <c r="P201" s="648">
        <f>'4.Doanh thu'!N119</f>
        <v>0</v>
      </c>
      <c r="Q201" s="648">
        <f>'4.Doanh thu'!O119</f>
        <v>0</v>
      </c>
      <c r="R201" s="648">
        <f>'4.Doanh thu'!P119</f>
        <v>0</v>
      </c>
      <c r="S201" s="648">
        <f>'4.Doanh thu'!Q119</f>
        <v>0</v>
      </c>
      <c r="T201" s="646">
        <f>'4.Doanh thu'!R119</f>
        <v>0</v>
      </c>
    </row>
    <row r="202" spans="2:20" ht="18.649999999999999" customHeight="1" x14ac:dyDescent="0.35">
      <c r="B202" s="575" t="s">
        <v>1604</v>
      </c>
      <c r="C202" s="639" t="s">
        <v>1602</v>
      </c>
      <c r="D202" s="584" t="s">
        <v>234</v>
      </c>
      <c r="E202" s="646">
        <f>E200+E201</f>
        <v>78915665269</v>
      </c>
      <c r="F202" s="646">
        <f>F200+F201</f>
        <v>74523104085</v>
      </c>
      <c r="G202" s="646">
        <f>G200+G201</f>
        <v>97725917198</v>
      </c>
      <c r="H202" s="646">
        <f>H200+H201</f>
        <v>7469550000</v>
      </c>
      <c r="I202" s="646">
        <f t="shared" ref="I202:T202" si="76">I200+I201</f>
        <v>5602162500</v>
      </c>
      <c r="J202" s="646">
        <f t="shared" si="76"/>
        <v>8092012500</v>
      </c>
      <c r="K202" s="646">
        <f t="shared" si="76"/>
        <v>8714475000</v>
      </c>
      <c r="L202" s="646">
        <f t="shared" si="76"/>
        <v>8714475000</v>
      </c>
      <c r="M202" s="646">
        <f t="shared" si="76"/>
        <v>8714475000</v>
      </c>
      <c r="N202" s="646">
        <f t="shared" si="76"/>
        <v>8714475000</v>
      </c>
      <c r="O202" s="646">
        <f t="shared" si="76"/>
        <v>8714475000</v>
      </c>
      <c r="P202" s="646">
        <f t="shared" si="76"/>
        <v>8714475000</v>
      </c>
      <c r="Q202" s="646">
        <f t="shared" si="76"/>
        <v>8714475000</v>
      </c>
      <c r="R202" s="646">
        <f t="shared" si="76"/>
        <v>8714475000</v>
      </c>
      <c r="S202" s="646">
        <f t="shared" si="76"/>
        <v>8714475000</v>
      </c>
      <c r="T202" s="646">
        <f t="shared" si="76"/>
        <v>99594000000</v>
      </c>
    </row>
    <row r="203" spans="2:20" ht="18.649999999999999" customHeight="1" x14ac:dyDescent="0.35">
      <c r="B203" s="575" t="s">
        <v>1603</v>
      </c>
      <c r="C203" s="639" t="s">
        <v>1601</v>
      </c>
      <c r="D203" s="584" t="s">
        <v>234</v>
      </c>
      <c r="E203" s="648">
        <f>E202-E197</f>
        <v>7936938982</v>
      </c>
      <c r="F203" s="648">
        <f>F202-F197</f>
        <v>4676583003</v>
      </c>
      <c r="G203" s="648">
        <f>G202-G197</f>
        <v>10055974971</v>
      </c>
      <c r="H203" s="648">
        <f>H202-H197</f>
        <v>1469550000</v>
      </c>
      <c r="I203" s="648">
        <f t="shared" ref="I203:T203" si="77">I202-I197</f>
        <v>1102162500</v>
      </c>
      <c r="J203" s="648">
        <f t="shared" si="77"/>
        <v>1592012500</v>
      </c>
      <c r="K203" s="648">
        <f t="shared" si="77"/>
        <v>1714475000</v>
      </c>
      <c r="L203" s="648">
        <f t="shared" si="77"/>
        <v>1714475000</v>
      </c>
      <c r="M203" s="648">
        <f t="shared" si="77"/>
        <v>1714475000</v>
      </c>
      <c r="N203" s="648">
        <f t="shared" si="77"/>
        <v>1714475000</v>
      </c>
      <c r="O203" s="648">
        <f t="shared" si="77"/>
        <v>1714475000</v>
      </c>
      <c r="P203" s="648">
        <f t="shared" si="77"/>
        <v>1714475000</v>
      </c>
      <c r="Q203" s="648">
        <f t="shared" si="77"/>
        <v>1714475000</v>
      </c>
      <c r="R203" s="648">
        <f t="shared" si="77"/>
        <v>1714475000</v>
      </c>
      <c r="S203" s="648">
        <f t="shared" si="77"/>
        <v>1714475000</v>
      </c>
      <c r="T203" s="646">
        <f t="shared" si="77"/>
        <v>19594000000</v>
      </c>
    </row>
    <row r="204" spans="2:20" ht="18.649999999999999" customHeight="1" x14ac:dyDescent="0.35">
      <c r="B204" s="575">
        <v>10</v>
      </c>
      <c r="C204" s="639" t="s">
        <v>638</v>
      </c>
      <c r="D204" s="584" t="s">
        <v>22</v>
      </c>
      <c r="E204" s="617">
        <f>'4.Doanh thu'!AH22+'4.Doanh thu'!AH119</f>
        <v>4895018.4000000004</v>
      </c>
      <c r="F204" s="617">
        <f>'4.Doanh thu'!AJ22+'4.Doanh thu'!AJ80</f>
        <v>5652770.5</v>
      </c>
      <c r="G204" s="617">
        <f>'4.Doanh thu'!AF22+'4.Doanh thu'!AF80</f>
        <v>5879799</v>
      </c>
      <c r="H204" s="617">
        <f>'4.Doanh thu'!F$80+'4.Doanh thu'!F$22</f>
        <v>533700</v>
      </c>
      <c r="I204" s="617">
        <f>'4.Doanh thu'!G$80+'4.Doanh thu'!G$22</f>
        <v>400275</v>
      </c>
      <c r="J204" s="617">
        <f>'4.Doanh thu'!H$80+'4.Doanh thu'!H$22</f>
        <v>578175</v>
      </c>
      <c r="K204" s="617">
        <f>'4.Doanh thu'!I$80+'4.Doanh thu'!I$22</f>
        <v>622650</v>
      </c>
      <c r="L204" s="617">
        <f>'4.Doanh thu'!J$80+'4.Doanh thu'!J$22</f>
        <v>622650</v>
      </c>
      <c r="M204" s="617">
        <f>'4.Doanh thu'!K$80+'4.Doanh thu'!K$22</f>
        <v>622650</v>
      </c>
      <c r="N204" s="617">
        <f>'4.Doanh thu'!L$80+'4.Doanh thu'!L$22</f>
        <v>622650</v>
      </c>
      <c r="O204" s="617">
        <f>'4.Doanh thu'!M$80+'4.Doanh thu'!M$22</f>
        <v>622650</v>
      </c>
      <c r="P204" s="617">
        <f>'4.Doanh thu'!N$80+'4.Doanh thu'!N$22</f>
        <v>622650</v>
      </c>
      <c r="Q204" s="617">
        <f>'4.Doanh thu'!O$80+'4.Doanh thu'!O$22</f>
        <v>622650</v>
      </c>
      <c r="R204" s="617">
        <f>'4.Doanh thu'!P$80+'4.Doanh thu'!P$22</f>
        <v>622650</v>
      </c>
      <c r="S204" s="617">
        <f>'4.Doanh thu'!Q$80+'4.Doanh thu'!Q$22</f>
        <v>622650</v>
      </c>
      <c r="T204" s="616">
        <f>'4.Doanh thu'!R$80+'4.Doanh thu'!R$22</f>
        <v>7116000</v>
      </c>
    </row>
    <row r="205" spans="2:20" ht="18.649999999999999" customHeight="1" x14ac:dyDescent="0.35">
      <c r="B205" s="575" t="s">
        <v>1607</v>
      </c>
      <c r="C205" s="642" t="s">
        <v>639</v>
      </c>
      <c r="D205" s="584" t="s">
        <v>1597</v>
      </c>
      <c r="E205" s="587">
        <f>E203/E204</f>
        <v>1621.4318994183964</v>
      </c>
      <c r="F205" s="587">
        <f>F203/F204</f>
        <v>827.30813200359012</v>
      </c>
      <c r="G205" s="587">
        <f>G203/G204</f>
        <v>1710.2582879108622</v>
      </c>
      <c r="H205" s="587">
        <f>H203/H204</f>
        <v>2753.5132096683528</v>
      </c>
      <c r="I205" s="587">
        <f t="shared" ref="I205:T205" si="78">I203/I204</f>
        <v>2753.5132096683528</v>
      </c>
      <c r="J205" s="587">
        <f>J203/J204</f>
        <v>2753.5132096683528</v>
      </c>
      <c r="K205" s="587">
        <f t="shared" si="78"/>
        <v>2753.5132096683528</v>
      </c>
      <c r="L205" s="587">
        <f t="shared" si="78"/>
        <v>2753.5132096683528</v>
      </c>
      <c r="M205" s="587">
        <f t="shared" si="78"/>
        <v>2753.5132096683528</v>
      </c>
      <c r="N205" s="587">
        <f t="shared" si="78"/>
        <v>2753.5132096683528</v>
      </c>
      <c r="O205" s="587">
        <f t="shared" si="78"/>
        <v>2753.5132096683528</v>
      </c>
      <c r="P205" s="587">
        <f t="shared" si="78"/>
        <v>2753.5132096683528</v>
      </c>
      <c r="Q205" s="587">
        <f t="shared" si="78"/>
        <v>2753.5132096683528</v>
      </c>
      <c r="R205" s="587">
        <f t="shared" si="78"/>
        <v>2753.5132096683528</v>
      </c>
      <c r="S205" s="587">
        <f t="shared" si="78"/>
        <v>2753.5132096683528</v>
      </c>
      <c r="T205" s="649">
        <f t="shared" si="78"/>
        <v>2753.5132096683528</v>
      </c>
    </row>
    <row r="206" spans="2:20" x14ac:dyDescent="0.35">
      <c r="T206" s="1419">
        <f>T196/T195</f>
        <v>0.12422709387296234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CCFE-26FE-45C2-AF11-E1887C173DB9}">
  <sheetPr>
    <tabColor theme="9"/>
  </sheetPr>
  <dimension ref="B1:AS172"/>
  <sheetViews>
    <sheetView showGridLines="0" topLeftCell="G98" zoomScaleNormal="100" zoomScaleSheetLayoutView="87" workbookViewId="0">
      <selection activeCell="W106" sqref="W106"/>
    </sheetView>
  </sheetViews>
  <sheetFormatPr defaultColWidth="8.54296875" defaultRowHeight="13" outlineLevelRow="2" outlineLevelCol="3" x14ac:dyDescent="0.35"/>
  <cols>
    <col min="1" max="1" width="1.453125" style="36" customWidth="1"/>
    <col min="2" max="2" width="4.54296875" style="40" customWidth="1"/>
    <col min="3" max="3" width="7.1796875" style="40" hidden="1" customWidth="1"/>
    <col min="4" max="4" width="14.54296875" style="372" customWidth="1"/>
    <col min="5" max="5" width="41.54296875" style="40" customWidth="1"/>
    <col min="6" max="6" width="32.54296875" style="40" customWidth="1"/>
    <col min="7" max="7" width="41.81640625" style="372" customWidth="1" outlineLevel="1"/>
    <col min="8" max="8" width="24.1796875" style="372" hidden="1" customWidth="1" outlineLevel="1"/>
    <col min="9" max="9" width="12.54296875" style="36" hidden="1" customWidth="1" outlineLevel="1"/>
    <col min="10" max="10" width="8.81640625" style="80" hidden="1" customWidth="1"/>
    <col min="11" max="22" width="5.7265625" style="80" customWidth="1" outlineLevel="3"/>
    <col min="23" max="23" width="7.26953125" style="81" customWidth="1"/>
    <col min="24" max="24" width="2.54296875" style="36" customWidth="1"/>
    <col min="25" max="25" width="10.54296875" style="36" hidden="1" customWidth="1" outlineLevel="2"/>
    <col min="26" max="26" width="11.81640625" style="36" hidden="1" customWidth="1" outlineLevel="2"/>
    <col min="27" max="27" width="10.7265625" style="36" hidden="1" customWidth="1" outlineLevel="2"/>
    <col min="28" max="28" width="9.26953125" style="36" hidden="1" customWidth="1" outlineLevel="2"/>
    <col min="29" max="29" width="9.7265625" style="36" hidden="1" customWidth="1" outlineLevel="2"/>
    <col min="30" max="30" width="9.453125" style="36" hidden="1" customWidth="1" outlineLevel="2"/>
    <col min="31" max="31" width="11.1796875" style="36" hidden="1" customWidth="1" outlineLevel="2"/>
    <col min="32" max="32" width="7.81640625" style="36" hidden="1" customWidth="1" outlineLevel="2"/>
    <col min="33" max="36" width="7.1796875" style="36" hidden="1" customWidth="1" outlineLevel="2"/>
    <col min="37" max="37" width="7.26953125" style="36" customWidth="1" outlineLevel="1" collapsed="1"/>
    <col min="38" max="38" width="3" style="36" customWidth="1"/>
    <col min="39" max="39" width="7.1796875" style="36" customWidth="1"/>
    <col min="40" max="40" width="2.54296875" style="36" customWidth="1"/>
    <col min="41" max="41" width="6.81640625" style="36" customWidth="1"/>
    <col min="42" max="42" width="2.453125" style="36" customWidth="1"/>
    <col min="43" max="43" width="8.81640625" style="36" customWidth="1"/>
    <col min="44" max="44" width="6.1796875" style="36" customWidth="1"/>
    <col min="45" max="16384" width="8.54296875" style="36"/>
  </cols>
  <sheetData>
    <row r="1" spans="2:45" x14ac:dyDescent="0.35">
      <c r="B1" s="371"/>
      <c r="C1" s="371"/>
      <c r="D1" s="371"/>
      <c r="E1" s="371"/>
      <c r="F1" s="371"/>
    </row>
    <row r="2" spans="2:45" x14ac:dyDescent="0.35">
      <c r="D2" s="2"/>
      <c r="E2" s="1"/>
      <c r="F2" s="1"/>
      <c r="G2" s="1"/>
    </row>
    <row r="3" spans="2:45" x14ac:dyDescent="0.35">
      <c r="B3" s="138" t="s">
        <v>1590</v>
      </c>
      <c r="C3" s="138"/>
      <c r="D3" s="195"/>
      <c r="E3" s="138"/>
      <c r="F3" s="138"/>
      <c r="G3" s="138"/>
      <c r="W3" s="592" t="s">
        <v>233</v>
      </c>
      <c r="Y3" s="1201"/>
      <c r="Z3" s="1201"/>
      <c r="AA3" s="1201"/>
      <c r="AB3" s="1201"/>
      <c r="AC3" s="1201"/>
      <c r="AD3" s="1201"/>
      <c r="AE3" s="1201"/>
      <c r="AF3" s="1201"/>
      <c r="AG3" s="1201"/>
      <c r="AH3" s="1201"/>
      <c r="AI3" s="1201"/>
      <c r="AJ3" s="1201"/>
    </row>
    <row r="4" spans="2:45" ht="44.15" customHeight="1" x14ac:dyDescent="0.35">
      <c r="B4" s="377" t="s">
        <v>0</v>
      </c>
      <c r="C4" s="377" t="s">
        <v>703</v>
      </c>
      <c r="D4" s="378" t="s">
        <v>568</v>
      </c>
      <c r="E4" s="379" t="s">
        <v>470</v>
      </c>
      <c r="F4" s="473" t="s">
        <v>701</v>
      </c>
      <c r="G4" s="377" t="s">
        <v>702</v>
      </c>
      <c r="H4" s="377" t="s">
        <v>132</v>
      </c>
      <c r="I4" s="603" t="s">
        <v>232</v>
      </c>
      <c r="J4" s="269" t="s">
        <v>1947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2" t="s">
        <v>56</v>
      </c>
      <c r="Z4" s="942" t="s">
        <v>57</v>
      </c>
      <c r="AA4" s="942" t="s">
        <v>58</v>
      </c>
      <c r="AB4" s="942" t="s">
        <v>59</v>
      </c>
      <c r="AC4" s="942" t="s">
        <v>60</v>
      </c>
      <c r="AD4" s="942" t="s">
        <v>61</v>
      </c>
      <c r="AE4" s="942" t="s">
        <v>62</v>
      </c>
      <c r="AF4" s="942" t="s">
        <v>63</v>
      </c>
      <c r="AG4" s="942" t="s">
        <v>64</v>
      </c>
      <c r="AH4" s="942" t="s">
        <v>65</v>
      </c>
      <c r="AI4" s="942" t="s">
        <v>66</v>
      </c>
      <c r="AJ4" s="942" t="s">
        <v>67</v>
      </c>
      <c r="AK4" s="942" t="s">
        <v>405</v>
      </c>
      <c r="AM4" s="942" t="s">
        <v>1942</v>
      </c>
      <c r="AO4" s="942" t="s">
        <v>1943</v>
      </c>
      <c r="AQ4" s="943" t="s">
        <v>749</v>
      </c>
      <c r="AR4" s="944" t="s">
        <v>750</v>
      </c>
    </row>
    <row r="5" spans="2:45" s="37" customFormat="1" ht="21" customHeight="1" x14ac:dyDescent="0.35">
      <c r="B5" s="382" t="s">
        <v>2</v>
      </c>
      <c r="C5" s="471"/>
      <c r="D5" s="383"/>
      <c r="E5" s="482" t="s">
        <v>85</v>
      </c>
      <c r="F5" s="384"/>
      <c r="G5" s="482" t="s">
        <v>85</v>
      </c>
      <c r="H5" s="384"/>
      <c r="I5" s="384"/>
      <c r="J5" s="984">
        <f ca="1">W5/'4.Doanh thu'!$R$60</f>
        <v>7.4357434672501513E-2</v>
      </c>
      <c r="K5" s="386">
        <f ca="1">SUM(K6:K26)</f>
        <v>584621246.00651312</v>
      </c>
      <c r="L5" s="386">
        <f t="shared" ref="L5:W5" ca="1" si="0">SUM(L6:L26)</f>
        <v>548760403.06370831</v>
      </c>
      <c r="M5" s="386">
        <f t="shared" ca="1" si="0"/>
        <v>588721741.98744798</v>
      </c>
      <c r="N5" s="386">
        <f t="shared" ca="1" si="0"/>
        <v>629513749.96838284</v>
      </c>
      <c r="O5" s="386">
        <f t="shared" ca="1" si="0"/>
        <v>604651273.96838284</v>
      </c>
      <c r="P5" s="386">
        <f t="shared" ca="1" si="0"/>
        <v>623300367.96838284</v>
      </c>
      <c r="Q5" s="386">
        <f t="shared" ca="1" si="0"/>
        <v>654828818.96838284</v>
      </c>
      <c r="R5" s="386">
        <f t="shared" ca="1" si="0"/>
        <v>666795291.96838284</v>
      </c>
      <c r="S5" s="386">
        <f t="shared" ca="1" si="0"/>
        <v>659769950.96838284</v>
      </c>
      <c r="T5" s="386">
        <f t="shared" ca="1" si="0"/>
        <v>608345000.96838284</v>
      </c>
      <c r="U5" s="386">
        <f t="shared" ca="1" si="0"/>
        <v>623300367.96838284</v>
      </c>
      <c r="V5" s="386">
        <f t="shared" ca="1" si="0"/>
        <v>612946134.96838284</v>
      </c>
      <c r="W5" s="386">
        <f t="shared" ca="1" si="0"/>
        <v>7405554348.7731152</v>
      </c>
      <c r="Y5" s="386">
        <f>SUM(Y6:Y26)</f>
        <v>458006251</v>
      </c>
      <c r="Z5" s="386">
        <f t="shared" ref="Z5:AJ5" si="1">SUM(Z6:Z26)</f>
        <v>514698769</v>
      </c>
      <c r="AA5" s="386">
        <f t="shared" si="1"/>
        <v>565464977</v>
      </c>
      <c r="AB5" s="386">
        <f t="shared" si="1"/>
        <v>545848251</v>
      </c>
      <c r="AC5" s="386">
        <f t="shared" si="1"/>
        <v>471157389</v>
      </c>
      <c r="AD5" s="386">
        <f t="shared" si="1"/>
        <v>510904926</v>
      </c>
      <c r="AE5" s="386">
        <f t="shared" si="1"/>
        <v>596494016</v>
      </c>
      <c r="AF5" s="386">
        <f t="shared" si="1"/>
        <v>504198697</v>
      </c>
      <c r="AG5" s="386">
        <f t="shared" si="1"/>
        <v>489060853</v>
      </c>
      <c r="AH5" s="386">
        <f t="shared" si="1"/>
        <v>587014475.49564302</v>
      </c>
      <c r="AI5" s="386">
        <f t="shared" si="1"/>
        <v>587014475.49564302</v>
      </c>
      <c r="AJ5" s="386">
        <f t="shared" si="1"/>
        <v>587014475.49564302</v>
      </c>
      <c r="AK5" s="386">
        <f t="shared" ref="AK5" si="2">SUM(AK6:AK26)</f>
        <v>6416877555.4869289</v>
      </c>
      <c r="AM5" s="386">
        <f>SUM(AM6:AM26)</f>
        <v>5628274897</v>
      </c>
      <c r="AO5" s="386">
        <f>SUM(AO6:AO26)</f>
        <v>6761252368.499999</v>
      </c>
      <c r="AQ5" s="386">
        <f ca="1">IFERROR(W5-AK5,0)</f>
        <v>988676793.28618622</v>
      </c>
      <c r="AR5" s="984">
        <f ca="1">IFERROR((W5/AK5)-1,0)</f>
        <v>0.15407443647429275</v>
      </c>
    </row>
    <row r="6" spans="2:45" x14ac:dyDescent="0.25">
      <c r="B6" s="570">
        <v>1</v>
      </c>
      <c r="C6" s="570"/>
      <c r="D6" s="997">
        <v>6220002601</v>
      </c>
      <c r="E6" s="584" t="s">
        <v>454</v>
      </c>
      <c r="F6" s="584" t="s">
        <v>569</v>
      </c>
      <c r="G6" s="584" t="s">
        <v>454</v>
      </c>
      <c r="H6" s="997" t="s">
        <v>521</v>
      </c>
      <c r="I6" s="605" t="s">
        <v>612</v>
      </c>
      <c r="J6" s="993">
        <f>W6/'4.Doanh thu'!$R$60</f>
        <v>3.8593942657188185E-2</v>
      </c>
      <c r="K6" s="915">
        <f>SUMIFS(LUONG!F:F,LUONG!$C:$C,CPSX!$D6)</f>
        <v>319281001</v>
      </c>
      <c r="L6" s="915">
        <f>SUMIFS(LUONG!G:G,LUONG!$C:$C,CPSX!$D6)</f>
        <v>315134117</v>
      </c>
      <c r="M6" s="915">
        <f>SUMIFS(LUONG!H:H,LUONG!$C:$C,CPSX!$D6)</f>
        <v>304474766</v>
      </c>
      <c r="N6" s="915">
        <f>SUMIFS(LUONG!I:I,LUONG!$C:$C,CPSX!$D6)</f>
        <v>331634117</v>
      </c>
      <c r="O6" s="915">
        <f>SUMIFS(LUONG!J:J,LUONG!$C:$C,CPSX!$D6)</f>
        <v>303627885</v>
      </c>
      <c r="P6" s="915">
        <f>SUMIFS(LUONG!K:K,LUONG!$C:$C,CPSX!$D6)</f>
        <v>331634117</v>
      </c>
      <c r="Q6" s="915">
        <f>SUMIFS(LUONG!L:L,LUONG!$C:$C,CPSX!$D6)</f>
        <v>322581001</v>
      </c>
      <c r="R6" s="915">
        <f>SUMIFS(LUONG!M:M,LUONG!$C:$C,CPSX!$D6)</f>
        <v>322581001</v>
      </c>
      <c r="S6" s="915">
        <f>SUMIFS(LUONG!N:N,LUONG!$C:$C,CPSX!$D6)</f>
        <v>325034117</v>
      </c>
      <c r="T6" s="915">
        <f>SUMIFS(LUONG!O:O,LUONG!$C:$C,CPSX!$D6)</f>
        <v>313527885</v>
      </c>
      <c r="U6" s="915">
        <f>SUMIFS(LUONG!P:P,LUONG!$C:$C,CPSX!$D6)</f>
        <v>331634117</v>
      </c>
      <c r="V6" s="915">
        <f>SUMIFS(LUONG!Q:Q,LUONG!$C:$C,CPSX!$D6)</f>
        <v>322581001</v>
      </c>
      <c r="W6" s="998">
        <f>SUM(K6:V6)</f>
        <v>3843725125</v>
      </c>
      <c r="Y6" s="915">
        <f t="shared" ref="Y6:Y14" si="3">Y28+Y50</f>
        <v>313398044</v>
      </c>
      <c r="Z6" s="915">
        <f t="shared" ref="Z6:AJ6" si="4">Z28+Z50</f>
        <v>334053041</v>
      </c>
      <c r="AA6" s="915">
        <f t="shared" si="4"/>
        <v>389512950</v>
      </c>
      <c r="AB6" s="915">
        <f t="shared" si="4"/>
        <v>386175704</v>
      </c>
      <c r="AC6" s="915">
        <f t="shared" si="4"/>
        <v>315774843</v>
      </c>
      <c r="AD6" s="915">
        <f t="shared" si="4"/>
        <v>366425376</v>
      </c>
      <c r="AE6" s="915">
        <f t="shared" si="4"/>
        <v>375641348</v>
      </c>
      <c r="AF6" s="915">
        <f t="shared" si="4"/>
        <v>365311869</v>
      </c>
      <c r="AG6" s="915">
        <f t="shared" si="4"/>
        <v>326101430</v>
      </c>
      <c r="AH6" s="915">
        <f t="shared" si="4"/>
        <v>396356929.33333302</v>
      </c>
      <c r="AI6" s="915">
        <f t="shared" si="4"/>
        <v>396356929.33333302</v>
      </c>
      <c r="AJ6" s="915">
        <f t="shared" si="4"/>
        <v>396356929.33333302</v>
      </c>
      <c r="AK6" s="998">
        <f>SUM(Y6:AJ6)</f>
        <v>4361465392.999999</v>
      </c>
      <c r="AM6" s="915">
        <f t="shared" ref="AM6" si="5">AM28+AM50</f>
        <v>3659401713</v>
      </c>
      <c r="AO6" s="1384">
        <f t="shared" ref="AO6" si="6">AO28+AO50</f>
        <v>4564471443.3999996</v>
      </c>
      <c r="AQ6" s="915">
        <f>IFERROR(W6-AK6,0)</f>
        <v>-517740267.99999905</v>
      </c>
      <c r="AR6" s="993">
        <f>IFERROR((W6/AK6)-1,0)</f>
        <v>-0.11870787025639462</v>
      </c>
      <c r="AS6" s="1201"/>
    </row>
    <row r="7" spans="2:45" x14ac:dyDescent="0.25">
      <c r="B7" s="575">
        <v>2</v>
      </c>
      <c r="C7" s="575"/>
      <c r="D7" s="981">
        <v>6220002602</v>
      </c>
      <c r="E7" s="638" t="s">
        <v>455</v>
      </c>
      <c r="F7" s="638" t="s">
        <v>569</v>
      </c>
      <c r="G7" s="638" t="s">
        <v>455</v>
      </c>
      <c r="H7" s="981" t="s">
        <v>521</v>
      </c>
      <c r="I7" s="606" t="s">
        <v>612</v>
      </c>
      <c r="J7" s="993">
        <f>W7/'4.Doanh thu'!$R$60</f>
        <v>1.7156411832038075E-3</v>
      </c>
      <c r="K7" s="916">
        <f>SUMIFS(LUONG!F:F,LUONG!$C:$C,CPSX!$D7)</f>
        <v>14238964</v>
      </c>
      <c r="L7" s="916">
        <f>SUMIFS(LUONG!G:G,LUONG!$C:$C,CPSX!$D7)</f>
        <v>14238964</v>
      </c>
      <c r="M7" s="916">
        <f>SUMIFS(LUONG!H:H,LUONG!$C:$C,CPSX!$D7)</f>
        <v>14238964</v>
      </c>
      <c r="N7" s="916">
        <f>SUMIFS(LUONG!I:I,LUONG!$C:$C,CPSX!$D7)</f>
        <v>14238964</v>
      </c>
      <c r="O7" s="916">
        <f>SUMIFS(LUONG!J:J,LUONG!$C:$C,CPSX!$D7)</f>
        <v>14238964</v>
      </c>
      <c r="P7" s="916">
        <f>SUMIFS(LUONG!K:K,LUONG!$C:$C,CPSX!$D7)</f>
        <v>14238964</v>
      </c>
      <c r="Q7" s="916">
        <f>SUMIFS(LUONG!L:L,LUONG!$C:$C,CPSX!$D7)</f>
        <v>14238964</v>
      </c>
      <c r="R7" s="916">
        <f>SUMIFS(LUONG!M:M,LUONG!$C:$C,CPSX!$D7)</f>
        <v>14238964</v>
      </c>
      <c r="S7" s="916">
        <f>SUMIFS(LUONG!N:N,LUONG!$C:$C,CPSX!$D7)</f>
        <v>14238964</v>
      </c>
      <c r="T7" s="916">
        <f>SUMIFS(LUONG!O:O,LUONG!$C:$C,CPSX!$D7)</f>
        <v>14238964</v>
      </c>
      <c r="U7" s="916">
        <f>SUMIFS(LUONG!P:P,LUONG!$C:$C,CPSX!$D7)</f>
        <v>14238964</v>
      </c>
      <c r="V7" s="916">
        <f>SUMIFS(LUONG!Q:Q,LUONG!$C:$C,CPSX!$D7)</f>
        <v>14238964</v>
      </c>
      <c r="W7" s="998">
        <f t="shared" ref="W7:W25" si="7">SUM(K7:V7)</f>
        <v>170867568</v>
      </c>
      <c r="Y7" s="915">
        <f t="shared" si="3"/>
        <v>15575000</v>
      </c>
      <c r="Z7" s="915">
        <f t="shared" ref="Z7:AJ7" si="8">Z29+Z51</f>
        <v>15158333</v>
      </c>
      <c r="AA7" s="915">
        <f t="shared" si="8"/>
        <v>14741667</v>
      </c>
      <c r="AB7" s="915">
        <f t="shared" si="8"/>
        <v>13075000</v>
      </c>
      <c r="AC7" s="915">
        <f t="shared" si="8"/>
        <v>12175000</v>
      </c>
      <c r="AD7" s="915">
        <f t="shared" si="8"/>
        <v>12591667</v>
      </c>
      <c r="AE7" s="915">
        <f t="shared" si="8"/>
        <v>12525000</v>
      </c>
      <c r="AF7" s="915">
        <f t="shared" si="8"/>
        <v>11691667</v>
      </c>
      <c r="AG7" s="915">
        <f t="shared" si="8"/>
        <v>11691667</v>
      </c>
      <c r="AH7" s="915">
        <f t="shared" si="8"/>
        <v>11691666.333333343</v>
      </c>
      <c r="AI7" s="915">
        <f t="shared" si="8"/>
        <v>11691666.333333343</v>
      </c>
      <c r="AJ7" s="915">
        <f t="shared" si="8"/>
        <v>11691666.333333343</v>
      </c>
      <c r="AK7" s="998">
        <f t="shared" ref="AK7:AK25" si="9">SUM(Y7:AJ7)</f>
        <v>154300000.00000003</v>
      </c>
      <c r="AM7" s="915">
        <f t="shared" ref="AM7" si="10">AM29+AM51</f>
        <v>179574999</v>
      </c>
      <c r="AO7" s="1384">
        <f t="shared" ref="AO7" si="11">AO29+AO51</f>
        <v>268976664.44999999</v>
      </c>
      <c r="AQ7" s="915">
        <f t="shared" ref="AQ7:AQ76" si="12">IFERROR(W7-AK7,0)</f>
        <v>16567567.99999997</v>
      </c>
      <c r="AR7" s="993">
        <f t="shared" ref="AR7:AR76" si="13">IFERROR((W7/AK7)-1,0)</f>
        <v>0.10737244329228757</v>
      </c>
      <c r="AS7" s="1201"/>
    </row>
    <row r="8" spans="2:45" x14ac:dyDescent="0.25">
      <c r="B8" s="575">
        <v>3</v>
      </c>
      <c r="C8" s="575"/>
      <c r="D8" s="981">
        <v>6220002802</v>
      </c>
      <c r="E8" s="638" t="s">
        <v>458</v>
      </c>
      <c r="F8" s="638" t="s">
        <v>570</v>
      </c>
      <c r="G8" s="638" t="s">
        <v>458</v>
      </c>
      <c r="H8" s="981" t="s">
        <v>521</v>
      </c>
      <c r="I8" s="606" t="s">
        <v>612</v>
      </c>
      <c r="J8" s="993">
        <f>W8/'4.Doanh thu'!$R$60</f>
        <v>2.1688053497198628E-4</v>
      </c>
      <c r="K8" s="916">
        <f>SUMIFS(LUONG!F:F,LUONG!$C:$C,CPSX!$D8)</f>
        <v>5400000</v>
      </c>
      <c r="L8" s="916">
        <f>SUMIFS(LUONG!G:G,LUONG!$C:$C,CPSX!$D8)</f>
        <v>0</v>
      </c>
      <c r="M8" s="916">
        <f>SUMIFS(LUONG!H:H,LUONG!$C:$C,CPSX!$D8)</f>
        <v>0</v>
      </c>
      <c r="N8" s="916">
        <f>SUMIFS(LUONG!I:I,LUONG!$C:$C,CPSX!$D8)</f>
        <v>0</v>
      </c>
      <c r="O8" s="916">
        <f>SUMIFS(LUONG!J:J,LUONG!$C:$C,CPSX!$D8)</f>
        <v>10800000</v>
      </c>
      <c r="P8" s="916">
        <f>SUMIFS(LUONG!K:K,LUONG!$C:$C,CPSX!$D8)</f>
        <v>0</v>
      </c>
      <c r="Q8" s="916">
        <f>SUMIFS(LUONG!L:L,LUONG!$C:$C,CPSX!$D8)</f>
        <v>0</v>
      </c>
      <c r="R8" s="916">
        <f>SUMIFS(LUONG!M:M,LUONG!$C:$C,CPSX!$D8)</f>
        <v>0</v>
      </c>
      <c r="S8" s="916">
        <f>SUMIFS(LUONG!N:N,LUONG!$C:$C,CPSX!$D8)</f>
        <v>5400000</v>
      </c>
      <c r="T8" s="916">
        <f>SUMIFS(LUONG!O:O,LUONG!$C:$C,CPSX!$D8)</f>
        <v>0</v>
      </c>
      <c r="U8" s="916">
        <f>SUMIFS(LUONG!P:P,LUONG!$C:$C,CPSX!$D8)</f>
        <v>0</v>
      </c>
      <c r="V8" s="916">
        <f>SUMIFS(LUONG!Q:Q,LUONG!$C:$C,CPSX!$D8)</f>
        <v>0</v>
      </c>
      <c r="W8" s="998">
        <f t="shared" si="7"/>
        <v>21600000</v>
      </c>
      <c r="Y8" s="915">
        <f t="shared" si="3"/>
        <v>2647625</v>
      </c>
      <c r="Z8" s="915">
        <f t="shared" ref="Z8:AJ8" si="14">Z30+Z52</f>
        <v>2576795</v>
      </c>
      <c r="AA8" s="915">
        <f t="shared" si="14"/>
        <v>2505965</v>
      </c>
      <c r="AB8" s="915">
        <f t="shared" si="14"/>
        <v>2585145</v>
      </c>
      <c r="AC8" s="915">
        <f t="shared" si="14"/>
        <v>2069653</v>
      </c>
      <c r="AD8" s="915">
        <f t="shared" si="14"/>
        <v>2140483</v>
      </c>
      <c r="AE8" s="915">
        <f t="shared" si="14"/>
        <v>2129150</v>
      </c>
      <c r="AF8" s="915">
        <f t="shared" si="14"/>
        <v>1987490</v>
      </c>
      <c r="AG8" s="915">
        <f t="shared" si="14"/>
        <v>1987490</v>
      </c>
      <c r="AH8" s="915">
        <f t="shared" si="14"/>
        <v>21662489.866666678</v>
      </c>
      <c r="AI8" s="915">
        <f t="shared" si="14"/>
        <v>21662489.866666678</v>
      </c>
      <c r="AJ8" s="915">
        <f t="shared" si="14"/>
        <v>21662489.866666678</v>
      </c>
      <c r="AK8" s="998">
        <f t="shared" si="9"/>
        <v>85617265.600000024</v>
      </c>
      <c r="AM8" s="915">
        <f t="shared" ref="AM8" si="15">AM30+AM52</f>
        <v>36333936</v>
      </c>
      <c r="AO8" s="1384">
        <f t="shared" ref="AO8" si="16">AO30+AO52</f>
        <v>65147833.649999999</v>
      </c>
      <c r="AQ8" s="915">
        <f t="shared" si="12"/>
        <v>-64017265.600000024</v>
      </c>
      <c r="AR8" s="993">
        <f t="shared" si="13"/>
        <v>-0.7477144376355791</v>
      </c>
    </row>
    <row r="9" spans="2:45" x14ac:dyDescent="0.25">
      <c r="B9" s="575">
        <v>4</v>
      </c>
      <c r="C9" s="575"/>
      <c r="D9" s="981">
        <v>6220002806</v>
      </c>
      <c r="E9" s="638" t="s">
        <v>471</v>
      </c>
      <c r="F9" s="638" t="s">
        <v>569</v>
      </c>
      <c r="G9" s="638" t="s">
        <v>471</v>
      </c>
      <c r="H9" s="981" t="s">
        <v>521</v>
      </c>
      <c r="I9" s="606" t="s">
        <v>612</v>
      </c>
      <c r="J9" s="993">
        <f>W9/'4.Doanh thu'!$R$60</f>
        <v>1.6520983191758539E-4</v>
      </c>
      <c r="K9" s="916">
        <f>SUMIFS(LUONG!F:F,LUONG!$C:$C,CPSX!$D9)</f>
        <v>1371159</v>
      </c>
      <c r="L9" s="916">
        <f>SUMIFS(LUONG!G:G,LUONG!$C:$C,CPSX!$D9)</f>
        <v>1371159</v>
      </c>
      <c r="M9" s="916">
        <f>SUMIFS(LUONG!H:H,LUONG!$C:$C,CPSX!$D9)</f>
        <v>1371159</v>
      </c>
      <c r="N9" s="916">
        <f>SUMIFS(LUONG!I:I,LUONG!$C:$C,CPSX!$D9)</f>
        <v>1371159</v>
      </c>
      <c r="O9" s="916">
        <f>SUMIFS(LUONG!J:J,LUONG!$C:$C,CPSX!$D9)</f>
        <v>1371159</v>
      </c>
      <c r="P9" s="916">
        <f>SUMIFS(LUONG!K:K,LUONG!$C:$C,CPSX!$D9)</f>
        <v>1371159</v>
      </c>
      <c r="Q9" s="916">
        <f>SUMIFS(LUONG!L:L,LUONG!$C:$C,CPSX!$D9)</f>
        <v>1371159</v>
      </c>
      <c r="R9" s="916">
        <f>SUMIFS(LUONG!M:M,LUONG!$C:$C,CPSX!$D9)</f>
        <v>1371159</v>
      </c>
      <c r="S9" s="916">
        <f>SUMIFS(LUONG!N:N,LUONG!$C:$C,CPSX!$D9)</f>
        <v>1371159</v>
      </c>
      <c r="T9" s="916">
        <f>SUMIFS(LUONG!O:O,LUONG!$C:$C,CPSX!$D9)</f>
        <v>1371159</v>
      </c>
      <c r="U9" s="916">
        <f>SUMIFS(LUONG!P:P,LUONG!$C:$C,CPSX!$D9)</f>
        <v>1371159</v>
      </c>
      <c r="V9" s="916">
        <f>SUMIFS(LUONG!Q:Q,LUONG!$C:$C,CPSX!$D9)</f>
        <v>1371159</v>
      </c>
      <c r="W9" s="998">
        <f t="shared" si="7"/>
        <v>16453908</v>
      </c>
      <c r="Y9" s="915">
        <f t="shared" si="3"/>
        <v>0</v>
      </c>
      <c r="Z9" s="915">
        <f t="shared" ref="Z9:AJ9" si="17">Z31+Z53</f>
        <v>0</v>
      </c>
      <c r="AA9" s="915">
        <f t="shared" si="17"/>
        <v>0</v>
      </c>
      <c r="AB9" s="915">
        <f t="shared" si="17"/>
        <v>0</v>
      </c>
      <c r="AC9" s="915">
        <f t="shared" si="17"/>
        <v>0</v>
      </c>
      <c r="AD9" s="915">
        <f t="shared" si="17"/>
        <v>0</v>
      </c>
      <c r="AE9" s="915">
        <f t="shared" si="17"/>
        <v>0</v>
      </c>
      <c r="AF9" s="915">
        <f t="shared" si="17"/>
        <v>0</v>
      </c>
      <c r="AG9" s="915">
        <f t="shared" si="17"/>
        <v>0</v>
      </c>
      <c r="AH9" s="915">
        <f t="shared" si="17"/>
        <v>0</v>
      </c>
      <c r="AI9" s="915">
        <f t="shared" si="17"/>
        <v>0</v>
      </c>
      <c r="AJ9" s="915">
        <f t="shared" si="17"/>
        <v>0</v>
      </c>
      <c r="AK9" s="998">
        <f t="shared" si="9"/>
        <v>0</v>
      </c>
      <c r="AM9" s="915">
        <f t="shared" ref="AM9" si="18">AM31+AM53</f>
        <v>0</v>
      </c>
      <c r="AO9" s="1384">
        <f t="shared" ref="AO9" si="19">AO31+AO53</f>
        <v>0</v>
      </c>
      <c r="AQ9" s="915">
        <f t="shared" si="12"/>
        <v>16453908</v>
      </c>
      <c r="AR9" s="993">
        <f t="shared" si="13"/>
        <v>0</v>
      </c>
    </row>
    <row r="10" spans="2:45" x14ac:dyDescent="0.25">
      <c r="B10" s="575">
        <v>5</v>
      </c>
      <c r="C10" s="575"/>
      <c r="D10" s="981">
        <v>6220007202</v>
      </c>
      <c r="E10" s="638" t="s">
        <v>431</v>
      </c>
      <c r="F10" s="638" t="s">
        <v>570</v>
      </c>
      <c r="G10" s="638" t="s">
        <v>431</v>
      </c>
      <c r="H10" s="981" t="s">
        <v>521</v>
      </c>
      <c r="I10" s="606" t="s">
        <v>612</v>
      </c>
      <c r="J10" s="993">
        <f>W10/'4.Doanh thu'!$R$60</f>
        <v>1.9328473602827479E-4</v>
      </c>
      <c r="K10" s="916">
        <f>SUMIFS(LUONG!F:F,LUONG!$C:$C,CPSX!$D10)</f>
        <v>0</v>
      </c>
      <c r="L10" s="916">
        <f>SUMIFS(LUONG!G:G,LUONG!$C:$C,CPSX!$D10)</f>
        <v>19250000</v>
      </c>
      <c r="M10" s="916">
        <f>SUMIFS(LUONG!H:H,LUONG!$C:$C,CPSX!$D10)</f>
        <v>0</v>
      </c>
      <c r="N10" s="916">
        <f>SUMIFS(LUONG!I:I,LUONG!$C:$C,CPSX!$D10)</f>
        <v>0</v>
      </c>
      <c r="O10" s="916">
        <f>SUMIFS(LUONG!J:J,LUONG!$C:$C,CPSX!$D10)</f>
        <v>0</v>
      </c>
      <c r="P10" s="916">
        <f>SUMIFS(LUONG!K:K,LUONG!$C:$C,CPSX!$D10)</f>
        <v>0</v>
      </c>
      <c r="Q10" s="916">
        <f>SUMIFS(LUONG!L:L,LUONG!$C:$C,CPSX!$D10)</f>
        <v>0</v>
      </c>
      <c r="R10" s="916">
        <f>SUMIFS(LUONG!M:M,LUONG!$C:$C,CPSX!$D10)</f>
        <v>0</v>
      </c>
      <c r="S10" s="916">
        <f>SUMIFS(LUONG!N:N,LUONG!$C:$C,CPSX!$D10)</f>
        <v>0</v>
      </c>
      <c r="T10" s="916">
        <f>SUMIFS(LUONG!O:O,LUONG!$C:$C,CPSX!$D10)</f>
        <v>0</v>
      </c>
      <c r="U10" s="916">
        <f>SUMIFS(LUONG!P:P,LUONG!$C:$C,CPSX!$D10)</f>
        <v>0</v>
      </c>
      <c r="V10" s="916">
        <f>SUMIFS(LUONG!Q:Q,LUONG!$C:$C,CPSX!$D10)</f>
        <v>0</v>
      </c>
      <c r="W10" s="998">
        <f t="shared" si="7"/>
        <v>19250000</v>
      </c>
      <c r="Y10" s="915">
        <f t="shared" si="3"/>
        <v>0</v>
      </c>
      <c r="Z10" s="915">
        <f t="shared" ref="Z10:AJ10" si="20">Z32+Z54</f>
        <v>0</v>
      </c>
      <c r="AA10" s="915">
        <f t="shared" si="20"/>
        <v>0</v>
      </c>
      <c r="AB10" s="915">
        <f t="shared" si="20"/>
        <v>0</v>
      </c>
      <c r="AC10" s="915">
        <f t="shared" si="20"/>
        <v>0</v>
      </c>
      <c r="AD10" s="915">
        <f t="shared" si="20"/>
        <v>0</v>
      </c>
      <c r="AE10" s="915">
        <f t="shared" si="20"/>
        <v>0</v>
      </c>
      <c r="AF10" s="915">
        <f t="shared" si="20"/>
        <v>0</v>
      </c>
      <c r="AG10" s="915">
        <f t="shared" si="20"/>
        <v>0</v>
      </c>
      <c r="AH10" s="915">
        <f t="shared" si="20"/>
        <v>0</v>
      </c>
      <c r="AI10" s="915">
        <f t="shared" si="20"/>
        <v>0</v>
      </c>
      <c r="AJ10" s="915">
        <f t="shared" si="20"/>
        <v>0</v>
      </c>
      <c r="AK10" s="998">
        <f t="shared" si="9"/>
        <v>0</v>
      </c>
      <c r="AM10" s="915">
        <f t="shared" ref="AM10" si="21">AM32+AM54</f>
        <v>0</v>
      </c>
      <c r="AO10" s="1384">
        <f t="shared" ref="AO10" si="22">AO32+AO54</f>
        <v>0</v>
      </c>
      <c r="AQ10" s="915">
        <f t="shared" si="12"/>
        <v>19250000</v>
      </c>
      <c r="AR10" s="993">
        <f t="shared" si="13"/>
        <v>0</v>
      </c>
    </row>
    <row r="11" spans="2:45" x14ac:dyDescent="0.25">
      <c r="B11" s="575">
        <v>6</v>
      </c>
      <c r="C11" s="575"/>
      <c r="D11" s="981">
        <v>6220003201</v>
      </c>
      <c r="E11" s="638" t="s">
        <v>460</v>
      </c>
      <c r="F11" s="638" t="s">
        <v>570</v>
      </c>
      <c r="G11" s="638" t="s">
        <v>460</v>
      </c>
      <c r="H11" s="981" t="s">
        <v>521</v>
      </c>
      <c r="I11" s="606" t="s">
        <v>612</v>
      </c>
      <c r="J11" s="993">
        <f>W11/'4.Doanh thu'!$R$60</f>
        <v>3.2476052774263512E-3</v>
      </c>
      <c r="K11" s="916">
        <f>K33</f>
        <v>26775000</v>
      </c>
      <c r="L11" s="916">
        <f t="shared" ref="L11:V11" si="23">L33</f>
        <v>23562000</v>
      </c>
      <c r="M11" s="916">
        <f t="shared" si="23"/>
        <v>25704000</v>
      </c>
      <c r="N11" s="916">
        <f t="shared" si="23"/>
        <v>28917000</v>
      </c>
      <c r="O11" s="916">
        <f t="shared" si="23"/>
        <v>23562000</v>
      </c>
      <c r="P11" s="916">
        <f t="shared" si="23"/>
        <v>28917000</v>
      </c>
      <c r="Q11" s="916">
        <f t="shared" si="23"/>
        <v>27846000</v>
      </c>
      <c r="R11" s="916">
        <f t="shared" si="23"/>
        <v>27846000</v>
      </c>
      <c r="S11" s="916">
        <f t="shared" si="23"/>
        <v>26775000</v>
      </c>
      <c r="T11" s="916">
        <f t="shared" si="23"/>
        <v>26775000</v>
      </c>
      <c r="U11" s="916">
        <f t="shared" si="23"/>
        <v>28917000</v>
      </c>
      <c r="V11" s="916">
        <f t="shared" si="23"/>
        <v>27846000</v>
      </c>
      <c r="W11" s="998">
        <f t="shared" si="7"/>
        <v>323442000</v>
      </c>
      <c r="Y11" s="915">
        <f t="shared" si="3"/>
        <v>20700000</v>
      </c>
      <c r="Z11" s="915">
        <f t="shared" ref="Z11:AJ11" si="24">Z33+Z55</f>
        <v>33550000</v>
      </c>
      <c r="AA11" s="915">
        <f t="shared" si="24"/>
        <v>33150000</v>
      </c>
      <c r="AB11" s="915">
        <f t="shared" si="24"/>
        <v>29225000</v>
      </c>
      <c r="AC11" s="915">
        <f t="shared" si="24"/>
        <v>31224470</v>
      </c>
      <c r="AD11" s="915">
        <f t="shared" si="24"/>
        <v>31185000</v>
      </c>
      <c r="AE11" s="915">
        <f t="shared" si="24"/>
        <v>75480430</v>
      </c>
      <c r="AF11" s="915">
        <f t="shared" si="24"/>
        <v>-11122709</v>
      </c>
      <c r="AG11" s="915">
        <f t="shared" si="24"/>
        <v>25963509</v>
      </c>
      <c r="AH11" s="915">
        <f t="shared" si="24"/>
        <v>25963509</v>
      </c>
      <c r="AI11" s="915">
        <f t="shared" si="24"/>
        <v>25963509</v>
      </c>
      <c r="AJ11" s="915">
        <f t="shared" si="24"/>
        <v>25963509</v>
      </c>
      <c r="AK11" s="998">
        <f t="shared" si="9"/>
        <v>347246227</v>
      </c>
      <c r="AM11" s="915">
        <f t="shared" ref="AM11" si="25">AM33+AM55</f>
        <v>265910000</v>
      </c>
      <c r="AO11" s="1384">
        <f t="shared" ref="AO11" si="26">AO33+AO55</f>
        <v>326942500</v>
      </c>
      <c r="AQ11" s="915">
        <f t="shared" si="12"/>
        <v>-23804227</v>
      </c>
      <c r="AR11" s="993">
        <f t="shared" si="13"/>
        <v>-6.855143454157675E-2</v>
      </c>
    </row>
    <row r="12" spans="2:45" x14ac:dyDescent="0.25">
      <c r="B12" s="575">
        <v>7</v>
      </c>
      <c r="C12" s="575"/>
      <c r="D12" s="981">
        <v>6220002603</v>
      </c>
      <c r="E12" s="638" t="s">
        <v>459</v>
      </c>
      <c r="F12" s="638" t="s">
        <v>569</v>
      </c>
      <c r="G12" s="638" t="s">
        <v>459</v>
      </c>
      <c r="H12" s="981" t="s">
        <v>521</v>
      </c>
      <c r="I12" s="606" t="s">
        <v>612</v>
      </c>
      <c r="J12" s="993">
        <f>W12/'4.Doanh thu'!$R$60</f>
        <v>0</v>
      </c>
      <c r="K12" s="916">
        <f>SUMIFS(LUONG!F:F,LUONG!$C:$C,CPSX!$D12)</f>
        <v>0</v>
      </c>
      <c r="L12" s="916">
        <f>SUMIFS(LUONG!G:G,LUONG!$C:$C,CPSX!$D12)</f>
        <v>0</v>
      </c>
      <c r="M12" s="916">
        <f>SUMIFS(LUONG!H:H,LUONG!$C:$C,CPSX!$D12)</f>
        <v>0</v>
      </c>
      <c r="N12" s="916">
        <f>SUMIFS(LUONG!I:I,LUONG!$C:$C,CPSX!$D12)</f>
        <v>0</v>
      </c>
      <c r="O12" s="916">
        <f>SUMIFS(LUONG!J:J,LUONG!$C:$C,CPSX!$D12)</f>
        <v>0</v>
      </c>
      <c r="P12" s="916">
        <f>SUMIFS(LUONG!K:K,LUONG!$C:$C,CPSX!$D12)</f>
        <v>0</v>
      </c>
      <c r="Q12" s="916">
        <f>SUMIFS(LUONG!L:L,LUONG!$C:$C,CPSX!$D12)</f>
        <v>0</v>
      </c>
      <c r="R12" s="916">
        <f>SUMIFS(LUONG!M:M,LUONG!$C:$C,CPSX!$D12)</f>
        <v>0</v>
      </c>
      <c r="S12" s="916">
        <f>SUMIFS(LUONG!N:N,LUONG!$C:$C,CPSX!$D12)</f>
        <v>0</v>
      </c>
      <c r="T12" s="916">
        <f>SUMIFS(LUONG!O:O,LUONG!$C:$C,CPSX!$D12)</f>
        <v>0</v>
      </c>
      <c r="U12" s="916">
        <f>SUMIFS(LUONG!P:P,LUONG!$C:$C,CPSX!$D12)</f>
        <v>0</v>
      </c>
      <c r="V12" s="916">
        <f>SUMIFS(LUONG!Q:Q,LUONG!$C:$C,CPSX!$D12)</f>
        <v>0</v>
      </c>
      <c r="W12" s="998">
        <f t="shared" si="7"/>
        <v>0</v>
      </c>
      <c r="Y12" s="915">
        <f t="shared" si="3"/>
        <v>0</v>
      </c>
      <c r="Z12" s="915">
        <f t="shared" ref="Z12:AJ12" si="27">Z34+Z56</f>
        <v>0</v>
      </c>
      <c r="AA12" s="915">
        <f t="shared" si="27"/>
        <v>0</v>
      </c>
      <c r="AB12" s="915">
        <f t="shared" si="27"/>
        <v>0</v>
      </c>
      <c r="AC12" s="915">
        <f t="shared" si="27"/>
        <v>0</v>
      </c>
      <c r="AD12" s="915">
        <f t="shared" si="27"/>
        <v>0</v>
      </c>
      <c r="AE12" s="915">
        <f t="shared" si="27"/>
        <v>0</v>
      </c>
      <c r="AF12" s="915">
        <f t="shared" si="27"/>
        <v>0</v>
      </c>
      <c r="AG12" s="915">
        <f t="shared" si="27"/>
        <v>0</v>
      </c>
      <c r="AH12" s="915">
        <f t="shared" si="27"/>
        <v>0</v>
      </c>
      <c r="AI12" s="915">
        <f t="shared" si="27"/>
        <v>0</v>
      </c>
      <c r="AJ12" s="915">
        <f t="shared" si="27"/>
        <v>0</v>
      </c>
      <c r="AK12" s="998">
        <f t="shared" si="9"/>
        <v>0</v>
      </c>
      <c r="AM12" s="915">
        <f t="shared" ref="AM12" si="28">AM34+AM56</f>
        <v>0</v>
      </c>
      <c r="AO12" s="1384">
        <f t="shared" ref="AO12" si="29">AO34+AO56</f>
        <v>0</v>
      </c>
      <c r="AQ12" s="915">
        <f t="shared" si="12"/>
        <v>0</v>
      </c>
      <c r="AR12" s="993">
        <f t="shared" si="13"/>
        <v>0</v>
      </c>
    </row>
    <row r="13" spans="2:45" x14ac:dyDescent="0.25">
      <c r="B13" s="575">
        <v>8</v>
      </c>
      <c r="C13" s="575"/>
      <c r="D13" s="981">
        <v>6220003401</v>
      </c>
      <c r="E13" s="638" t="s">
        <v>456</v>
      </c>
      <c r="F13" s="638" t="s">
        <v>570</v>
      </c>
      <c r="G13" s="638" t="s">
        <v>456</v>
      </c>
      <c r="H13" s="981" t="s">
        <v>521</v>
      </c>
      <c r="I13" s="606" t="s">
        <v>612</v>
      </c>
      <c r="J13" s="993">
        <f>W13/'4.Doanh thu'!$R$60</f>
        <v>4.235380083137538E-3</v>
      </c>
      <c r="K13" s="916">
        <f>SUMIFS(LUONG!F:F,LUONG!$C:$C,CPSX!$D13)</f>
        <v>35151537</v>
      </c>
      <c r="L13" s="916">
        <f>SUMIFS(LUONG!G:G,LUONG!$C:$C,CPSX!$D13)</f>
        <v>35151537</v>
      </c>
      <c r="M13" s="916">
        <f>SUMIFS(LUONG!H:H,LUONG!$C:$C,CPSX!$D13)</f>
        <v>35151537</v>
      </c>
      <c r="N13" s="916">
        <f>SUMIFS(LUONG!I:I,LUONG!$C:$C,CPSX!$D13)</f>
        <v>35151537</v>
      </c>
      <c r="O13" s="916">
        <f>SUMIFS(LUONG!J:J,LUONG!$C:$C,CPSX!$D13)</f>
        <v>35151537</v>
      </c>
      <c r="P13" s="916">
        <f>SUMIFS(LUONG!K:K,LUONG!$C:$C,CPSX!$D13)</f>
        <v>35151537</v>
      </c>
      <c r="Q13" s="916">
        <f>SUMIFS(LUONG!L:L,LUONG!$C:$C,CPSX!$D13)</f>
        <v>35151537</v>
      </c>
      <c r="R13" s="916">
        <f>SUMIFS(LUONG!M:M,LUONG!$C:$C,CPSX!$D13)</f>
        <v>35151537</v>
      </c>
      <c r="S13" s="916">
        <f>SUMIFS(LUONG!N:N,LUONG!$C:$C,CPSX!$D13)</f>
        <v>35151537</v>
      </c>
      <c r="T13" s="916">
        <f>SUMIFS(LUONG!O:O,LUONG!$C:$C,CPSX!$D13)</f>
        <v>35151537</v>
      </c>
      <c r="U13" s="916">
        <f>SUMIFS(LUONG!P:P,LUONG!$C:$C,CPSX!$D13)</f>
        <v>35151537</v>
      </c>
      <c r="V13" s="916">
        <f>SUMIFS(LUONG!Q:Q,LUONG!$C:$C,CPSX!$D13)</f>
        <v>35151537</v>
      </c>
      <c r="W13" s="998">
        <f t="shared" si="7"/>
        <v>421818444</v>
      </c>
      <c r="Y13" s="915">
        <f t="shared" si="3"/>
        <v>39606590</v>
      </c>
      <c r="Z13" s="915">
        <f t="shared" ref="Z13:AJ13" si="30">Z35+Z57</f>
        <v>34323000</v>
      </c>
      <c r="AA13" s="915">
        <f t="shared" si="30"/>
        <v>35639000</v>
      </c>
      <c r="AB13" s="915">
        <f t="shared" si="30"/>
        <v>34400000</v>
      </c>
      <c r="AC13" s="915">
        <f t="shared" si="30"/>
        <v>30125000</v>
      </c>
      <c r="AD13" s="915">
        <f t="shared" si="30"/>
        <v>31425000</v>
      </c>
      <c r="AE13" s="915">
        <f t="shared" si="30"/>
        <v>30550000</v>
      </c>
      <c r="AF13" s="915">
        <f t="shared" si="30"/>
        <v>29700000</v>
      </c>
      <c r="AG13" s="915">
        <f t="shared" si="30"/>
        <v>29025000</v>
      </c>
      <c r="AH13" s="915">
        <f t="shared" si="30"/>
        <v>41560470</v>
      </c>
      <c r="AI13" s="915">
        <f t="shared" si="30"/>
        <v>41560470</v>
      </c>
      <c r="AJ13" s="915">
        <f t="shared" si="30"/>
        <v>41560470</v>
      </c>
      <c r="AK13" s="998">
        <f t="shared" si="9"/>
        <v>419475000</v>
      </c>
      <c r="AM13" s="915">
        <f t="shared" ref="AM13" si="31">AM35+AM57</f>
        <v>488871000</v>
      </c>
      <c r="AO13" s="1384">
        <f t="shared" ref="AO13" si="32">AO35+AO57</f>
        <v>566745889</v>
      </c>
      <c r="AQ13" s="915">
        <f t="shared" si="12"/>
        <v>2343444</v>
      </c>
      <c r="AR13" s="993">
        <f t="shared" si="13"/>
        <v>5.586611836223776E-3</v>
      </c>
    </row>
    <row r="14" spans="2:45" x14ac:dyDescent="0.25">
      <c r="B14" s="575">
        <v>9</v>
      </c>
      <c r="C14" s="575"/>
      <c r="D14" s="981">
        <v>6220002701</v>
      </c>
      <c r="E14" s="638" t="s">
        <v>457</v>
      </c>
      <c r="F14" s="638" t="s">
        <v>569</v>
      </c>
      <c r="G14" s="638" t="s">
        <v>457</v>
      </c>
      <c r="H14" s="981" t="s">
        <v>521</v>
      </c>
      <c r="I14" s="606" t="s">
        <v>612</v>
      </c>
      <c r="J14" s="993">
        <f>W14/'4.Doanh thu'!$R$60</f>
        <v>2.3656204992268609E-3</v>
      </c>
      <c r="K14" s="916">
        <f>SUMIFS(LUONG!F:F,LUONG!$C:$C,CPSX!$D14)</f>
        <v>5753129</v>
      </c>
      <c r="L14" s="916">
        <f>SUMIFS(LUONG!G:G,LUONG!$C:$C,CPSX!$D14)</f>
        <v>7087837</v>
      </c>
      <c r="M14" s="916">
        <f>SUMIFS(LUONG!H:H,LUONG!$C:$C,CPSX!$D14)</f>
        <v>16568971</v>
      </c>
      <c r="N14" s="916">
        <f>SUMIFS(LUONG!I:I,LUONG!$C:$C,CPSX!$D14)</f>
        <v>12426739</v>
      </c>
      <c r="O14" s="916">
        <f>SUMIFS(LUONG!J:J,LUONG!$C:$C,CPSX!$D14)</f>
        <v>10125495</v>
      </c>
      <c r="P14" s="916">
        <f>SUMIFS(LUONG!K:K,LUONG!$C:$C,CPSX!$D14)</f>
        <v>6213357</v>
      </c>
      <c r="Q14" s="916">
        <f>SUMIFS(LUONG!L:L,LUONG!$C:$C,CPSX!$D14)</f>
        <v>47865924</v>
      </c>
      <c r="R14" s="916">
        <f>SUMIFS(LUONG!M:M,LUONG!$C:$C,CPSX!$D14)</f>
        <v>59832397</v>
      </c>
      <c r="S14" s="916">
        <f>SUMIFS(LUONG!N:N,LUONG!$C:$C,CPSX!$D14)</f>
        <v>46024940</v>
      </c>
      <c r="T14" s="916">
        <f>SUMIFS(LUONG!O:O,LUONG!$C:$C,CPSX!$D14)</f>
        <v>11506222</v>
      </c>
      <c r="U14" s="916">
        <f>SUMIFS(LUONG!P:P,LUONG!$C:$C,CPSX!$D14)</f>
        <v>6213357</v>
      </c>
      <c r="V14" s="916">
        <f>SUMIFS(LUONG!Q:Q,LUONG!$C:$C,CPSX!$D14)</f>
        <v>5983240</v>
      </c>
      <c r="W14" s="998">
        <f t="shared" si="7"/>
        <v>235601608</v>
      </c>
      <c r="Y14" s="915">
        <f t="shared" si="3"/>
        <v>0</v>
      </c>
      <c r="Z14" s="915">
        <f t="shared" ref="Z14:AJ14" si="33">Z36+Z58</f>
        <v>0</v>
      </c>
      <c r="AA14" s="915">
        <f t="shared" si="33"/>
        <v>0</v>
      </c>
      <c r="AB14" s="915">
        <f t="shared" si="33"/>
        <v>0</v>
      </c>
      <c r="AC14" s="915">
        <f t="shared" si="33"/>
        <v>0</v>
      </c>
      <c r="AD14" s="915">
        <f t="shared" si="33"/>
        <v>0</v>
      </c>
      <c r="AE14" s="915">
        <f t="shared" si="33"/>
        <v>0</v>
      </c>
      <c r="AF14" s="915">
        <f t="shared" si="33"/>
        <v>0</v>
      </c>
      <c r="AG14" s="915">
        <f t="shared" si="33"/>
        <v>0</v>
      </c>
      <c r="AH14" s="915">
        <f t="shared" si="33"/>
        <v>0</v>
      </c>
      <c r="AI14" s="915">
        <f t="shared" si="33"/>
        <v>0</v>
      </c>
      <c r="AJ14" s="915">
        <f t="shared" si="33"/>
        <v>0</v>
      </c>
      <c r="AK14" s="998">
        <f t="shared" si="9"/>
        <v>0</v>
      </c>
      <c r="AM14" s="915">
        <f t="shared" ref="AM14" si="34">AM36+AM58</f>
        <v>0</v>
      </c>
      <c r="AO14" s="1384">
        <f t="shared" ref="AO14" si="35">AO36+AO58</f>
        <v>0</v>
      </c>
      <c r="AQ14" s="915">
        <f t="shared" si="12"/>
        <v>235601608</v>
      </c>
      <c r="AR14" s="993">
        <f t="shared" si="13"/>
        <v>0</v>
      </c>
    </row>
    <row r="15" spans="2:45" x14ac:dyDescent="0.25">
      <c r="B15" s="575">
        <v>10</v>
      </c>
      <c r="C15" s="575"/>
      <c r="D15" s="981" t="s">
        <v>809</v>
      </c>
      <c r="E15" s="638" t="s">
        <v>810</v>
      </c>
      <c r="F15" s="638" t="s">
        <v>811</v>
      </c>
      <c r="G15" s="638" t="s">
        <v>810</v>
      </c>
      <c r="H15" s="981" t="s">
        <v>521</v>
      </c>
      <c r="I15" s="606" t="s">
        <v>612</v>
      </c>
      <c r="J15" s="993">
        <f>W15/'4.Doanh thu'!$R$60</f>
        <v>0</v>
      </c>
      <c r="K15" s="916">
        <f>K37+K59</f>
        <v>0</v>
      </c>
      <c r="L15" s="916">
        <f t="shared" ref="L15:V15" si="36">L37+L59</f>
        <v>0</v>
      </c>
      <c r="M15" s="916">
        <f t="shared" si="36"/>
        <v>0</v>
      </c>
      <c r="N15" s="916">
        <f t="shared" si="36"/>
        <v>0</v>
      </c>
      <c r="O15" s="916">
        <f t="shared" si="36"/>
        <v>0</v>
      </c>
      <c r="P15" s="916">
        <f t="shared" si="36"/>
        <v>0</v>
      </c>
      <c r="Q15" s="916">
        <f t="shared" si="36"/>
        <v>0</v>
      </c>
      <c r="R15" s="916">
        <f t="shared" si="36"/>
        <v>0</v>
      </c>
      <c r="S15" s="916">
        <f t="shared" si="36"/>
        <v>0</v>
      </c>
      <c r="T15" s="916">
        <f t="shared" si="36"/>
        <v>0</v>
      </c>
      <c r="U15" s="916">
        <f t="shared" si="36"/>
        <v>0</v>
      </c>
      <c r="V15" s="916">
        <f t="shared" si="36"/>
        <v>0</v>
      </c>
      <c r="W15" s="998">
        <f t="shared" si="7"/>
        <v>0</v>
      </c>
      <c r="Y15" s="916">
        <f t="shared" ref="Y15:AJ15" si="37">Y37+Y59</f>
        <v>0</v>
      </c>
      <c r="Z15" s="916">
        <f t="shared" si="37"/>
        <v>0</v>
      </c>
      <c r="AA15" s="916">
        <f t="shared" si="37"/>
        <v>0</v>
      </c>
      <c r="AB15" s="916">
        <f t="shared" si="37"/>
        <v>0</v>
      </c>
      <c r="AC15" s="916">
        <f t="shared" si="37"/>
        <v>0</v>
      </c>
      <c r="AD15" s="916">
        <f t="shared" si="37"/>
        <v>0</v>
      </c>
      <c r="AE15" s="916">
        <f t="shared" si="37"/>
        <v>0</v>
      </c>
      <c r="AF15" s="916">
        <f t="shared" si="37"/>
        <v>0</v>
      </c>
      <c r="AG15" s="916">
        <f t="shared" si="37"/>
        <v>0</v>
      </c>
      <c r="AH15" s="916">
        <f t="shared" si="37"/>
        <v>0</v>
      </c>
      <c r="AI15" s="916">
        <f t="shared" si="37"/>
        <v>0</v>
      </c>
      <c r="AJ15" s="916">
        <f t="shared" si="37"/>
        <v>0</v>
      </c>
      <c r="AK15" s="998">
        <f t="shared" si="9"/>
        <v>0</v>
      </c>
      <c r="AM15" s="982"/>
      <c r="AO15" s="1388"/>
      <c r="AQ15" s="915">
        <f t="shared" si="12"/>
        <v>0</v>
      </c>
      <c r="AR15" s="993">
        <f t="shared" si="13"/>
        <v>0</v>
      </c>
    </row>
    <row r="16" spans="2:45" x14ac:dyDescent="0.25">
      <c r="B16" s="575">
        <v>11</v>
      </c>
      <c r="C16" s="575"/>
      <c r="D16" s="981">
        <v>6220003001</v>
      </c>
      <c r="E16" s="638" t="s">
        <v>430</v>
      </c>
      <c r="F16" s="638" t="s">
        <v>570</v>
      </c>
      <c r="G16" s="638" t="s">
        <v>430</v>
      </c>
      <c r="H16" s="981" t="s">
        <v>521</v>
      </c>
      <c r="I16" s="606" t="s">
        <v>622</v>
      </c>
      <c r="J16" s="993">
        <f ca="1">W16/'4.Doanh thu'!$R$60</f>
        <v>2.2986785171324998E-4</v>
      </c>
      <c r="K16" s="916">
        <f ca="1">K38+K60</f>
        <v>1907788.2352941176</v>
      </c>
      <c r="L16" s="916">
        <f t="shared" ref="L16:V16" ca="1" si="38">L38+L60</f>
        <v>1907788.2352941176</v>
      </c>
      <c r="M16" s="916">
        <f t="shared" ca="1" si="38"/>
        <v>1907788.2352941176</v>
      </c>
      <c r="N16" s="916">
        <f t="shared" ca="1" si="38"/>
        <v>1907788.2352941176</v>
      </c>
      <c r="O16" s="916">
        <f t="shared" ca="1" si="38"/>
        <v>1907788.2352941176</v>
      </c>
      <c r="P16" s="916">
        <f t="shared" ca="1" si="38"/>
        <v>1907788.2352941176</v>
      </c>
      <c r="Q16" s="916">
        <f t="shared" ca="1" si="38"/>
        <v>1907788.2352941176</v>
      </c>
      <c r="R16" s="916">
        <f t="shared" ca="1" si="38"/>
        <v>1907788.2352941176</v>
      </c>
      <c r="S16" s="916">
        <f t="shared" ca="1" si="38"/>
        <v>1907788.2352941176</v>
      </c>
      <c r="T16" s="916">
        <f t="shared" ca="1" si="38"/>
        <v>1907788.2352941176</v>
      </c>
      <c r="U16" s="916">
        <f t="shared" ca="1" si="38"/>
        <v>1907788.2352941176</v>
      </c>
      <c r="V16" s="916">
        <f t="shared" ca="1" si="38"/>
        <v>1907788.2352941176</v>
      </c>
      <c r="W16" s="998">
        <f t="shared" ca="1" si="7"/>
        <v>22893458.823529419</v>
      </c>
      <c r="Y16" s="916">
        <f>Y38+Y60</f>
        <v>583333</v>
      </c>
      <c r="Z16" s="916">
        <f t="shared" ref="Z16:AJ16" si="39">Z38+Z60</f>
        <v>583333</v>
      </c>
      <c r="AA16" s="916">
        <f t="shared" si="39"/>
        <v>2583333</v>
      </c>
      <c r="AB16" s="916">
        <f t="shared" si="39"/>
        <v>3539583</v>
      </c>
      <c r="AC16" s="916">
        <f t="shared" si="39"/>
        <v>3125609</v>
      </c>
      <c r="AD16" s="916">
        <f t="shared" si="39"/>
        <v>2956250</v>
      </c>
      <c r="AE16" s="916">
        <f t="shared" si="39"/>
        <v>2956250</v>
      </c>
      <c r="AF16" s="916">
        <f t="shared" si="39"/>
        <v>2956250</v>
      </c>
      <c r="AG16" s="916">
        <f t="shared" si="39"/>
        <v>2956250</v>
      </c>
      <c r="AH16" s="916">
        <f t="shared" si="39"/>
        <v>2956250</v>
      </c>
      <c r="AI16" s="916">
        <f t="shared" si="39"/>
        <v>2956250</v>
      </c>
      <c r="AJ16" s="916">
        <f t="shared" si="39"/>
        <v>2956250</v>
      </c>
      <c r="AK16" s="998">
        <f t="shared" si="9"/>
        <v>31108941</v>
      </c>
      <c r="AM16" s="916">
        <f t="shared" ref="AM16" si="40">AM38+AM60</f>
        <v>583333</v>
      </c>
      <c r="AO16" s="1385">
        <f t="shared" ref="AO16" si="41">AO38+AO60</f>
        <v>11793753</v>
      </c>
      <c r="AQ16" s="915">
        <f t="shared" ca="1" si="12"/>
        <v>-8215482.1764705814</v>
      </c>
      <c r="AR16" s="993">
        <f t="shared" ca="1" si="13"/>
        <v>-0.26408749100365014</v>
      </c>
    </row>
    <row r="17" spans="2:44" x14ac:dyDescent="0.25">
      <c r="B17" s="575">
        <v>12</v>
      </c>
      <c r="C17" s="575"/>
      <c r="D17" s="981" t="s">
        <v>1004</v>
      </c>
      <c r="E17" s="638" t="s">
        <v>441</v>
      </c>
      <c r="F17" s="638" t="s">
        <v>570</v>
      </c>
      <c r="G17" s="638" t="s">
        <v>1946</v>
      </c>
      <c r="H17" s="981" t="s">
        <v>521</v>
      </c>
      <c r="I17" s="606" t="s">
        <v>622</v>
      </c>
      <c r="J17" s="993">
        <f>W17/'4.Doanh thu'!$R$60</f>
        <v>0</v>
      </c>
      <c r="K17" s="916">
        <f>K39</f>
        <v>0</v>
      </c>
      <c r="L17" s="916">
        <f t="shared" ref="L17:V17" si="42">L39</f>
        <v>0</v>
      </c>
      <c r="M17" s="916">
        <f t="shared" si="42"/>
        <v>0</v>
      </c>
      <c r="N17" s="916">
        <f t="shared" si="42"/>
        <v>0</v>
      </c>
      <c r="O17" s="916">
        <f t="shared" si="42"/>
        <v>0</v>
      </c>
      <c r="P17" s="916">
        <f t="shared" si="42"/>
        <v>0</v>
      </c>
      <c r="Q17" s="916">
        <f t="shared" si="42"/>
        <v>0</v>
      </c>
      <c r="R17" s="916">
        <f t="shared" si="42"/>
        <v>0</v>
      </c>
      <c r="S17" s="916">
        <f t="shared" si="42"/>
        <v>0</v>
      </c>
      <c r="T17" s="916">
        <f t="shared" si="42"/>
        <v>0</v>
      </c>
      <c r="U17" s="916">
        <f t="shared" si="42"/>
        <v>0</v>
      </c>
      <c r="V17" s="916">
        <f t="shared" si="42"/>
        <v>0</v>
      </c>
      <c r="W17" s="998">
        <f t="shared" si="7"/>
        <v>0</v>
      </c>
      <c r="Y17" s="916">
        <f>Y39</f>
        <v>0</v>
      </c>
      <c r="Z17" s="916">
        <f t="shared" ref="Z17:AJ17" si="43">Z39</f>
        <v>0</v>
      </c>
      <c r="AA17" s="916">
        <f t="shared" si="43"/>
        <v>0</v>
      </c>
      <c r="AB17" s="916">
        <f t="shared" si="43"/>
        <v>0</v>
      </c>
      <c r="AC17" s="916">
        <f t="shared" si="43"/>
        <v>0</v>
      </c>
      <c r="AD17" s="916">
        <f t="shared" si="43"/>
        <v>0</v>
      </c>
      <c r="AE17" s="916">
        <f t="shared" si="43"/>
        <v>0</v>
      </c>
      <c r="AF17" s="916">
        <f t="shared" si="43"/>
        <v>0</v>
      </c>
      <c r="AG17" s="916">
        <f t="shared" si="43"/>
        <v>0</v>
      </c>
      <c r="AH17" s="916">
        <f t="shared" si="43"/>
        <v>0</v>
      </c>
      <c r="AI17" s="916">
        <f t="shared" si="43"/>
        <v>0</v>
      </c>
      <c r="AJ17" s="916">
        <f t="shared" si="43"/>
        <v>0</v>
      </c>
      <c r="AK17" s="998">
        <f t="shared" si="9"/>
        <v>0</v>
      </c>
      <c r="AM17" s="916">
        <f t="shared" ref="AM17" si="44">AM39</f>
        <v>0</v>
      </c>
      <c r="AO17" s="1385">
        <f t="shared" ref="AO17" si="45">AO39</f>
        <v>0</v>
      </c>
      <c r="AQ17" s="915">
        <f t="shared" si="12"/>
        <v>0</v>
      </c>
      <c r="AR17" s="993">
        <f t="shared" si="13"/>
        <v>0</v>
      </c>
    </row>
    <row r="18" spans="2:44" x14ac:dyDescent="0.25">
      <c r="B18" s="575">
        <v>13</v>
      </c>
      <c r="C18" s="575"/>
      <c r="D18" s="981">
        <v>6275001801</v>
      </c>
      <c r="E18" s="638" t="s">
        <v>428</v>
      </c>
      <c r="F18" s="638" t="s">
        <v>571</v>
      </c>
      <c r="G18" s="638" t="s">
        <v>428</v>
      </c>
      <c r="H18" s="981" t="s">
        <v>518</v>
      </c>
      <c r="I18" s="606" t="s">
        <v>621</v>
      </c>
      <c r="J18" s="993">
        <f>W18/'4.Doanh thu'!$R$60</f>
        <v>6.1026800358551783E-3</v>
      </c>
      <c r="K18" s="916">
        <f t="shared" ref="K18:V18" si="46">K40+K62</f>
        <v>45584273.661822051</v>
      </c>
      <c r="L18" s="916">
        <f t="shared" si="46"/>
        <v>34188205.246366538</v>
      </c>
      <c r="M18" s="916">
        <f t="shared" si="46"/>
        <v>49382963.133640558</v>
      </c>
      <c r="N18" s="916">
        <f t="shared" si="46"/>
        <v>53181652.605459057</v>
      </c>
      <c r="O18" s="916">
        <f t="shared" si="46"/>
        <v>53181652.605459057</v>
      </c>
      <c r="P18" s="916">
        <f t="shared" si="46"/>
        <v>53181652.605459057</v>
      </c>
      <c r="Q18" s="916">
        <f t="shared" si="46"/>
        <v>53181652.605459057</v>
      </c>
      <c r="R18" s="916">
        <f t="shared" si="46"/>
        <v>53181652.605459057</v>
      </c>
      <c r="S18" s="916">
        <f t="shared" si="46"/>
        <v>53181652.605459057</v>
      </c>
      <c r="T18" s="916">
        <f t="shared" si="46"/>
        <v>53181652.605459057</v>
      </c>
      <c r="U18" s="916">
        <f t="shared" si="46"/>
        <v>53181652.605459057</v>
      </c>
      <c r="V18" s="916">
        <f t="shared" si="46"/>
        <v>53181652.605459057</v>
      </c>
      <c r="W18" s="998">
        <f t="shared" si="7"/>
        <v>607790315.4909606</v>
      </c>
      <c r="Y18" s="916">
        <f t="shared" ref="Y18:AJ18" si="47">Y40+Y62</f>
        <v>21783537</v>
      </c>
      <c r="Z18" s="916">
        <f t="shared" si="47"/>
        <v>25110006</v>
      </c>
      <c r="AA18" s="916">
        <f t="shared" si="47"/>
        <v>35465899</v>
      </c>
      <c r="AB18" s="916">
        <f t="shared" si="47"/>
        <v>38843778</v>
      </c>
      <c r="AC18" s="916">
        <f t="shared" si="47"/>
        <v>36435793</v>
      </c>
      <c r="AD18" s="916">
        <f t="shared" si="47"/>
        <v>38605384</v>
      </c>
      <c r="AE18" s="916">
        <f t="shared" si="47"/>
        <v>55086679</v>
      </c>
      <c r="AF18" s="916">
        <f t="shared" si="47"/>
        <v>47559092</v>
      </c>
      <c r="AG18" s="916">
        <f t="shared" si="47"/>
        <v>41047405</v>
      </c>
      <c r="AH18" s="916">
        <f t="shared" si="47"/>
        <v>37770841</v>
      </c>
      <c r="AI18" s="916">
        <f t="shared" si="47"/>
        <v>37770841</v>
      </c>
      <c r="AJ18" s="916">
        <f t="shared" si="47"/>
        <v>37770841</v>
      </c>
      <c r="AK18" s="998">
        <f t="shared" si="9"/>
        <v>453250096</v>
      </c>
      <c r="AM18" s="916">
        <f t="shared" ref="AM18" si="48">AM40+AM62</f>
        <v>377182809</v>
      </c>
      <c r="AO18" s="1389">
        <f t="shared" ref="AO18" si="49">AO40+AO62</f>
        <v>326356700</v>
      </c>
      <c r="AQ18" s="915">
        <f t="shared" si="12"/>
        <v>154540219.4909606</v>
      </c>
      <c r="AR18" s="993">
        <f t="shared" si="13"/>
        <v>0.34096014728910418</v>
      </c>
    </row>
    <row r="19" spans="2:44" x14ac:dyDescent="0.25">
      <c r="B19" s="575">
        <v>14</v>
      </c>
      <c r="C19" s="575"/>
      <c r="D19" s="981" t="s">
        <v>892</v>
      </c>
      <c r="E19" s="638" t="s">
        <v>429</v>
      </c>
      <c r="F19" s="638" t="s">
        <v>572</v>
      </c>
      <c r="G19" s="638" t="s">
        <v>1776</v>
      </c>
      <c r="H19" s="981" t="s">
        <v>518</v>
      </c>
      <c r="I19" s="606" t="s">
        <v>621</v>
      </c>
      <c r="J19" s="993">
        <f>W19/'4.Doanh thu'!$R$60</f>
        <v>6.4535562771950916E-3</v>
      </c>
      <c r="K19" s="916">
        <f>K41+K63</f>
        <v>48205161.290322587</v>
      </c>
      <c r="L19" s="916">
        <f t="shared" ref="L19:V19" si="50">L41+L63</f>
        <v>36153870.967741936</v>
      </c>
      <c r="M19" s="916">
        <f t="shared" si="50"/>
        <v>52222258.064516135</v>
      </c>
      <c r="N19" s="916">
        <f t="shared" si="50"/>
        <v>56239354.838709682</v>
      </c>
      <c r="O19" s="916">
        <f t="shared" si="50"/>
        <v>56239354.838709682</v>
      </c>
      <c r="P19" s="916">
        <f t="shared" si="50"/>
        <v>56239354.838709682</v>
      </c>
      <c r="Q19" s="916">
        <f t="shared" si="50"/>
        <v>56239354.838709682</v>
      </c>
      <c r="R19" s="916">
        <f t="shared" si="50"/>
        <v>56239354.838709682</v>
      </c>
      <c r="S19" s="916">
        <f t="shared" si="50"/>
        <v>56239354.838709682</v>
      </c>
      <c r="T19" s="916">
        <f t="shared" si="50"/>
        <v>56239354.838709682</v>
      </c>
      <c r="U19" s="916">
        <f t="shared" si="50"/>
        <v>56239354.838709682</v>
      </c>
      <c r="V19" s="916">
        <f t="shared" si="50"/>
        <v>56239354.838709682</v>
      </c>
      <c r="W19" s="998">
        <f t="shared" si="7"/>
        <v>642735483.87096798</v>
      </c>
      <c r="Y19" s="916">
        <f>Y41+Y63</f>
        <v>39166667</v>
      </c>
      <c r="Z19" s="916">
        <f t="shared" ref="Z19:AJ19" si="51">Z41+Z63</f>
        <v>36048385</v>
      </c>
      <c r="AA19" s="916">
        <f t="shared" si="51"/>
        <v>15000000</v>
      </c>
      <c r="AB19" s="916">
        <f t="shared" si="51"/>
        <v>0</v>
      </c>
      <c r="AC19" s="916">
        <f t="shared" si="51"/>
        <v>0</v>
      </c>
      <c r="AD19" s="916">
        <f t="shared" si="51"/>
        <v>0</v>
      </c>
      <c r="AE19" s="916">
        <f t="shared" si="51"/>
        <v>0</v>
      </c>
      <c r="AF19" s="916">
        <f t="shared" si="51"/>
        <v>0</v>
      </c>
      <c r="AG19" s="916">
        <f t="shared" si="51"/>
        <v>0</v>
      </c>
      <c r="AH19" s="916">
        <f t="shared" si="51"/>
        <v>0</v>
      </c>
      <c r="AI19" s="916">
        <f t="shared" si="51"/>
        <v>0</v>
      </c>
      <c r="AJ19" s="916">
        <f t="shared" si="51"/>
        <v>0</v>
      </c>
      <c r="AK19" s="998">
        <f t="shared" si="9"/>
        <v>90215052</v>
      </c>
      <c r="AM19" s="916">
        <f t="shared" ref="AM19" si="52">AM41+AM63</f>
        <v>236720432</v>
      </c>
      <c r="AO19" s="1390">
        <f t="shared" ref="AO19" si="53">AO41+AO63</f>
        <v>106064516</v>
      </c>
      <c r="AQ19" s="915">
        <f t="shared" si="12"/>
        <v>552520431.87096798</v>
      </c>
      <c r="AR19" s="993">
        <f t="shared" si="13"/>
        <v>6.1244816648885596</v>
      </c>
    </row>
    <row r="20" spans="2:44" x14ac:dyDescent="0.25">
      <c r="B20" s="575">
        <v>15</v>
      </c>
      <c r="C20" s="575"/>
      <c r="D20" s="981" t="s">
        <v>892</v>
      </c>
      <c r="E20" s="638" t="s">
        <v>429</v>
      </c>
      <c r="F20" s="638" t="s">
        <v>572</v>
      </c>
      <c r="G20" s="638" t="s">
        <v>14</v>
      </c>
      <c r="H20" s="981" t="s">
        <v>516</v>
      </c>
      <c r="I20" s="606" t="s">
        <v>621</v>
      </c>
      <c r="J20" s="993">
        <f>W20/'4.Doanh thu'!$R$60</f>
        <v>4.752984071853465E-3</v>
      </c>
      <c r="K20" s="916">
        <f>K42+K64</f>
        <v>35502652.173913039</v>
      </c>
      <c r="L20" s="916">
        <f t="shared" ref="L20:V20" si="54">L42+L64</f>
        <v>26626989.130434781</v>
      </c>
      <c r="M20" s="916">
        <f t="shared" si="54"/>
        <v>38461206.521739133</v>
      </c>
      <c r="N20" s="916">
        <f t="shared" si="54"/>
        <v>41419760.869565219</v>
      </c>
      <c r="O20" s="916">
        <f t="shared" si="54"/>
        <v>41419760.869565219</v>
      </c>
      <c r="P20" s="916">
        <f t="shared" si="54"/>
        <v>41419760.869565219</v>
      </c>
      <c r="Q20" s="916">
        <f t="shared" si="54"/>
        <v>41419760.869565219</v>
      </c>
      <c r="R20" s="916">
        <f t="shared" si="54"/>
        <v>41419760.869565219</v>
      </c>
      <c r="S20" s="916">
        <f t="shared" si="54"/>
        <v>41419760.869565219</v>
      </c>
      <c r="T20" s="916">
        <f t="shared" si="54"/>
        <v>41419760.869565219</v>
      </c>
      <c r="U20" s="916">
        <f t="shared" si="54"/>
        <v>41419760.869565219</v>
      </c>
      <c r="V20" s="916">
        <f t="shared" si="54"/>
        <v>41419760.869565219</v>
      </c>
      <c r="W20" s="998">
        <f t="shared" si="7"/>
        <v>473368695.652174</v>
      </c>
      <c r="Y20" s="916">
        <f>Y42+Y64</f>
        <v>0</v>
      </c>
      <c r="Z20" s="916">
        <f t="shared" ref="Z20:AJ20" si="55">Z42+Z64</f>
        <v>26023148</v>
      </c>
      <c r="AA20" s="916">
        <f t="shared" si="55"/>
        <v>24138889</v>
      </c>
      <c r="AB20" s="916">
        <f t="shared" si="55"/>
        <v>29822222</v>
      </c>
      <c r="AC20" s="916">
        <f t="shared" si="55"/>
        <v>31136111</v>
      </c>
      <c r="AD20" s="916">
        <f t="shared" si="55"/>
        <v>14666667</v>
      </c>
      <c r="AE20" s="916">
        <f t="shared" si="55"/>
        <v>24532565</v>
      </c>
      <c r="AF20" s="916">
        <f t="shared" si="55"/>
        <v>35744666</v>
      </c>
      <c r="AG20" s="916">
        <f t="shared" si="55"/>
        <v>33340726</v>
      </c>
      <c r="AH20" s="916">
        <f t="shared" si="55"/>
        <v>29369347.826086957</v>
      </c>
      <c r="AI20" s="916">
        <f t="shared" si="55"/>
        <v>29369347.826086957</v>
      </c>
      <c r="AJ20" s="916">
        <f t="shared" si="55"/>
        <v>29369347.826086957</v>
      </c>
      <c r="AK20" s="998">
        <f t="shared" si="9"/>
        <v>307513037.47826087</v>
      </c>
      <c r="AM20" s="916">
        <f t="shared" ref="AM20" si="56">AM42+AM64</f>
        <v>314069170</v>
      </c>
      <c r="AO20" s="1390">
        <f t="shared" ref="AO20" si="57">AO42+AO64</f>
        <v>441079000</v>
      </c>
      <c r="AQ20" s="915">
        <f t="shared" si="12"/>
        <v>165855658.17391312</v>
      </c>
      <c r="AR20" s="993">
        <f t="shared" si="13"/>
        <v>0.53934512674324586</v>
      </c>
    </row>
    <row r="21" spans="2:44" x14ac:dyDescent="0.25">
      <c r="B21" s="575">
        <v>16</v>
      </c>
      <c r="C21" s="575"/>
      <c r="D21" s="981" t="s">
        <v>892</v>
      </c>
      <c r="E21" s="638" t="s">
        <v>429</v>
      </c>
      <c r="F21" s="638" t="s">
        <v>572</v>
      </c>
      <c r="G21" s="638" t="s">
        <v>309</v>
      </c>
      <c r="H21" s="981" t="s">
        <v>516</v>
      </c>
      <c r="I21" s="606" t="s">
        <v>621</v>
      </c>
      <c r="J21" s="993">
        <f>W21/'4.Doanh thu'!$R$60</f>
        <v>0</v>
      </c>
      <c r="K21" s="916">
        <f t="shared" ref="K21:V21" si="58">K43+K65</f>
        <v>0</v>
      </c>
      <c r="L21" s="916">
        <f t="shared" si="58"/>
        <v>0</v>
      </c>
      <c r="M21" s="916">
        <f t="shared" si="58"/>
        <v>0</v>
      </c>
      <c r="N21" s="916">
        <f t="shared" si="58"/>
        <v>0</v>
      </c>
      <c r="O21" s="916">
        <f t="shared" si="58"/>
        <v>0</v>
      </c>
      <c r="P21" s="916">
        <f t="shared" si="58"/>
        <v>0</v>
      </c>
      <c r="Q21" s="916">
        <f t="shared" si="58"/>
        <v>0</v>
      </c>
      <c r="R21" s="916">
        <f t="shared" si="58"/>
        <v>0</v>
      </c>
      <c r="S21" s="916">
        <f t="shared" si="58"/>
        <v>0</v>
      </c>
      <c r="T21" s="916">
        <f t="shared" si="58"/>
        <v>0</v>
      </c>
      <c r="U21" s="916">
        <f t="shared" si="58"/>
        <v>0</v>
      </c>
      <c r="V21" s="916">
        <f t="shared" si="58"/>
        <v>0</v>
      </c>
      <c r="W21" s="998">
        <f t="shared" si="7"/>
        <v>0</v>
      </c>
      <c r="Y21" s="916">
        <f t="shared" ref="Y21:AJ21" si="59">Y43+Y65</f>
        <v>0</v>
      </c>
      <c r="Z21" s="916">
        <f t="shared" si="59"/>
        <v>0</v>
      </c>
      <c r="AA21" s="916">
        <f t="shared" si="59"/>
        <v>0</v>
      </c>
      <c r="AB21" s="916">
        <f t="shared" si="59"/>
        <v>0</v>
      </c>
      <c r="AC21" s="916">
        <f t="shared" si="59"/>
        <v>0</v>
      </c>
      <c r="AD21" s="916">
        <f t="shared" si="59"/>
        <v>0</v>
      </c>
      <c r="AE21" s="916">
        <f t="shared" si="59"/>
        <v>0</v>
      </c>
      <c r="AF21" s="916">
        <f t="shared" si="59"/>
        <v>0</v>
      </c>
      <c r="AG21" s="916">
        <f t="shared" si="59"/>
        <v>0</v>
      </c>
      <c r="AH21" s="916">
        <f t="shared" si="59"/>
        <v>0</v>
      </c>
      <c r="AI21" s="916">
        <f t="shared" si="59"/>
        <v>0</v>
      </c>
      <c r="AJ21" s="916">
        <f t="shared" si="59"/>
        <v>0</v>
      </c>
      <c r="AK21" s="998">
        <f t="shared" si="9"/>
        <v>0</v>
      </c>
      <c r="AM21" s="916">
        <f t="shared" ref="AM21" si="60">AM43+AM65</f>
        <v>0</v>
      </c>
      <c r="AO21" s="1390">
        <f t="shared" ref="AO21" si="61">AO43+AO65</f>
        <v>0</v>
      </c>
      <c r="AQ21" s="915">
        <f t="shared" si="12"/>
        <v>0</v>
      </c>
      <c r="AR21" s="993">
        <f t="shared" si="13"/>
        <v>0</v>
      </c>
    </row>
    <row r="22" spans="2:44" x14ac:dyDescent="0.25">
      <c r="B22" s="575">
        <v>17</v>
      </c>
      <c r="C22" s="575"/>
      <c r="D22" s="981" t="s">
        <v>892</v>
      </c>
      <c r="E22" s="638" t="s">
        <v>429</v>
      </c>
      <c r="F22" s="638" t="s">
        <v>572</v>
      </c>
      <c r="G22" s="638" t="s">
        <v>254</v>
      </c>
      <c r="H22" s="981" t="s">
        <v>516</v>
      </c>
      <c r="I22" s="606" t="s">
        <v>621</v>
      </c>
      <c r="J22" s="993">
        <f>W22/'4.Doanh thu'!$R$60</f>
        <v>0</v>
      </c>
      <c r="K22" s="916">
        <f t="shared" ref="K22:V22" si="62">K44+K66</f>
        <v>0</v>
      </c>
      <c r="L22" s="916">
        <f t="shared" si="62"/>
        <v>0</v>
      </c>
      <c r="M22" s="916">
        <f t="shared" si="62"/>
        <v>0</v>
      </c>
      <c r="N22" s="916">
        <f t="shared" si="62"/>
        <v>0</v>
      </c>
      <c r="O22" s="916">
        <f t="shared" si="62"/>
        <v>0</v>
      </c>
      <c r="P22" s="916">
        <f t="shared" si="62"/>
        <v>0</v>
      </c>
      <c r="Q22" s="916">
        <f t="shared" si="62"/>
        <v>0</v>
      </c>
      <c r="R22" s="916">
        <f t="shared" si="62"/>
        <v>0</v>
      </c>
      <c r="S22" s="916">
        <f t="shared" si="62"/>
        <v>0</v>
      </c>
      <c r="T22" s="916">
        <f t="shared" si="62"/>
        <v>0</v>
      </c>
      <c r="U22" s="916">
        <f t="shared" si="62"/>
        <v>0</v>
      </c>
      <c r="V22" s="916">
        <f t="shared" si="62"/>
        <v>0</v>
      </c>
      <c r="W22" s="998">
        <f t="shared" si="7"/>
        <v>0</v>
      </c>
      <c r="Y22" s="916">
        <f t="shared" ref="Y22:AJ22" si="63">Y44+Y66</f>
        <v>0</v>
      </c>
      <c r="Z22" s="916">
        <f t="shared" si="63"/>
        <v>0</v>
      </c>
      <c r="AA22" s="916">
        <f t="shared" si="63"/>
        <v>0</v>
      </c>
      <c r="AB22" s="916">
        <f t="shared" si="63"/>
        <v>0</v>
      </c>
      <c r="AC22" s="916">
        <f t="shared" si="63"/>
        <v>0</v>
      </c>
      <c r="AD22" s="916">
        <f t="shared" si="63"/>
        <v>0</v>
      </c>
      <c r="AE22" s="916">
        <f t="shared" si="63"/>
        <v>0</v>
      </c>
      <c r="AF22" s="916">
        <f t="shared" si="63"/>
        <v>0</v>
      </c>
      <c r="AG22" s="916">
        <f t="shared" si="63"/>
        <v>0</v>
      </c>
      <c r="AH22" s="916">
        <f t="shared" si="63"/>
        <v>0</v>
      </c>
      <c r="AI22" s="916">
        <f t="shared" si="63"/>
        <v>0</v>
      </c>
      <c r="AJ22" s="916">
        <f t="shared" si="63"/>
        <v>0</v>
      </c>
      <c r="AK22" s="998">
        <f t="shared" si="9"/>
        <v>0</v>
      </c>
      <c r="AM22" s="916">
        <f t="shared" ref="AM22" si="64">AM44+AM66</f>
        <v>0</v>
      </c>
      <c r="AO22" s="1390">
        <f t="shared" ref="AO22" si="65">AO44+AO66</f>
        <v>0</v>
      </c>
      <c r="AQ22" s="915">
        <f t="shared" si="12"/>
        <v>0</v>
      </c>
      <c r="AR22" s="993">
        <f t="shared" si="13"/>
        <v>0</v>
      </c>
    </row>
    <row r="23" spans="2:44" x14ac:dyDescent="0.25">
      <c r="B23" s="575">
        <v>18</v>
      </c>
      <c r="C23" s="575"/>
      <c r="D23" s="981" t="s">
        <v>892</v>
      </c>
      <c r="E23" s="638" t="s">
        <v>429</v>
      </c>
      <c r="F23" s="638" t="s">
        <v>572</v>
      </c>
      <c r="G23" s="638" t="s">
        <v>389</v>
      </c>
      <c r="H23" s="981" t="s">
        <v>516</v>
      </c>
      <c r="I23" s="606" t="s">
        <v>621</v>
      </c>
      <c r="J23" s="993">
        <f>W23/'4.Doanh thu'!$R$60</f>
        <v>2.7658098330836101E-3</v>
      </c>
      <c r="K23" s="916">
        <f t="shared" ref="K23:V23" si="66">K45+K67</f>
        <v>20659354.838709679</v>
      </c>
      <c r="L23" s="916">
        <f t="shared" si="66"/>
        <v>15494516.129032258</v>
      </c>
      <c r="M23" s="916">
        <f t="shared" si="66"/>
        <v>22380967.741935484</v>
      </c>
      <c r="N23" s="916">
        <f t="shared" si="66"/>
        <v>24102580.64516129</v>
      </c>
      <c r="O23" s="916">
        <f t="shared" si="66"/>
        <v>24102580.64516129</v>
      </c>
      <c r="P23" s="916">
        <f t="shared" si="66"/>
        <v>24102580.64516129</v>
      </c>
      <c r="Q23" s="916">
        <f t="shared" si="66"/>
        <v>24102580.64516129</v>
      </c>
      <c r="R23" s="916">
        <f t="shared" si="66"/>
        <v>24102580.64516129</v>
      </c>
      <c r="S23" s="916">
        <f t="shared" si="66"/>
        <v>24102580.64516129</v>
      </c>
      <c r="T23" s="916">
        <f t="shared" si="66"/>
        <v>24102580.64516129</v>
      </c>
      <c r="U23" s="916">
        <f t="shared" si="66"/>
        <v>24102580.64516129</v>
      </c>
      <c r="V23" s="916">
        <f t="shared" si="66"/>
        <v>24102580.64516129</v>
      </c>
      <c r="W23" s="998">
        <f t="shared" si="7"/>
        <v>275458064.51612908</v>
      </c>
      <c r="Y23" s="916">
        <f t="shared" ref="Y23:AJ24" si="67">Y45+Y67</f>
        <v>0</v>
      </c>
      <c r="Z23" s="916">
        <f t="shared" si="67"/>
        <v>0</v>
      </c>
      <c r="AA23" s="916">
        <f t="shared" si="67"/>
        <v>0</v>
      </c>
      <c r="AB23" s="916">
        <f t="shared" si="67"/>
        <v>0</v>
      </c>
      <c r="AC23" s="916">
        <f t="shared" si="67"/>
        <v>0</v>
      </c>
      <c r="AD23" s="916">
        <f t="shared" si="67"/>
        <v>0</v>
      </c>
      <c r="AE23" s="916">
        <f t="shared" si="67"/>
        <v>0</v>
      </c>
      <c r="AF23" s="916">
        <f t="shared" si="67"/>
        <v>0</v>
      </c>
      <c r="AG23" s="916">
        <f t="shared" si="67"/>
        <v>0</v>
      </c>
      <c r="AH23" s="916">
        <f t="shared" si="67"/>
        <v>0</v>
      </c>
      <c r="AI23" s="916">
        <f t="shared" si="67"/>
        <v>0</v>
      </c>
      <c r="AJ23" s="916">
        <f t="shared" si="67"/>
        <v>0</v>
      </c>
      <c r="AK23" s="998">
        <f t="shared" si="9"/>
        <v>0</v>
      </c>
      <c r="AM23" s="916">
        <f t="shared" ref="AM23" si="68">AM45+AM67</f>
        <v>0</v>
      </c>
      <c r="AO23" s="1390">
        <f t="shared" ref="AO23" si="69">AO45+AO67</f>
        <v>0</v>
      </c>
      <c r="AQ23" s="915">
        <f t="shared" si="12"/>
        <v>275458064.51612908</v>
      </c>
      <c r="AR23" s="993">
        <f t="shared" si="13"/>
        <v>0</v>
      </c>
    </row>
    <row r="24" spans="2:44" x14ac:dyDescent="0.25">
      <c r="B24" s="575">
        <v>19</v>
      </c>
      <c r="C24" s="575"/>
      <c r="D24" s="981" t="s">
        <v>901</v>
      </c>
      <c r="E24" s="638" t="s">
        <v>902</v>
      </c>
      <c r="F24" s="638" t="s">
        <v>572</v>
      </c>
      <c r="G24" s="638" t="s">
        <v>1948</v>
      </c>
      <c r="H24" s="981" t="s">
        <v>516</v>
      </c>
      <c r="I24" s="606" t="s">
        <v>623</v>
      </c>
      <c r="J24" s="993">
        <f>W24/'4.Doanh thu'!$R$60</f>
        <v>0</v>
      </c>
      <c r="K24" s="916">
        <f>K46+K68</f>
        <v>0</v>
      </c>
      <c r="L24" s="916">
        <f t="shared" ref="L24:V24" si="70">L46+L68</f>
        <v>0</v>
      </c>
      <c r="M24" s="916">
        <f t="shared" si="70"/>
        <v>0</v>
      </c>
      <c r="N24" s="916">
        <f t="shared" si="70"/>
        <v>0</v>
      </c>
      <c r="O24" s="916">
        <f t="shared" si="70"/>
        <v>0</v>
      </c>
      <c r="P24" s="916">
        <f t="shared" si="70"/>
        <v>0</v>
      </c>
      <c r="Q24" s="916">
        <f t="shared" si="70"/>
        <v>0</v>
      </c>
      <c r="R24" s="916">
        <f t="shared" si="70"/>
        <v>0</v>
      </c>
      <c r="S24" s="916">
        <f t="shared" si="70"/>
        <v>0</v>
      </c>
      <c r="T24" s="916">
        <f t="shared" si="70"/>
        <v>0</v>
      </c>
      <c r="U24" s="916">
        <f t="shared" si="70"/>
        <v>0</v>
      </c>
      <c r="V24" s="916">
        <f t="shared" si="70"/>
        <v>0</v>
      </c>
      <c r="W24" s="998">
        <f t="shared" si="7"/>
        <v>0</v>
      </c>
      <c r="Y24" s="916">
        <f t="shared" si="67"/>
        <v>0</v>
      </c>
      <c r="Z24" s="916">
        <f t="shared" si="67"/>
        <v>0</v>
      </c>
      <c r="AA24" s="916">
        <f t="shared" si="67"/>
        <v>0</v>
      </c>
      <c r="AB24" s="916">
        <f t="shared" si="67"/>
        <v>0</v>
      </c>
      <c r="AC24" s="916">
        <f t="shared" si="67"/>
        <v>0</v>
      </c>
      <c r="AD24" s="916">
        <f t="shared" si="67"/>
        <v>0</v>
      </c>
      <c r="AE24" s="916">
        <f t="shared" si="67"/>
        <v>0</v>
      </c>
      <c r="AF24" s="916">
        <f t="shared" si="67"/>
        <v>0</v>
      </c>
      <c r="AG24" s="916">
        <f t="shared" si="67"/>
        <v>0</v>
      </c>
      <c r="AH24" s="916">
        <f t="shared" si="67"/>
        <v>0</v>
      </c>
      <c r="AI24" s="916">
        <f t="shared" si="67"/>
        <v>0</v>
      </c>
      <c r="AJ24" s="916">
        <f t="shared" si="67"/>
        <v>0</v>
      </c>
      <c r="AK24" s="998">
        <f t="shared" si="9"/>
        <v>0</v>
      </c>
      <c r="AM24" s="982"/>
      <c r="AO24" s="1391"/>
      <c r="AQ24" s="915">
        <f t="shared" si="12"/>
        <v>0</v>
      </c>
      <c r="AR24" s="993">
        <f t="shared" si="13"/>
        <v>0</v>
      </c>
    </row>
    <row r="25" spans="2:44" x14ac:dyDescent="0.25">
      <c r="B25" s="575">
        <v>20</v>
      </c>
      <c r="C25" s="575"/>
      <c r="D25" s="981" t="s">
        <v>1084</v>
      </c>
      <c r="E25" s="638" t="s">
        <v>450</v>
      </c>
      <c r="F25" s="638" t="s">
        <v>573</v>
      </c>
      <c r="G25" s="638" t="s">
        <v>87</v>
      </c>
      <c r="H25" s="981" t="s">
        <v>517</v>
      </c>
      <c r="I25" s="606" t="s">
        <v>621</v>
      </c>
      <c r="J25" s="993">
        <f>W25/'4.Doanh thu'!$R$60</f>
        <v>3.3189717997003311E-3</v>
      </c>
      <c r="K25" s="916">
        <f t="shared" ref="K25:V25" si="71">K47+K69</f>
        <v>24791225.806451615</v>
      </c>
      <c r="L25" s="916">
        <f t="shared" si="71"/>
        <v>18593419.35483871</v>
      </c>
      <c r="M25" s="916">
        <f t="shared" si="71"/>
        <v>26857161.290322583</v>
      </c>
      <c r="N25" s="916">
        <f t="shared" si="71"/>
        <v>28923096.774193548</v>
      </c>
      <c r="O25" s="916">
        <f t="shared" si="71"/>
        <v>28923096.774193548</v>
      </c>
      <c r="P25" s="916">
        <f t="shared" si="71"/>
        <v>28923096.774193548</v>
      </c>
      <c r="Q25" s="916">
        <f t="shared" si="71"/>
        <v>28923096.774193548</v>
      </c>
      <c r="R25" s="916">
        <f t="shared" si="71"/>
        <v>28923096.774193548</v>
      </c>
      <c r="S25" s="916">
        <f t="shared" si="71"/>
        <v>28923096.774193548</v>
      </c>
      <c r="T25" s="916">
        <f t="shared" si="71"/>
        <v>28923096.774193548</v>
      </c>
      <c r="U25" s="916">
        <f t="shared" si="71"/>
        <v>28923096.774193548</v>
      </c>
      <c r="V25" s="916">
        <f t="shared" si="71"/>
        <v>28923096.774193548</v>
      </c>
      <c r="W25" s="998">
        <f t="shared" si="7"/>
        <v>330549677.4193548</v>
      </c>
      <c r="Y25" s="916">
        <f t="shared" ref="Y25:AJ25" si="72">Y47+Y69</f>
        <v>4545455</v>
      </c>
      <c r="Z25" s="916">
        <f t="shared" si="72"/>
        <v>7272728</v>
      </c>
      <c r="AA25" s="916">
        <f t="shared" si="72"/>
        <v>12727274</v>
      </c>
      <c r="AB25" s="916">
        <f t="shared" si="72"/>
        <v>8181819</v>
      </c>
      <c r="AC25" s="916">
        <f t="shared" si="72"/>
        <v>9090910</v>
      </c>
      <c r="AD25" s="916">
        <f t="shared" si="72"/>
        <v>10909099</v>
      </c>
      <c r="AE25" s="916">
        <f t="shared" si="72"/>
        <v>17592594</v>
      </c>
      <c r="AF25" s="916">
        <f t="shared" si="72"/>
        <v>20370372</v>
      </c>
      <c r="AG25" s="916">
        <f t="shared" si="72"/>
        <v>16947376</v>
      </c>
      <c r="AH25" s="916">
        <f t="shared" si="72"/>
        <v>19682972.13622291</v>
      </c>
      <c r="AI25" s="916">
        <f t="shared" si="72"/>
        <v>19682972.13622291</v>
      </c>
      <c r="AJ25" s="916">
        <f t="shared" si="72"/>
        <v>19682972.13622291</v>
      </c>
      <c r="AK25" s="998">
        <f t="shared" si="9"/>
        <v>166686543.40866873</v>
      </c>
      <c r="AM25" s="916">
        <f t="shared" ref="AM25" si="73">AM47+AM69</f>
        <v>69627505</v>
      </c>
      <c r="AO25" s="1390">
        <f t="shared" ref="AO25" si="74">AO47+AO69</f>
        <v>83674069</v>
      </c>
      <c r="AQ25" s="915">
        <f t="shared" si="12"/>
        <v>163863134.01068607</v>
      </c>
      <c r="AR25" s="993">
        <f t="shared" si="13"/>
        <v>0.98306156369767383</v>
      </c>
    </row>
    <row r="26" spans="2:44" x14ac:dyDescent="0.25">
      <c r="B26" s="580"/>
      <c r="C26" s="580"/>
      <c r="D26" s="581"/>
      <c r="E26" s="582"/>
      <c r="F26" s="582"/>
      <c r="G26" s="582"/>
      <c r="H26" s="581"/>
      <c r="I26" s="607"/>
      <c r="J26" s="583"/>
      <c r="K26" s="583"/>
      <c r="L26" s="583"/>
      <c r="M26" s="583"/>
      <c r="N26" s="583"/>
      <c r="O26" s="583"/>
      <c r="P26" s="583"/>
      <c r="Q26" s="583"/>
      <c r="R26" s="583"/>
      <c r="S26" s="583"/>
      <c r="T26" s="583"/>
      <c r="U26" s="583"/>
      <c r="V26" s="583"/>
      <c r="W26" s="595"/>
      <c r="Y26" s="583"/>
      <c r="Z26" s="583"/>
      <c r="AA26" s="583"/>
      <c r="AB26" s="583"/>
      <c r="AC26" s="583"/>
      <c r="AD26" s="583"/>
      <c r="AE26" s="583"/>
      <c r="AF26" s="583"/>
      <c r="AG26" s="583"/>
      <c r="AH26" s="583"/>
      <c r="AI26" s="583"/>
      <c r="AJ26" s="583"/>
      <c r="AK26" s="595"/>
      <c r="AM26" s="583"/>
      <c r="AO26" s="583"/>
      <c r="AQ26" s="574">
        <f t="shared" si="12"/>
        <v>0</v>
      </c>
      <c r="AR26" s="946">
        <f t="shared" si="13"/>
        <v>0</v>
      </c>
    </row>
    <row r="27" spans="2:44" s="37" customFormat="1" ht="23.5" customHeight="1" x14ac:dyDescent="0.35">
      <c r="B27" s="394" t="s">
        <v>209</v>
      </c>
      <c r="C27" s="472"/>
      <c r="D27" s="476"/>
      <c r="E27" s="477" t="s">
        <v>618</v>
      </c>
      <c r="F27" s="478"/>
      <c r="G27" s="477"/>
      <c r="H27" s="477"/>
      <c r="I27" s="608"/>
      <c r="J27" s="569">
        <f ca="1">SUM(J28:J48)</f>
        <v>7.4357434672501527E-2</v>
      </c>
      <c r="K27" s="395">
        <f ca="1">SUM(K28:K48)</f>
        <v>584621246.00651312</v>
      </c>
      <c r="L27" s="395">
        <f t="shared" ref="L27:W27" ca="1" si="75">SUM(L28:L48)</f>
        <v>548760403.06370831</v>
      </c>
      <c r="M27" s="395">
        <f t="shared" ca="1" si="75"/>
        <v>588721741.98744798</v>
      </c>
      <c r="N27" s="395">
        <f t="shared" ca="1" si="75"/>
        <v>629513749.96838284</v>
      </c>
      <c r="O27" s="395">
        <f t="shared" ca="1" si="75"/>
        <v>604651273.96838284</v>
      </c>
      <c r="P27" s="395">
        <f t="shared" ca="1" si="75"/>
        <v>623300367.96838284</v>
      </c>
      <c r="Q27" s="395">
        <f t="shared" ca="1" si="75"/>
        <v>654828818.96838284</v>
      </c>
      <c r="R27" s="395">
        <f t="shared" ca="1" si="75"/>
        <v>666795291.96838284</v>
      </c>
      <c r="S27" s="395">
        <f t="shared" ca="1" si="75"/>
        <v>659769950.96838284</v>
      </c>
      <c r="T27" s="395">
        <f t="shared" ca="1" si="75"/>
        <v>608345000.96838284</v>
      </c>
      <c r="U27" s="395">
        <f t="shared" ca="1" si="75"/>
        <v>623300367.96838284</v>
      </c>
      <c r="V27" s="395">
        <f t="shared" ca="1" si="75"/>
        <v>612946134.96838284</v>
      </c>
      <c r="W27" s="395">
        <f t="shared" ca="1" si="75"/>
        <v>7405554348.7731152</v>
      </c>
      <c r="Y27" s="395">
        <f>SUM(Y28:Y48)</f>
        <v>458006251</v>
      </c>
      <c r="Z27" s="395">
        <f t="shared" ref="Z27:AJ27" si="76">SUM(Z28:Z48)</f>
        <v>514698769</v>
      </c>
      <c r="AA27" s="395">
        <f t="shared" si="76"/>
        <v>565464977</v>
      </c>
      <c r="AB27" s="395">
        <f t="shared" si="76"/>
        <v>545848251</v>
      </c>
      <c r="AC27" s="395">
        <f t="shared" si="76"/>
        <v>471157389</v>
      </c>
      <c r="AD27" s="395">
        <f t="shared" si="76"/>
        <v>510904926</v>
      </c>
      <c r="AE27" s="395">
        <f t="shared" si="76"/>
        <v>596494016</v>
      </c>
      <c r="AF27" s="395">
        <f t="shared" si="76"/>
        <v>504198697</v>
      </c>
      <c r="AG27" s="395">
        <f t="shared" si="76"/>
        <v>489060853</v>
      </c>
      <c r="AH27" s="395">
        <f t="shared" si="76"/>
        <v>587014475.49564302</v>
      </c>
      <c r="AI27" s="395">
        <f t="shared" si="76"/>
        <v>587014475.49564302</v>
      </c>
      <c r="AJ27" s="395">
        <f t="shared" si="76"/>
        <v>587014475.49564302</v>
      </c>
      <c r="AK27" s="395">
        <f t="shared" ref="AK27" si="77">SUM(AK28:AK48)</f>
        <v>6416877555.4869289</v>
      </c>
      <c r="AM27" s="395">
        <f>SUM(AM28:AM48)</f>
        <v>5628274897</v>
      </c>
      <c r="AO27" s="395">
        <f>SUM(AO28:AO48)</f>
        <v>6761252368.499999</v>
      </c>
      <c r="AQ27" s="395">
        <f t="shared" ca="1" si="12"/>
        <v>988676793.28618622</v>
      </c>
      <c r="AR27" s="985">
        <f t="shared" ca="1" si="13"/>
        <v>0.15407443647429275</v>
      </c>
    </row>
    <row r="28" spans="2:44" outlineLevel="1" x14ac:dyDescent="0.25">
      <c r="B28" s="570">
        <v>1</v>
      </c>
      <c r="C28" s="570"/>
      <c r="D28" s="997">
        <v>6220002601</v>
      </c>
      <c r="E28" s="584" t="s">
        <v>454</v>
      </c>
      <c r="F28" s="584" t="s">
        <v>569</v>
      </c>
      <c r="G28" s="584" t="s">
        <v>454</v>
      </c>
      <c r="H28" s="997" t="s">
        <v>521</v>
      </c>
      <c r="I28" s="605" t="s">
        <v>612</v>
      </c>
      <c r="J28" s="993">
        <f>W28/'4.Doanh thu'!$R$60</f>
        <v>3.8593942657188185E-2</v>
      </c>
      <c r="K28" s="915">
        <f>LUONG!F176</f>
        <v>319281001</v>
      </c>
      <c r="L28" s="915">
        <f>LUONG!G176</f>
        <v>315134117</v>
      </c>
      <c r="M28" s="915">
        <f>LUONG!H176</f>
        <v>304474766</v>
      </c>
      <c r="N28" s="915">
        <f>LUONG!I176</f>
        <v>331634117</v>
      </c>
      <c r="O28" s="915">
        <f>LUONG!J176</f>
        <v>303627885</v>
      </c>
      <c r="P28" s="915">
        <f>LUONG!K176</f>
        <v>331634117</v>
      </c>
      <c r="Q28" s="915">
        <f>LUONG!L176</f>
        <v>322581001</v>
      </c>
      <c r="R28" s="915">
        <f>LUONG!M176</f>
        <v>322581001</v>
      </c>
      <c r="S28" s="915">
        <f>LUONG!N176</f>
        <v>325034117</v>
      </c>
      <c r="T28" s="915">
        <f>LUONG!O176</f>
        <v>313527885</v>
      </c>
      <c r="U28" s="915">
        <f>LUONG!P176</f>
        <v>331634117</v>
      </c>
      <c r="V28" s="915">
        <f>LUONG!Q176</f>
        <v>322581001</v>
      </c>
      <c r="W28" s="998">
        <f>SUM(K28:V28)</f>
        <v>3843725125</v>
      </c>
      <c r="Y28" s="915">
        <v>313398044</v>
      </c>
      <c r="Z28" s="915">
        <v>334053041</v>
      </c>
      <c r="AA28" s="915">
        <v>389512950</v>
      </c>
      <c r="AB28" s="915">
        <v>386175704</v>
      </c>
      <c r="AC28" s="915">
        <v>315774843</v>
      </c>
      <c r="AD28" s="915">
        <v>366425376</v>
      </c>
      <c r="AE28" s="915">
        <v>375641348</v>
      </c>
      <c r="AF28" s="915">
        <v>365311869</v>
      </c>
      <c r="AG28" s="915">
        <v>326101430</v>
      </c>
      <c r="AH28" s="915">
        <f>311336929.333333+85020000</f>
        <v>396356929.33333302</v>
      </c>
      <c r="AI28" s="915">
        <f t="shared" ref="AI28:AJ28" si="78">311336929.333333+85020000</f>
        <v>396356929.33333302</v>
      </c>
      <c r="AJ28" s="915">
        <f t="shared" si="78"/>
        <v>396356929.33333302</v>
      </c>
      <c r="AK28" s="982">
        <f t="shared" ref="AK28:AK70" si="79">SUM(Y28:AJ28)</f>
        <v>4361465392.999999</v>
      </c>
      <c r="AM28" s="915">
        <v>3659401713</v>
      </c>
      <c r="AO28" s="915">
        <f>5011022572*0.95-196000000</f>
        <v>4564471443.3999996</v>
      </c>
      <c r="AQ28" s="915">
        <f t="shared" si="12"/>
        <v>-517740267.99999905</v>
      </c>
      <c r="AR28" s="993">
        <f t="shared" si="13"/>
        <v>-0.11870787025639462</v>
      </c>
    </row>
    <row r="29" spans="2:44" outlineLevel="1" x14ac:dyDescent="0.25">
      <c r="B29" s="575">
        <v>2</v>
      </c>
      <c r="C29" s="575"/>
      <c r="D29" s="981">
        <v>6220002602</v>
      </c>
      <c r="E29" s="638" t="s">
        <v>455</v>
      </c>
      <c r="F29" s="638" t="s">
        <v>569</v>
      </c>
      <c r="G29" s="638" t="s">
        <v>455</v>
      </c>
      <c r="H29" s="981" t="s">
        <v>521</v>
      </c>
      <c r="I29" s="606" t="s">
        <v>612</v>
      </c>
      <c r="J29" s="993">
        <f>W29/'4.Doanh thu'!$R$60</f>
        <v>1.7156411832038075E-3</v>
      </c>
      <c r="K29" s="916">
        <f>LUONG!F177</f>
        <v>14238964</v>
      </c>
      <c r="L29" s="916">
        <f>LUONG!G177</f>
        <v>14238964</v>
      </c>
      <c r="M29" s="916">
        <f>LUONG!H177</f>
        <v>14238964</v>
      </c>
      <c r="N29" s="916">
        <f>LUONG!I177</f>
        <v>14238964</v>
      </c>
      <c r="O29" s="916">
        <f>LUONG!J177</f>
        <v>14238964</v>
      </c>
      <c r="P29" s="916">
        <f>LUONG!K177</f>
        <v>14238964</v>
      </c>
      <c r="Q29" s="916">
        <f>LUONG!L177</f>
        <v>14238964</v>
      </c>
      <c r="R29" s="916">
        <f>LUONG!M177</f>
        <v>14238964</v>
      </c>
      <c r="S29" s="916">
        <f>LUONG!N177</f>
        <v>14238964</v>
      </c>
      <c r="T29" s="916">
        <f>LUONG!O177</f>
        <v>14238964</v>
      </c>
      <c r="U29" s="916">
        <f>LUONG!P177</f>
        <v>14238964</v>
      </c>
      <c r="V29" s="916">
        <f>LUONG!Q177</f>
        <v>14238964</v>
      </c>
      <c r="W29" s="982">
        <f>SUM(K29:V29)</f>
        <v>170867568</v>
      </c>
      <c r="Y29" s="916">
        <v>15575000</v>
      </c>
      <c r="Z29" s="916">
        <v>15158333</v>
      </c>
      <c r="AA29" s="916">
        <v>14741667</v>
      </c>
      <c r="AB29" s="916">
        <v>13075000</v>
      </c>
      <c r="AC29" s="916">
        <v>12175000</v>
      </c>
      <c r="AD29" s="916">
        <v>12591667</v>
      </c>
      <c r="AE29" s="916">
        <v>12525000</v>
      </c>
      <c r="AF29" s="916">
        <v>11691667</v>
      </c>
      <c r="AG29" s="916">
        <v>11691667</v>
      </c>
      <c r="AH29" s="916">
        <v>11691666.333333343</v>
      </c>
      <c r="AI29" s="916">
        <v>11691666.333333343</v>
      </c>
      <c r="AJ29" s="916">
        <v>11691666.333333343</v>
      </c>
      <c r="AK29" s="982">
        <f t="shared" si="79"/>
        <v>154300000.00000003</v>
      </c>
      <c r="AM29" s="916">
        <v>179574999</v>
      </c>
      <c r="AO29" s="916">
        <f>283133331*0.95</f>
        <v>268976664.44999999</v>
      </c>
      <c r="AQ29" s="916">
        <f t="shared" si="12"/>
        <v>16567567.99999997</v>
      </c>
      <c r="AR29" s="994">
        <f t="shared" si="13"/>
        <v>0.10737244329228757</v>
      </c>
    </row>
    <row r="30" spans="2:44" outlineLevel="1" x14ac:dyDescent="0.25">
      <c r="B30" s="575">
        <v>3</v>
      </c>
      <c r="C30" s="575"/>
      <c r="D30" s="981">
        <v>6220002802</v>
      </c>
      <c r="E30" s="638" t="s">
        <v>458</v>
      </c>
      <c r="F30" s="638" t="s">
        <v>570</v>
      </c>
      <c r="G30" s="638" t="s">
        <v>458</v>
      </c>
      <c r="H30" s="981" t="s">
        <v>521</v>
      </c>
      <c r="I30" s="606" t="s">
        <v>612</v>
      </c>
      <c r="J30" s="993">
        <f>W30/'4.Doanh thu'!$R$60</f>
        <v>2.1688053497198628E-4</v>
      </c>
      <c r="K30" s="916">
        <f>LUONG!F178</f>
        <v>5400000</v>
      </c>
      <c r="L30" s="916">
        <f>LUONG!G178</f>
        <v>0</v>
      </c>
      <c r="M30" s="916">
        <f>LUONG!H178</f>
        <v>0</v>
      </c>
      <c r="N30" s="916">
        <f>LUONG!I178</f>
        <v>0</v>
      </c>
      <c r="O30" s="916">
        <f>LUONG!J178</f>
        <v>10800000</v>
      </c>
      <c r="P30" s="916">
        <f>LUONG!K178</f>
        <v>0</v>
      </c>
      <c r="Q30" s="916">
        <f>LUONG!L178</f>
        <v>0</v>
      </c>
      <c r="R30" s="916">
        <f>LUONG!M178</f>
        <v>0</v>
      </c>
      <c r="S30" s="916">
        <f>LUONG!N178</f>
        <v>5400000</v>
      </c>
      <c r="T30" s="916">
        <f>LUONG!O178</f>
        <v>0</v>
      </c>
      <c r="U30" s="916">
        <f>LUONG!P178</f>
        <v>0</v>
      </c>
      <c r="V30" s="916">
        <f>LUONG!Q178</f>
        <v>0</v>
      </c>
      <c r="W30" s="982">
        <f t="shared" ref="W30:W47" si="80">SUM(K30:V30)</f>
        <v>21600000</v>
      </c>
      <c r="Y30" s="916">
        <v>2647625</v>
      </c>
      <c r="Z30" s="916">
        <v>2576795</v>
      </c>
      <c r="AA30" s="916">
        <v>2505965</v>
      </c>
      <c r="AB30" s="916">
        <v>2585145</v>
      </c>
      <c r="AC30" s="916">
        <v>2069653</v>
      </c>
      <c r="AD30" s="916">
        <v>2140483</v>
      </c>
      <c r="AE30" s="916">
        <v>2129150</v>
      </c>
      <c r="AF30" s="916">
        <v>1987490</v>
      </c>
      <c r="AG30" s="916">
        <v>1987490</v>
      </c>
      <c r="AH30" s="916">
        <v>21662489.866666678</v>
      </c>
      <c r="AI30" s="916">
        <v>21662489.866666678</v>
      </c>
      <c r="AJ30" s="916">
        <v>21662489.866666678</v>
      </c>
      <c r="AK30" s="982">
        <f t="shared" si="79"/>
        <v>85617265.600000024</v>
      </c>
      <c r="AM30" s="916">
        <v>36333936</v>
      </c>
      <c r="AO30" s="916">
        <f>68576667*0.95</f>
        <v>65147833.649999999</v>
      </c>
      <c r="AQ30" s="916">
        <f t="shared" si="12"/>
        <v>-64017265.600000024</v>
      </c>
      <c r="AR30" s="994">
        <f t="shared" si="13"/>
        <v>-0.7477144376355791</v>
      </c>
    </row>
    <row r="31" spans="2:44" outlineLevel="1" x14ac:dyDescent="0.25">
      <c r="B31" s="575">
        <v>4</v>
      </c>
      <c r="C31" s="575"/>
      <c r="D31" s="981">
        <v>6220002806</v>
      </c>
      <c r="E31" s="638" t="s">
        <v>471</v>
      </c>
      <c r="F31" s="638" t="s">
        <v>569</v>
      </c>
      <c r="G31" s="638" t="s">
        <v>471</v>
      </c>
      <c r="H31" s="981" t="s">
        <v>521</v>
      </c>
      <c r="I31" s="606" t="s">
        <v>612</v>
      </c>
      <c r="J31" s="993">
        <f>W31/'4.Doanh thu'!$R$60</f>
        <v>1.6520983191758539E-4</v>
      </c>
      <c r="K31" s="916">
        <f>LUONG!F179</f>
        <v>1371159</v>
      </c>
      <c r="L31" s="916">
        <f>LUONG!G179</f>
        <v>1371159</v>
      </c>
      <c r="M31" s="916">
        <f>LUONG!H179</f>
        <v>1371159</v>
      </c>
      <c r="N31" s="916">
        <f>LUONG!I179</f>
        <v>1371159</v>
      </c>
      <c r="O31" s="916">
        <f>LUONG!J179</f>
        <v>1371159</v>
      </c>
      <c r="P31" s="916">
        <f>LUONG!K179</f>
        <v>1371159</v>
      </c>
      <c r="Q31" s="916">
        <f>LUONG!L179</f>
        <v>1371159</v>
      </c>
      <c r="R31" s="916">
        <f>LUONG!M179</f>
        <v>1371159</v>
      </c>
      <c r="S31" s="916">
        <f>LUONG!N179</f>
        <v>1371159</v>
      </c>
      <c r="T31" s="916">
        <f>LUONG!O179</f>
        <v>1371159</v>
      </c>
      <c r="U31" s="916">
        <f>LUONG!P179</f>
        <v>1371159</v>
      </c>
      <c r="V31" s="916">
        <f>LUONG!Q179</f>
        <v>1371159</v>
      </c>
      <c r="W31" s="982">
        <f t="shared" si="80"/>
        <v>16453908</v>
      </c>
      <c r="Y31" s="916"/>
      <c r="Z31" s="916"/>
      <c r="AA31" s="916"/>
      <c r="AB31" s="916"/>
      <c r="AC31" s="916"/>
      <c r="AD31" s="916"/>
      <c r="AE31" s="916"/>
      <c r="AF31" s="916"/>
      <c r="AG31" s="916"/>
      <c r="AH31" s="916"/>
      <c r="AI31" s="916"/>
      <c r="AJ31" s="916"/>
      <c r="AK31" s="982">
        <f t="shared" si="79"/>
        <v>0</v>
      </c>
      <c r="AM31" s="916"/>
      <c r="AO31" s="916"/>
      <c r="AQ31" s="916">
        <f t="shared" si="12"/>
        <v>16453908</v>
      </c>
      <c r="AR31" s="994">
        <f t="shared" si="13"/>
        <v>0</v>
      </c>
    </row>
    <row r="32" spans="2:44" outlineLevel="1" x14ac:dyDescent="0.25">
      <c r="B32" s="575">
        <v>5</v>
      </c>
      <c r="C32" s="575"/>
      <c r="D32" s="981">
        <v>6220007202</v>
      </c>
      <c r="E32" s="638" t="s">
        <v>431</v>
      </c>
      <c r="F32" s="638" t="s">
        <v>570</v>
      </c>
      <c r="G32" s="638" t="s">
        <v>431</v>
      </c>
      <c r="H32" s="981" t="s">
        <v>521</v>
      </c>
      <c r="I32" s="606" t="s">
        <v>612</v>
      </c>
      <c r="J32" s="993">
        <f>W32/'4.Doanh thu'!$R$60</f>
        <v>1.9328473602827479E-4</v>
      </c>
      <c r="K32" s="916">
        <f>LUONG!F180</f>
        <v>0</v>
      </c>
      <c r="L32" s="916">
        <f>LUONG!G180</f>
        <v>19250000</v>
      </c>
      <c r="M32" s="916">
        <f>LUONG!H180</f>
        <v>0</v>
      </c>
      <c r="N32" s="916">
        <f>LUONG!I180</f>
        <v>0</v>
      </c>
      <c r="O32" s="916">
        <f>LUONG!J180</f>
        <v>0</v>
      </c>
      <c r="P32" s="916">
        <f>LUONG!K180</f>
        <v>0</v>
      </c>
      <c r="Q32" s="916">
        <f>LUONG!L180</f>
        <v>0</v>
      </c>
      <c r="R32" s="916">
        <f>LUONG!M180</f>
        <v>0</v>
      </c>
      <c r="S32" s="916">
        <f>LUONG!N180</f>
        <v>0</v>
      </c>
      <c r="T32" s="916">
        <f>LUONG!O180</f>
        <v>0</v>
      </c>
      <c r="U32" s="916">
        <f>LUONG!P180</f>
        <v>0</v>
      </c>
      <c r="V32" s="916">
        <f>LUONG!Q180</f>
        <v>0</v>
      </c>
      <c r="W32" s="982">
        <f t="shared" si="80"/>
        <v>19250000</v>
      </c>
      <c r="Y32" s="916"/>
      <c r="Z32" s="916"/>
      <c r="AA32" s="916"/>
      <c r="AB32" s="916"/>
      <c r="AC32" s="916"/>
      <c r="AD32" s="916"/>
      <c r="AE32" s="916"/>
      <c r="AF32" s="916"/>
      <c r="AG32" s="916"/>
      <c r="AH32" s="916"/>
      <c r="AI32" s="916"/>
      <c r="AJ32" s="916"/>
      <c r="AK32" s="982">
        <f t="shared" si="79"/>
        <v>0</v>
      </c>
      <c r="AM32" s="916"/>
      <c r="AO32" s="916"/>
      <c r="AQ32" s="916">
        <f t="shared" si="12"/>
        <v>19250000</v>
      </c>
      <c r="AR32" s="994">
        <f t="shared" si="13"/>
        <v>0</v>
      </c>
    </row>
    <row r="33" spans="2:44" outlineLevel="1" x14ac:dyDescent="0.25">
      <c r="B33" s="575">
        <v>6</v>
      </c>
      <c r="C33" s="575"/>
      <c r="D33" s="981">
        <v>6220003201</v>
      </c>
      <c r="E33" s="638" t="s">
        <v>460</v>
      </c>
      <c r="F33" s="638" t="s">
        <v>570</v>
      </c>
      <c r="G33" s="638" t="s">
        <v>460</v>
      </c>
      <c r="H33" s="981" t="s">
        <v>521</v>
      </c>
      <c r="I33" s="606" t="s">
        <v>612</v>
      </c>
      <c r="J33" s="993">
        <f>W33/'4.Doanh thu'!$R$60</f>
        <v>3.2476052774263512E-3</v>
      </c>
      <c r="K33" s="916">
        <f>LUONG!F181</f>
        <v>26775000</v>
      </c>
      <c r="L33" s="916">
        <f>LUONG!G181</f>
        <v>23562000</v>
      </c>
      <c r="M33" s="916">
        <f>LUONG!H181</f>
        <v>25704000</v>
      </c>
      <c r="N33" s="916">
        <f>LUONG!I181</f>
        <v>28917000</v>
      </c>
      <c r="O33" s="916">
        <f>LUONG!J181</f>
        <v>23562000</v>
      </c>
      <c r="P33" s="916">
        <f>LUONG!K181</f>
        <v>28917000</v>
      </c>
      <c r="Q33" s="916">
        <f>LUONG!L181</f>
        <v>27846000</v>
      </c>
      <c r="R33" s="916">
        <f>LUONG!M181</f>
        <v>27846000</v>
      </c>
      <c r="S33" s="916">
        <f>LUONG!N181</f>
        <v>26775000</v>
      </c>
      <c r="T33" s="916">
        <f>LUONG!O181</f>
        <v>26775000</v>
      </c>
      <c r="U33" s="916">
        <f>LUONG!P181</f>
        <v>28917000</v>
      </c>
      <c r="V33" s="916">
        <f>LUONG!Q181</f>
        <v>27846000</v>
      </c>
      <c r="W33" s="982">
        <f t="shared" si="80"/>
        <v>323442000</v>
      </c>
      <c r="Y33" s="916">
        <v>20700000</v>
      </c>
      <c r="Z33" s="916">
        <v>33550000</v>
      </c>
      <c r="AA33" s="916">
        <v>33150000</v>
      </c>
      <c r="AB33" s="916">
        <v>29225000</v>
      </c>
      <c r="AC33" s="916">
        <v>31224470</v>
      </c>
      <c r="AD33" s="916">
        <v>31185000</v>
      </c>
      <c r="AE33" s="916">
        <v>75480430</v>
      </c>
      <c r="AF33" s="916">
        <v>-11122709</v>
      </c>
      <c r="AG33" s="916">
        <v>25963509</v>
      </c>
      <c r="AH33" s="916">
        <v>25963509</v>
      </c>
      <c r="AI33" s="916">
        <v>25963509</v>
      </c>
      <c r="AJ33" s="916">
        <v>25963509</v>
      </c>
      <c r="AK33" s="982">
        <f t="shared" si="79"/>
        <v>347246227</v>
      </c>
      <c r="AM33" s="916">
        <v>265910000</v>
      </c>
      <c r="AO33" s="916">
        <f>344150000*0.95</f>
        <v>326942500</v>
      </c>
      <c r="AQ33" s="916">
        <f t="shared" si="12"/>
        <v>-23804227</v>
      </c>
      <c r="AR33" s="994">
        <f t="shared" si="13"/>
        <v>-6.855143454157675E-2</v>
      </c>
    </row>
    <row r="34" spans="2:44" outlineLevel="1" x14ac:dyDescent="0.25">
      <c r="B34" s="575">
        <v>7</v>
      </c>
      <c r="C34" s="575"/>
      <c r="D34" s="981">
        <v>6220002603</v>
      </c>
      <c r="E34" s="638" t="s">
        <v>459</v>
      </c>
      <c r="F34" s="638" t="s">
        <v>569</v>
      </c>
      <c r="G34" s="638" t="s">
        <v>459</v>
      </c>
      <c r="H34" s="981" t="s">
        <v>521</v>
      </c>
      <c r="I34" s="606" t="s">
        <v>612</v>
      </c>
      <c r="J34" s="993">
        <f>W34/'4.Doanh thu'!$R$60</f>
        <v>0</v>
      </c>
      <c r="K34" s="916">
        <f>LUONG!F182</f>
        <v>0</v>
      </c>
      <c r="L34" s="916">
        <f>LUONG!G182</f>
        <v>0</v>
      </c>
      <c r="M34" s="916">
        <f>LUONG!H182</f>
        <v>0</v>
      </c>
      <c r="N34" s="916">
        <f>LUONG!I182</f>
        <v>0</v>
      </c>
      <c r="O34" s="916">
        <f>LUONG!J182</f>
        <v>0</v>
      </c>
      <c r="P34" s="916">
        <f>LUONG!K182</f>
        <v>0</v>
      </c>
      <c r="Q34" s="916">
        <f>LUONG!L182</f>
        <v>0</v>
      </c>
      <c r="R34" s="916">
        <f>LUONG!M182</f>
        <v>0</v>
      </c>
      <c r="S34" s="916">
        <f>LUONG!N182</f>
        <v>0</v>
      </c>
      <c r="T34" s="916">
        <f>LUONG!O182</f>
        <v>0</v>
      </c>
      <c r="U34" s="916">
        <f>LUONG!P182</f>
        <v>0</v>
      </c>
      <c r="V34" s="916">
        <f>LUONG!Q182</f>
        <v>0</v>
      </c>
      <c r="W34" s="982">
        <f t="shared" si="80"/>
        <v>0</v>
      </c>
      <c r="Y34" s="916"/>
      <c r="Z34" s="916"/>
      <c r="AA34" s="916"/>
      <c r="AB34" s="916"/>
      <c r="AC34" s="916"/>
      <c r="AD34" s="916"/>
      <c r="AE34" s="916"/>
      <c r="AF34" s="916"/>
      <c r="AG34" s="916"/>
      <c r="AH34" s="916"/>
      <c r="AI34" s="916"/>
      <c r="AJ34" s="916"/>
      <c r="AK34" s="982">
        <f t="shared" si="79"/>
        <v>0</v>
      </c>
      <c r="AM34" s="916"/>
      <c r="AO34" s="916"/>
      <c r="AQ34" s="916">
        <f t="shared" si="12"/>
        <v>0</v>
      </c>
      <c r="AR34" s="994">
        <f t="shared" si="13"/>
        <v>0</v>
      </c>
    </row>
    <row r="35" spans="2:44" outlineLevel="1" x14ac:dyDescent="0.25">
      <c r="B35" s="575">
        <v>8</v>
      </c>
      <c r="C35" s="575"/>
      <c r="D35" s="981">
        <v>6220003401</v>
      </c>
      <c r="E35" s="638" t="s">
        <v>456</v>
      </c>
      <c r="F35" s="638" t="s">
        <v>570</v>
      </c>
      <c r="G35" s="638" t="s">
        <v>456</v>
      </c>
      <c r="H35" s="981" t="s">
        <v>521</v>
      </c>
      <c r="I35" s="606" t="s">
        <v>612</v>
      </c>
      <c r="J35" s="993">
        <f>W35/'4.Doanh thu'!$R$60</f>
        <v>4.235380083137538E-3</v>
      </c>
      <c r="K35" s="916">
        <f>LUONG!F183</f>
        <v>35151537</v>
      </c>
      <c r="L35" s="916">
        <f>LUONG!G183</f>
        <v>35151537</v>
      </c>
      <c r="M35" s="916">
        <f>LUONG!H183</f>
        <v>35151537</v>
      </c>
      <c r="N35" s="916">
        <f>LUONG!I183</f>
        <v>35151537</v>
      </c>
      <c r="O35" s="916">
        <f>LUONG!J183</f>
        <v>35151537</v>
      </c>
      <c r="P35" s="916">
        <f>LUONG!K183</f>
        <v>35151537</v>
      </c>
      <c r="Q35" s="916">
        <f>LUONG!L183</f>
        <v>35151537</v>
      </c>
      <c r="R35" s="916">
        <f>LUONG!M183</f>
        <v>35151537</v>
      </c>
      <c r="S35" s="916">
        <f>LUONG!N183</f>
        <v>35151537</v>
      </c>
      <c r="T35" s="916">
        <f>LUONG!O183</f>
        <v>35151537</v>
      </c>
      <c r="U35" s="916">
        <f>LUONG!P183</f>
        <v>35151537</v>
      </c>
      <c r="V35" s="916">
        <f>LUONG!Q183</f>
        <v>35151537</v>
      </c>
      <c r="W35" s="982">
        <f t="shared" si="80"/>
        <v>421818444</v>
      </c>
      <c r="Y35" s="916">
        <v>39606590</v>
      </c>
      <c r="Z35" s="916">
        <v>34323000</v>
      </c>
      <c r="AA35" s="916">
        <v>35639000</v>
      </c>
      <c r="AB35" s="916">
        <v>34400000</v>
      </c>
      <c r="AC35" s="916">
        <v>30125000</v>
      </c>
      <c r="AD35" s="916">
        <v>31425000</v>
      </c>
      <c r="AE35" s="916">
        <v>30550000</v>
      </c>
      <c r="AF35" s="916">
        <v>29700000</v>
      </c>
      <c r="AG35" s="916">
        <v>29025000</v>
      </c>
      <c r="AH35" s="916">
        <v>41560470</v>
      </c>
      <c r="AI35" s="916">
        <v>41560470</v>
      </c>
      <c r="AJ35" s="916">
        <v>41560470</v>
      </c>
      <c r="AK35" s="982">
        <f t="shared" si="79"/>
        <v>419475000</v>
      </c>
      <c r="AM35" s="916">
        <v>488871000</v>
      </c>
      <c r="AO35" s="916">
        <f>596574620*0.95</f>
        <v>566745889</v>
      </c>
      <c r="AQ35" s="916">
        <f t="shared" si="12"/>
        <v>2343444</v>
      </c>
      <c r="AR35" s="994">
        <f t="shared" si="13"/>
        <v>5.586611836223776E-3</v>
      </c>
    </row>
    <row r="36" spans="2:44" outlineLevel="1" x14ac:dyDescent="0.25">
      <c r="B36" s="575">
        <v>9</v>
      </c>
      <c r="C36" s="575"/>
      <c r="D36" s="981">
        <v>6220002701</v>
      </c>
      <c r="E36" s="638" t="s">
        <v>457</v>
      </c>
      <c r="F36" s="638" t="s">
        <v>569</v>
      </c>
      <c r="G36" s="638" t="s">
        <v>457</v>
      </c>
      <c r="H36" s="981" t="s">
        <v>521</v>
      </c>
      <c r="I36" s="606" t="s">
        <v>612</v>
      </c>
      <c r="J36" s="993">
        <f>W36/'4.Doanh thu'!$R$60</f>
        <v>2.3656204992268609E-3</v>
      </c>
      <c r="K36" s="916">
        <f>LUONG!F184</f>
        <v>5753129</v>
      </c>
      <c r="L36" s="916">
        <f>LUONG!G184</f>
        <v>7087837</v>
      </c>
      <c r="M36" s="916">
        <f>LUONG!H184</f>
        <v>16568971</v>
      </c>
      <c r="N36" s="916">
        <f>LUONG!I184</f>
        <v>12426739</v>
      </c>
      <c r="O36" s="916">
        <f>LUONG!J184</f>
        <v>10125495</v>
      </c>
      <c r="P36" s="916">
        <f>LUONG!K184</f>
        <v>6213357</v>
      </c>
      <c r="Q36" s="916">
        <f>LUONG!L184</f>
        <v>47865924</v>
      </c>
      <c r="R36" s="916">
        <f>LUONG!M184</f>
        <v>59832397</v>
      </c>
      <c r="S36" s="916">
        <f>LUONG!N184</f>
        <v>46024940</v>
      </c>
      <c r="T36" s="916">
        <f>LUONG!O184</f>
        <v>11506222</v>
      </c>
      <c r="U36" s="916">
        <f>LUONG!P184</f>
        <v>6213357</v>
      </c>
      <c r="V36" s="916">
        <f>LUONG!Q184</f>
        <v>5983240</v>
      </c>
      <c r="W36" s="982">
        <f t="shared" si="80"/>
        <v>235601608</v>
      </c>
      <c r="Y36" s="916"/>
      <c r="Z36" s="916"/>
      <c r="AA36" s="916"/>
      <c r="AB36" s="916"/>
      <c r="AC36" s="916"/>
      <c r="AD36" s="916"/>
      <c r="AE36" s="916"/>
      <c r="AF36" s="916"/>
      <c r="AG36" s="916"/>
      <c r="AH36" s="916"/>
      <c r="AI36" s="916"/>
      <c r="AJ36" s="916"/>
      <c r="AK36" s="982">
        <f t="shared" si="79"/>
        <v>0</v>
      </c>
      <c r="AM36" s="916"/>
      <c r="AO36" s="916"/>
      <c r="AQ36" s="916">
        <f t="shared" si="12"/>
        <v>235601608</v>
      </c>
      <c r="AR36" s="994">
        <f t="shared" si="13"/>
        <v>0</v>
      </c>
    </row>
    <row r="37" spans="2:44" x14ac:dyDescent="0.25">
      <c r="B37" s="575">
        <v>10</v>
      </c>
      <c r="C37" s="575"/>
      <c r="D37" s="981" t="s">
        <v>809</v>
      </c>
      <c r="E37" s="638" t="s">
        <v>810</v>
      </c>
      <c r="F37" s="638" t="s">
        <v>811</v>
      </c>
      <c r="G37" s="638" t="s">
        <v>810</v>
      </c>
      <c r="H37" s="981" t="s">
        <v>521</v>
      </c>
      <c r="I37" s="606" t="s">
        <v>612</v>
      </c>
      <c r="J37" s="916"/>
      <c r="K37" s="916"/>
      <c r="L37" s="916"/>
      <c r="M37" s="916"/>
      <c r="N37" s="916"/>
      <c r="O37" s="916"/>
      <c r="P37" s="916"/>
      <c r="Q37" s="916"/>
      <c r="R37" s="916"/>
      <c r="S37" s="916"/>
      <c r="T37" s="916"/>
      <c r="U37" s="916"/>
      <c r="V37" s="916"/>
      <c r="W37" s="982">
        <f t="shared" si="80"/>
        <v>0</v>
      </c>
      <c r="Y37" s="916"/>
      <c r="Z37" s="916"/>
      <c r="AA37" s="916"/>
      <c r="AB37" s="916"/>
      <c r="AC37" s="916"/>
      <c r="AD37" s="916"/>
      <c r="AE37" s="916"/>
      <c r="AF37" s="916"/>
      <c r="AG37" s="916"/>
      <c r="AH37" s="916"/>
      <c r="AI37" s="916"/>
      <c r="AJ37" s="916"/>
      <c r="AK37" s="982"/>
      <c r="AM37" s="982"/>
      <c r="AO37" s="982"/>
      <c r="AQ37" s="915">
        <f t="shared" si="12"/>
        <v>0</v>
      </c>
      <c r="AR37" s="993">
        <f t="shared" si="13"/>
        <v>0</v>
      </c>
    </row>
    <row r="38" spans="2:44" outlineLevel="1" x14ac:dyDescent="0.25">
      <c r="B38" s="575">
        <v>11</v>
      </c>
      <c r="C38" s="575"/>
      <c r="D38" s="981">
        <v>6220003001</v>
      </c>
      <c r="E38" s="638" t="s">
        <v>430</v>
      </c>
      <c r="F38" s="638" t="s">
        <v>570</v>
      </c>
      <c r="G38" s="638" t="s">
        <v>430</v>
      </c>
      <c r="H38" s="981" t="s">
        <v>521</v>
      </c>
      <c r="I38" s="606" t="s">
        <v>622</v>
      </c>
      <c r="J38" s="993">
        <f ca="1">W38/'4.Doanh thu'!$R$60</f>
        <v>2.2986785171324998E-4</v>
      </c>
      <c r="K38" s="916">
        <f ca="1">SUMIF(PB_CPTT!$Z$9:$AR$112,CPSX!$D$38,PB_CPTT!AF9:AF112)</f>
        <v>1907788.2352941176</v>
      </c>
      <c r="L38" s="916">
        <f ca="1">SUMIF(PB_CPTT!$Z$9:$AR$112,CPSX!$D$38,PB_CPTT!AG9:AG112)</f>
        <v>1907788.2352941176</v>
      </c>
      <c r="M38" s="916">
        <f ca="1">SUMIF(PB_CPTT!$Z$9:$AR$112,CPSX!$D$38,PB_CPTT!AH9:AH112)</f>
        <v>1907788.2352941176</v>
      </c>
      <c r="N38" s="916">
        <f ca="1">SUMIF(PB_CPTT!$Z$9:$AR$112,CPSX!$D$38,PB_CPTT!AI9:AI112)</f>
        <v>1907788.2352941176</v>
      </c>
      <c r="O38" s="916">
        <f ca="1">SUMIF(PB_CPTT!$Z$9:$AR$112,CPSX!$D$38,PB_CPTT!AJ9:AJ112)</f>
        <v>1907788.2352941176</v>
      </c>
      <c r="P38" s="916">
        <f ca="1">SUMIF(PB_CPTT!$Z$9:$AR$112,CPSX!$D$38,PB_CPTT!AK9:AK112)</f>
        <v>1907788.2352941176</v>
      </c>
      <c r="Q38" s="916">
        <f ca="1">SUMIF(PB_CPTT!$Z$9:$AR$112,CPSX!$D$38,PB_CPTT!AL9:AL112)</f>
        <v>1907788.2352941176</v>
      </c>
      <c r="R38" s="916">
        <f ca="1">SUMIF(PB_CPTT!$Z$9:$AR$112,CPSX!$D$38,PB_CPTT!AM9:AM112)</f>
        <v>1907788.2352941176</v>
      </c>
      <c r="S38" s="916">
        <f ca="1">SUMIF(PB_CPTT!$Z$9:$AR$112,CPSX!$D$38,PB_CPTT!AN9:AN112)</f>
        <v>1907788.2352941176</v>
      </c>
      <c r="T38" s="916">
        <f ca="1">SUMIF(PB_CPTT!$Z$9:$AR$112,CPSX!$D$38,PB_CPTT!AO9:AO112)</f>
        <v>1907788.2352941176</v>
      </c>
      <c r="U38" s="916">
        <f ca="1">SUMIF(PB_CPTT!$Z$9:$AR$112,CPSX!$D$38,PB_CPTT!AP9:AP112)</f>
        <v>1907788.2352941176</v>
      </c>
      <c r="V38" s="916">
        <f ca="1">SUMIF(PB_CPTT!$Z$9:$AR$112,CPSX!$D$38,PB_CPTT!AQ9:AQ112)</f>
        <v>1907788.2352941176</v>
      </c>
      <c r="W38" s="982">
        <f t="shared" ca="1" si="80"/>
        <v>22893458.823529419</v>
      </c>
      <c r="Y38" s="916">
        <v>583333</v>
      </c>
      <c r="Z38" s="916">
        <v>583333</v>
      </c>
      <c r="AA38" s="916">
        <f>583333+2000000</f>
        <v>2583333</v>
      </c>
      <c r="AB38" s="916">
        <v>3539583</v>
      </c>
      <c r="AC38" s="916">
        <v>3125609</v>
      </c>
      <c r="AD38" s="916">
        <v>2956250</v>
      </c>
      <c r="AE38" s="916">
        <v>2956250</v>
      </c>
      <c r="AF38" s="916">
        <v>2956250</v>
      </c>
      <c r="AG38" s="916">
        <v>2956250</v>
      </c>
      <c r="AH38" s="916">
        <v>2956250</v>
      </c>
      <c r="AI38" s="916">
        <v>2956250</v>
      </c>
      <c r="AJ38" s="916">
        <v>2956250</v>
      </c>
      <c r="AK38" s="982">
        <f t="shared" si="79"/>
        <v>31108941</v>
      </c>
      <c r="AM38" s="916">
        <v>583333</v>
      </c>
      <c r="AO38" s="916">
        <v>11793753</v>
      </c>
      <c r="AQ38" s="916">
        <f t="shared" ca="1" si="12"/>
        <v>-8215482.1764705814</v>
      </c>
      <c r="AR38" s="994">
        <f t="shared" ca="1" si="13"/>
        <v>-0.26408749100365014</v>
      </c>
    </row>
    <row r="39" spans="2:44" outlineLevel="1" x14ac:dyDescent="0.25">
      <c r="B39" s="575">
        <v>12</v>
      </c>
      <c r="C39" s="575"/>
      <c r="D39" s="981" t="s">
        <v>1004</v>
      </c>
      <c r="E39" s="638" t="s">
        <v>441</v>
      </c>
      <c r="F39" s="638" t="s">
        <v>570</v>
      </c>
      <c r="G39" s="638" t="s">
        <v>1946</v>
      </c>
      <c r="H39" s="981" t="s">
        <v>521</v>
      </c>
      <c r="I39" s="606" t="s">
        <v>622</v>
      </c>
      <c r="J39" s="993">
        <f>W39/'4.Doanh thu'!$R$60</f>
        <v>0</v>
      </c>
      <c r="K39" s="916"/>
      <c r="L39" s="916"/>
      <c r="M39" s="916"/>
      <c r="N39" s="916"/>
      <c r="O39" s="916"/>
      <c r="P39" s="916"/>
      <c r="Q39" s="916"/>
      <c r="R39" s="916"/>
      <c r="S39" s="916"/>
      <c r="T39" s="916"/>
      <c r="U39" s="916"/>
      <c r="V39" s="916"/>
      <c r="W39" s="982">
        <f t="shared" si="80"/>
        <v>0</v>
      </c>
      <c r="Y39" s="916"/>
      <c r="Z39" s="916"/>
      <c r="AA39" s="916"/>
      <c r="AB39" s="916"/>
      <c r="AC39" s="916"/>
      <c r="AD39" s="916"/>
      <c r="AE39" s="916"/>
      <c r="AF39" s="916"/>
      <c r="AG39" s="916"/>
      <c r="AH39" s="916"/>
      <c r="AI39" s="916"/>
      <c r="AJ39" s="916"/>
      <c r="AK39" s="982"/>
      <c r="AM39" s="916"/>
      <c r="AO39" s="916"/>
      <c r="AQ39" s="916">
        <f t="shared" ref="AQ39:AQ41" si="81">IFERROR(W39-AK39,0)</f>
        <v>0</v>
      </c>
      <c r="AR39" s="994">
        <f t="shared" ref="AR39:AR41" si="82">IFERROR((W39/AK39)-1,0)</f>
        <v>0</v>
      </c>
    </row>
    <row r="40" spans="2:44" outlineLevel="1" x14ac:dyDescent="0.25">
      <c r="B40" s="575">
        <v>13</v>
      </c>
      <c r="C40" s="575"/>
      <c r="D40" s="981">
        <v>6275001801</v>
      </c>
      <c r="E40" s="638" t="s">
        <v>428</v>
      </c>
      <c r="F40" s="638" t="s">
        <v>571</v>
      </c>
      <c r="G40" s="638" t="s">
        <v>428</v>
      </c>
      <c r="H40" s="981" t="s">
        <v>518</v>
      </c>
      <c r="I40" s="606" t="s">
        <v>621</v>
      </c>
      <c r="J40" s="993">
        <f>W40/'4.Doanh thu'!$R$60</f>
        <v>6.1026800358551783E-3</v>
      </c>
      <c r="K40" s="916">
        <f>IFERROR('Dinh muc'!$G$11*'3.Thanh pham'!H$78,0)</f>
        <v>45584273.661822051</v>
      </c>
      <c r="L40" s="916">
        <f>IFERROR('Dinh muc'!$G$11*'3.Thanh pham'!I$78,0)</f>
        <v>34188205.246366538</v>
      </c>
      <c r="M40" s="916">
        <f>IFERROR('Dinh muc'!$G$11*'3.Thanh pham'!J$78,0)</f>
        <v>49382963.133640558</v>
      </c>
      <c r="N40" s="916">
        <f>IFERROR('Dinh muc'!$G$11*'3.Thanh pham'!K$78,0)</f>
        <v>53181652.605459057</v>
      </c>
      <c r="O40" s="916">
        <f>IFERROR('Dinh muc'!$G$11*'3.Thanh pham'!L$78,0)</f>
        <v>53181652.605459057</v>
      </c>
      <c r="P40" s="916">
        <f>IFERROR('Dinh muc'!$G$11*'3.Thanh pham'!M$78,0)</f>
        <v>53181652.605459057</v>
      </c>
      <c r="Q40" s="916">
        <f>IFERROR('Dinh muc'!$G$11*'3.Thanh pham'!N$78,0)</f>
        <v>53181652.605459057</v>
      </c>
      <c r="R40" s="916">
        <f>IFERROR('Dinh muc'!$G$11*'3.Thanh pham'!O$78,0)</f>
        <v>53181652.605459057</v>
      </c>
      <c r="S40" s="916">
        <f>IFERROR('Dinh muc'!$G$11*'3.Thanh pham'!P$78,0)</f>
        <v>53181652.605459057</v>
      </c>
      <c r="T40" s="916">
        <f>IFERROR('Dinh muc'!$G$11*'3.Thanh pham'!Q$78,0)</f>
        <v>53181652.605459057</v>
      </c>
      <c r="U40" s="916">
        <f>IFERROR('Dinh muc'!$G$11*'3.Thanh pham'!R$78,0)</f>
        <v>53181652.605459057</v>
      </c>
      <c r="V40" s="916">
        <f>IFERROR('Dinh muc'!$G$11*'3.Thanh pham'!S$78,0)</f>
        <v>53181652.605459057</v>
      </c>
      <c r="W40" s="982">
        <f t="shared" si="80"/>
        <v>607790315.4909606</v>
      </c>
      <c r="Y40" s="916">
        <v>21783537</v>
      </c>
      <c r="Z40" s="916">
        <v>25110006</v>
      </c>
      <c r="AA40" s="916">
        <v>35465899</v>
      </c>
      <c r="AB40" s="916">
        <v>38843778</v>
      </c>
      <c r="AC40" s="916">
        <v>36435793</v>
      </c>
      <c r="AD40" s="916">
        <v>38605384</v>
      </c>
      <c r="AE40" s="916">
        <v>55086679</v>
      </c>
      <c r="AF40" s="916">
        <v>47559092</v>
      </c>
      <c r="AG40" s="916">
        <v>41047405</v>
      </c>
      <c r="AH40" s="916">
        <v>37770841</v>
      </c>
      <c r="AI40" s="916">
        <v>37770841</v>
      </c>
      <c r="AJ40" s="916">
        <v>37770841</v>
      </c>
      <c r="AK40" s="982">
        <f t="shared" si="79"/>
        <v>453250096</v>
      </c>
      <c r="AM40" s="916">
        <v>377182809</v>
      </c>
      <c r="AO40" s="916">
        <v>326356700</v>
      </c>
      <c r="AQ40" s="916">
        <f t="shared" si="81"/>
        <v>154540219.4909606</v>
      </c>
      <c r="AR40" s="994">
        <f t="shared" si="82"/>
        <v>0.34096014728910418</v>
      </c>
    </row>
    <row r="41" spans="2:44" outlineLevel="1" x14ac:dyDescent="0.25">
      <c r="B41" s="575">
        <v>14</v>
      </c>
      <c r="C41" s="575"/>
      <c r="D41" s="981" t="s">
        <v>892</v>
      </c>
      <c r="E41" s="638" t="s">
        <v>429</v>
      </c>
      <c r="F41" s="638" t="s">
        <v>572</v>
      </c>
      <c r="G41" s="638" t="s">
        <v>694</v>
      </c>
      <c r="H41" s="981" t="s">
        <v>518</v>
      </c>
      <c r="I41" s="606" t="s">
        <v>621</v>
      </c>
      <c r="J41" s="993">
        <f>W41/'4.Doanh thu'!$R$60</f>
        <v>6.4535562771950916E-3</v>
      </c>
      <c r="K41" s="916">
        <f>IFERROR('Dinh muc'!$G$12*'3.Thanh pham'!H$78,0)</f>
        <v>48205161.290322587</v>
      </c>
      <c r="L41" s="916">
        <f>IFERROR('Dinh muc'!$G$12*'3.Thanh pham'!I$78,0)</f>
        <v>36153870.967741936</v>
      </c>
      <c r="M41" s="916">
        <f>IFERROR('Dinh muc'!$G$12*'3.Thanh pham'!J$78,0)</f>
        <v>52222258.064516135</v>
      </c>
      <c r="N41" s="916">
        <f>IFERROR('Dinh muc'!$G$12*'3.Thanh pham'!K$78,0)</f>
        <v>56239354.838709682</v>
      </c>
      <c r="O41" s="916">
        <f>IFERROR('Dinh muc'!$G$12*'3.Thanh pham'!L$78,0)</f>
        <v>56239354.838709682</v>
      </c>
      <c r="P41" s="916">
        <f>IFERROR('Dinh muc'!$G$12*'3.Thanh pham'!M$78,0)</f>
        <v>56239354.838709682</v>
      </c>
      <c r="Q41" s="916">
        <f>IFERROR('Dinh muc'!$G$12*'3.Thanh pham'!N$78,0)</f>
        <v>56239354.838709682</v>
      </c>
      <c r="R41" s="916">
        <f>IFERROR('Dinh muc'!$G$12*'3.Thanh pham'!O$78,0)</f>
        <v>56239354.838709682</v>
      </c>
      <c r="S41" s="916">
        <f>IFERROR('Dinh muc'!$G$12*'3.Thanh pham'!P$78,0)</f>
        <v>56239354.838709682</v>
      </c>
      <c r="T41" s="916">
        <f>IFERROR('Dinh muc'!$G$12*'3.Thanh pham'!Q$78,0)</f>
        <v>56239354.838709682</v>
      </c>
      <c r="U41" s="916">
        <f>IFERROR('Dinh muc'!$G$12*'3.Thanh pham'!R$78,0)</f>
        <v>56239354.838709682</v>
      </c>
      <c r="V41" s="916">
        <f>IFERROR('Dinh muc'!$G$12*'3.Thanh pham'!S$78,0)</f>
        <v>56239354.838709682</v>
      </c>
      <c r="W41" s="982">
        <f t="shared" si="80"/>
        <v>642735483.87096798</v>
      </c>
      <c r="Y41" s="916">
        <v>39166667</v>
      </c>
      <c r="Z41" s="916">
        <v>36048385</v>
      </c>
      <c r="AA41" s="916">
        <v>15000000</v>
      </c>
      <c r="AB41" s="916">
        <v>0</v>
      </c>
      <c r="AC41" s="916">
        <v>0</v>
      </c>
      <c r="AD41" s="916">
        <v>0</v>
      </c>
      <c r="AE41" s="916">
        <v>0</v>
      </c>
      <c r="AF41" s="916">
        <v>0</v>
      </c>
      <c r="AG41" s="916">
        <v>0</v>
      </c>
      <c r="AH41" s="916">
        <v>0</v>
      </c>
      <c r="AI41" s="916">
        <v>0</v>
      </c>
      <c r="AJ41" s="916">
        <v>0</v>
      </c>
      <c r="AK41" s="982">
        <f t="shared" si="79"/>
        <v>90215052</v>
      </c>
      <c r="AM41" s="916">
        <v>236720432</v>
      </c>
      <c r="AO41" s="916">
        <v>106064516</v>
      </c>
      <c r="AQ41" s="916">
        <f t="shared" si="81"/>
        <v>552520431.87096798</v>
      </c>
      <c r="AR41" s="994">
        <f t="shared" si="82"/>
        <v>6.1244816648885596</v>
      </c>
    </row>
    <row r="42" spans="2:44" outlineLevel="1" x14ac:dyDescent="0.25">
      <c r="B42" s="575">
        <v>15</v>
      </c>
      <c r="C42" s="575"/>
      <c r="D42" s="981" t="s">
        <v>892</v>
      </c>
      <c r="E42" s="638" t="s">
        <v>429</v>
      </c>
      <c r="F42" s="638" t="s">
        <v>572</v>
      </c>
      <c r="G42" s="638" t="s">
        <v>14</v>
      </c>
      <c r="H42" s="981" t="s">
        <v>516</v>
      </c>
      <c r="I42" s="606" t="s">
        <v>621</v>
      </c>
      <c r="J42" s="993">
        <f>W42/'4.Doanh thu'!$R$60</f>
        <v>4.752984071853465E-3</v>
      </c>
      <c r="K42" s="916">
        <f>IFERROR('Dinh muc'!$G$13*'3.Thanh pham'!H$78,0)</f>
        <v>35502652.173913039</v>
      </c>
      <c r="L42" s="916">
        <f>IFERROR('Dinh muc'!$G$13*'3.Thanh pham'!I$78,0)</f>
        <v>26626989.130434781</v>
      </c>
      <c r="M42" s="916">
        <f>IFERROR('Dinh muc'!$G$13*'3.Thanh pham'!J$78,0)</f>
        <v>38461206.521739133</v>
      </c>
      <c r="N42" s="916">
        <f>IFERROR('Dinh muc'!$G$13*'3.Thanh pham'!K$78,0)</f>
        <v>41419760.869565219</v>
      </c>
      <c r="O42" s="916">
        <f>IFERROR('Dinh muc'!$G$13*'3.Thanh pham'!L$78,0)</f>
        <v>41419760.869565219</v>
      </c>
      <c r="P42" s="916">
        <f>IFERROR('Dinh muc'!$G$13*'3.Thanh pham'!M$78,0)</f>
        <v>41419760.869565219</v>
      </c>
      <c r="Q42" s="916">
        <f>IFERROR('Dinh muc'!$G$13*'3.Thanh pham'!N$78,0)</f>
        <v>41419760.869565219</v>
      </c>
      <c r="R42" s="916">
        <f>IFERROR('Dinh muc'!$G$13*'3.Thanh pham'!O$78,0)</f>
        <v>41419760.869565219</v>
      </c>
      <c r="S42" s="916">
        <f>IFERROR('Dinh muc'!$G$13*'3.Thanh pham'!P$78,0)</f>
        <v>41419760.869565219</v>
      </c>
      <c r="T42" s="916">
        <f>IFERROR('Dinh muc'!$G$13*'3.Thanh pham'!Q$78,0)</f>
        <v>41419760.869565219</v>
      </c>
      <c r="U42" s="916">
        <f>IFERROR('Dinh muc'!$G$13*'3.Thanh pham'!R$78,0)</f>
        <v>41419760.869565219</v>
      </c>
      <c r="V42" s="916">
        <f>IFERROR('Dinh muc'!$G$13*'3.Thanh pham'!S$78,0)</f>
        <v>41419760.869565219</v>
      </c>
      <c r="W42" s="982">
        <f t="shared" si="80"/>
        <v>473368695.652174</v>
      </c>
      <c r="Y42" s="916">
        <v>0</v>
      </c>
      <c r="Z42" s="916">
        <v>26023148</v>
      </c>
      <c r="AA42" s="916">
        <v>24138889</v>
      </c>
      <c r="AB42" s="916">
        <v>29822222</v>
      </c>
      <c r="AC42" s="916">
        <v>31136111</v>
      </c>
      <c r="AD42" s="916">
        <v>14666667</v>
      </c>
      <c r="AE42" s="916">
        <v>24532565</v>
      </c>
      <c r="AF42" s="916">
        <v>35744666</v>
      </c>
      <c r="AG42" s="916">
        <v>33340726</v>
      </c>
      <c r="AH42" s="916">
        <v>29369347.826086957</v>
      </c>
      <c r="AI42" s="916">
        <v>29369347.826086957</v>
      </c>
      <c r="AJ42" s="916">
        <v>29369347.826086957</v>
      </c>
      <c r="AK42" s="982">
        <f t="shared" si="79"/>
        <v>307513037.47826087</v>
      </c>
      <c r="AM42" s="916">
        <v>314069170</v>
      </c>
      <c r="AO42" s="916">
        <f>388879000+52200000</f>
        <v>441079000</v>
      </c>
      <c r="AQ42" s="916">
        <f t="shared" si="12"/>
        <v>165855658.17391312</v>
      </c>
      <c r="AR42" s="994">
        <f t="shared" si="13"/>
        <v>0.53934512674324586</v>
      </c>
    </row>
    <row r="43" spans="2:44" outlineLevel="1" x14ac:dyDescent="0.25">
      <c r="B43" s="575">
        <v>16</v>
      </c>
      <c r="C43" s="575"/>
      <c r="D43" s="981" t="s">
        <v>892</v>
      </c>
      <c r="E43" s="638" t="s">
        <v>429</v>
      </c>
      <c r="F43" s="638" t="s">
        <v>572</v>
      </c>
      <c r="G43" s="638" t="s">
        <v>309</v>
      </c>
      <c r="H43" s="981" t="s">
        <v>516</v>
      </c>
      <c r="I43" s="606" t="s">
        <v>621</v>
      </c>
      <c r="J43" s="993">
        <f>W43/'4.Doanh thu'!$R$60</f>
        <v>0</v>
      </c>
      <c r="K43" s="916">
        <f>IFERROR('Dinh muc'!$G$14*'3.Thanh pham'!H$78,0)</f>
        <v>0</v>
      </c>
      <c r="L43" s="916">
        <f>IFERROR('Dinh muc'!$G$14*'3.Thanh pham'!I$78,0)</f>
        <v>0</v>
      </c>
      <c r="M43" s="916">
        <f>IFERROR('Dinh muc'!$G$14*'3.Thanh pham'!J$78,0)</f>
        <v>0</v>
      </c>
      <c r="N43" s="916">
        <f>IFERROR('Dinh muc'!$G$14*'3.Thanh pham'!K$78,0)</f>
        <v>0</v>
      </c>
      <c r="O43" s="916">
        <f>IFERROR('Dinh muc'!$G$14*'3.Thanh pham'!L$78,0)</f>
        <v>0</v>
      </c>
      <c r="P43" s="916">
        <f>IFERROR('Dinh muc'!$G$14*'3.Thanh pham'!M$78,0)</f>
        <v>0</v>
      </c>
      <c r="Q43" s="916">
        <f>IFERROR('Dinh muc'!$G$14*'3.Thanh pham'!N$78,0)</f>
        <v>0</v>
      </c>
      <c r="R43" s="916">
        <f>IFERROR('Dinh muc'!$G$14*'3.Thanh pham'!O$78,0)</f>
        <v>0</v>
      </c>
      <c r="S43" s="916">
        <f>IFERROR('Dinh muc'!$G$14*'3.Thanh pham'!P$78,0)</f>
        <v>0</v>
      </c>
      <c r="T43" s="916">
        <f>IFERROR('Dinh muc'!$G$14*'3.Thanh pham'!Q$78,0)</f>
        <v>0</v>
      </c>
      <c r="U43" s="916">
        <f>IFERROR('Dinh muc'!$G$14*'3.Thanh pham'!R$78,0)</f>
        <v>0</v>
      </c>
      <c r="V43" s="916">
        <f>IFERROR('Dinh muc'!$G$14*'3.Thanh pham'!S$78,0)</f>
        <v>0</v>
      </c>
      <c r="W43" s="982">
        <f t="shared" si="80"/>
        <v>0</v>
      </c>
      <c r="Y43" s="916"/>
      <c r="Z43" s="916"/>
      <c r="AA43" s="916"/>
      <c r="AB43" s="916"/>
      <c r="AC43" s="916"/>
      <c r="AD43" s="916"/>
      <c r="AE43" s="916"/>
      <c r="AF43" s="916"/>
      <c r="AG43" s="916"/>
      <c r="AH43" s="916"/>
      <c r="AI43" s="916"/>
      <c r="AJ43" s="916"/>
      <c r="AK43" s="982">
        <f t="shared" si="79"/>
        <v>0</v>
      </c>
      <c r="AM43" s="916"/>
      <c r="AO43" s="916"/>
      <c r="AQ43" s="916">
        <f t="shared" si="12"/>
        <v>0</v>
      </c>
      <c r="AR43" s="994">
        <f t="shared" si="13"/>
        <v>0</v>
      </c>
    </row>
    <row r="44" spans="2:44" outlineLevel="1" x14ac:dyDescent="0.25">
      <c r="B44" s="575">
        <v>17</v>
      </c>
      <c r="C44" s="575"/>
      <c r="D44" s="981" t="s">
        <v>892</v>
      </c>
      <c r="E44" s="638" t="s">
        <v>429</v>
      </c>
      <c r="F44" s="638" t="s">
        <v>572</v>
      </c>
      <c r="G44" s="638" t="s">
        <v>254</v>
      </c>
      <c r="H44" s="981" t="s">
        <v>516</v>
      </c>
      <c r="I44" s="606" t="s">
        <v>621</v>
      </c>
      <c r="J44" s="993">
        <f>W44/'4.Doanh thu'!$R$60</f>
        <v>0</v>
      </c>
      <c r="K44" s="916">
        <f>IFERROR('Dinh muc'!$G$15*'3.Thanh pham'!H$78,0)</f>
        <v>0</v>
      </c>
      <c r="L44" s="916">
        <f>IFERROR('Dinh muc'!$G$15*'3.Thanh pham'!I$78,0)</f>
        <v>0</v>
      </c>
      <c r="M44" s="916">
        <f>IFERROR('Dinh muc'!$G$15*'3.Thanh pham'!J$78,0)</f>
        <v>0</v>
      </c>
      <c r="N44" s="916">
        <f>IFERROR('Dinh muc'!$G$15*'3.Thanh pham'!K$78,0)</f>
        <v>0</v>
      </c>
      <c r="O44" s="916">
        <f>IFERROR('Dinh muc'!$G$15*'3.Thanh pham'!L$78,0)</f>
        <v>0</v>
      </c>
      <c r="P44" s="916">
        <f>IFERROR('Dinh muc'!$G$15*'3.Thanh pham'!M$78,0)</f>
        <v>0</v>
      </c>
      <c r="Q44" s="916">
        <f>IFERROR('Dinh muc'!$G$15*'3.Thanh pham'!N$78,0)</f>
        <v>0</v>
      </c>
      <c r="R44" s="916">
        <f>IFERROR('Dinh muc'!$G$15*'3.Thanh pham'!O$78,0)</f>
        <v>0</v>
      </c>
      <c r="S44" s="916">
        <f>IFERROR('Dinh muc'!$G$15*'3.Thanh pham'!P$78,0)</f>
        <v>0</v>
      </c>
      <c r="T44" s="916">
        <f>IFERROR('Dinh muc'!$G$15*'3.Thanh pham'!Q$78,0)</f>
        <v>0</v>
      </c>
      <c r="U44" s="916">
        <f>IFERROR('Dinh muc'!$G$15*'3.Thanh pham'!R$78,0)</f>
        <v>0</v>
      </c>
      <c r="V44" s="916">
        <f>IFERROR('Dinh muc'!$G$15*'3.Thanh pham'!S$78,0)</f>
        <v>0</v>
      </c>
      <c r="W44" s="982">
        <f t="shared" si="80"/>
        <v>0</v>
      </c>
      <c r="Y44" s="916"/>
      <c r="Z44" s="916"/>
      <c r="AA44" s="916"/>
      <c r="AB44" s="916"/>
      <c r="AC44" s="916"/>
      <c r="AD44" s="916"/>
      <c r="AE44" s="916"/>
      <c r="AF44" s="916"/>
      <c r="AG44" s="916"/>
      <c r="AH44" s="916"/>
      <c r="AI44" s="916"/>
      <c r="AJ44" s="916"/>
      <c r="AK44" s="982">
        <f t="shared" si="79"/>
        <v>0</v>
      </c>
      <c r="AM44" s="916"/>
      <c r="AO44" s="916"/>
      <c r="AQ44" s="916">
        <f t="shared" si="12"/>
        <v>0</v>
      </c>
      <c r="AR44" s="994">
        <f t="shared" si="13"/>
        <v>0</v>
      </c>
    </row>
    <row r="45" spans="2:44" outlineLevel="1" x14ac:dyDescent="0.25">
      <c r="B45" s="575">
        <v>18</v>
      </c>
      <c r="C45" s="575"/>
      <c r="D45" s="981" t="s">
        <v>892</v>
      </c>
      <c r="E45" s="638" t="s">
        <v>429</v>
      </c>
      <c r="F45" s="638" t="s">
        <v>572</v>
      </c>
      <c r="G45" s="638" t="s">
        <v>1591</v>
      </c>
      <c r="H45" s="981" t="s">
        <v>516</v>
      </c>
      <c r="I45" s="606" t="s">
        <v>621</v>
      </c>
      <c r="J45" s="993">
        <f>W45/'4.Doanh thu'!$R$60</f>
        <v>2.7658098330836101E-3</v>
      </c>
      <c r="K45" s="916">
        <f>IFERROR('Dinh muc'!$G$16*'3.Thanh pham'!H$78,0)</f>
        <v>20659354.838709679</v>
      </c>
      <c r="L45" s="916">
        <f>IFERROR('Dinh muc'!$G$16*'3.Thanh pham'!I$78,0)</f>
        <v>15494516.129032258</v>
      </c>
      <c r="M45" s="916">
        <f>IFERROR('Dinh muc'!$G$16*'3.Thanh pham'!J$78,0)</f>
        <v>22380967.741935484</v>
      </c>
      <c r="N45" s="916">
        <f>IFERROR('Dinh muc'!$G$16*'3.Thanh pham'!K$78,0)</f>
        <v>24102580.64516129</v>
      </c>
      <c r="O45" s="916">
        <f>IFERROR('Dinh muc'!$G$16*'3.Thanh pham'!L$78,0)</f>
        <v>24102580.64516129</v>
      </c>
      <c r="P45" s="916">
        <f>IFERROR('Dinh muc'!$G$16*'3.Thanh pham'!M$78,0)</f>
        <v>24102580.64516129</v>
      </c>
      <c r="Q45" s="916">
        <f>IFERROR('Dinh muc'!$G$16*'3.Thanh pham'!N$78,0)</f>
        <v>24102580.64516129</v>
      </c>
      <c r="R45" s="916">
        <f>IFERROR('Dinh muc'!$G$16*'3.Thanh pham'!O$78,0)</f>
        <v>24102580.64516129</v>
      </c>
      <c r="S45" s="916">
        <f>IFERROR('Dinh muc'!$G$16*'3.Thanh pham'!P$78,0)</f>
        <v>24102580.64516129</v>
      </c>
      <c r="T45" s="916">
        <f>IFERROR('Dinh muc'!$G$16*'3.Thanh pham'!Q$78,0)</f>
        <v>24102580.64516129</v>
      </c>
      <c r="U45" s="916">
        <f>IFERROR('Dinh muc'!$G$16*'3.Thanh pham'!R$78,0)</f>
        <v>24102580.64516129</v>
      </c>
      <c r="V45" s="916">
        <f>IFERROR('Dinh muc'!$G$16*'3.Thanh pham'!S$78,0)</f>
        <v>24102580.64516129</v>
      </c>
      <c r="W45" s="982">
        <f t="shared" si="80"/>
        <v>275458064.51612908</v>
      </c>
      <c r="Y45" s="916"/>
      <c r="Z45" s="916"/>
      <c r="AA45" s="916"/>
      <c r="AB45" s="916"/>
      <c r="AC45" s="916"/>
      <c r="AD45" s="916"/>
      <c r="AE45" s="916"/>
      <c r="AF45" s="916"/>
      <c r="AG45" s="916"/>
      <c r="AH45" s="916"/>
      <c r="AI45" s="916"/>
      <c r="AJ45" s="916"/>
      <c r="AK45" s="982">
        <f t="shared" si="79"/>
        <v>0</v>
      </c>
      <c r="AM45" s="916"/>
      <c r="AO45" s="916">
        <v>0</v>
      </c>
      <c r="AQ45" s="916">
        <f t="shared" si="12"/>
        <v>275458064.51612908</v>
      </c>
      <c r="AR45" s="994">
        <f t="shared" si="13"/>
        <v>0</v>
      </c>
    </row>
    <row r="46" spans="2:44" x14ac:dyDescent="0.25">
      <c r="B46" s="575">
        <v>19</v>
      </c>
      <c r="C46" s="575"/>
      <c r="D46" s="981" t="s">
        <v>901</v>
      </c>
      <c r="E46" s="638" t="s">
        <v>902</v>
      </c>
      <c r="F46" s="638" t="s">
        <v>572</v>
      </c>
      <c r="G46" s="638" t="s">
        <v>1948</v>
      </c>
      <c r="H46" s="981" t="s">
        <v>516</v>
      </c>
      <c r="I46" s="606" t="s">
        <v>623</v>
      </c>
      <c r="J46" s="916"/>
      <c r="K46" s="916"/>
      <c r="L46" s="916"/>
      <c r="M46" s="916"/>
      <c r="N46" s="916"/>
      <c r="O46" s="916"/>
      <c r="P46" s="916"/>
      <c r="Q46" s="916"/>
      <c r="R46" s="916"/>
      <c r="S46" s="916"/>
      <c r="T46" s="916"/>
      <c r="U46" s="916"/>
      <c r="V46" s="916"/>
      <c r="W46" s="982">
        <f t="shared" si="80"/>
        <v>0</v>
      </c>
      <c r="Y46" s="916"/>
      <c r="Z46" s="916"/>
      <c r="AA46" s="916"/>
      <c r="AB46" s="916"/>
      <c r="AC46" s="916"/>
      <c r="AD46" s="916"/>
      <c r="AE46" s="916"/>
      <c r="AF46" s="916"/>
      <c r="AG46" s="916"/>
      <c r="AH46" s="916"/>
      <c r="AI46" s="916"/>
      <c r="AJ46" s="916"/>
      <c r="AK46" s="982">
        <f t="shared" si="79"/>
        <v>0</v>
      </c>
      <c r="AM46" s="982"/>
      <c r="AO46" s="982"/>
      <c r="AQ46" s="915">
        <f t="shared" si="12"/>
        <v>0</v>
      </c>
      <c r="AR46" s="993">
        <f t="shared" si="13"/>
        <v>0</v>
      </c>
    </row>
    <row r="47" spans="2:44" hidden="1" outlineLevel="1" x14ac:dyDescent="0.25">
      <c r="B47" s="575">
        <v>20</v>
      </c>
      <c r="C47" s="575"/>
      <c r="D47" s="981" t="s">
        <v>1084</v>
      </c>
      <c r="E47" s="638" t="s">
        <v>450</v>
      </c>
      <c r="F47" s="638" t="s">
        <v>573</v>
      </c>
      <c r="G47" s="638" t="s">
        <v>87</v>
      </c>
      <c r="H47" s="981" t="s">
        <v>517</v>
      </c>
      <c r="I47" s="606" t="s">
        <v>621</v>
      </c>
      <c r="J47" s="993">
        <f>W47/'4.Doanh thu'!$R$60</f>
        <v>3.3189717997003311E-3</v>
      </c>
      <c r="K47" s="916">
        <f>IFERROR('Dinh muc'!$G$17*'3.Thanh pham'!H$78,0)</f>
        <v>24791225.806451615</v>
      </c>
      <c r="L47" s="916">
        <f>IFERROR('Dinh muc'!$G$17*'3.Thanh pham'!I$78,0)</f>
        <v>18593419.35483871</v>
      </c>
      <c r="M47" s="916">
        <f>IFERROR('Dinh muc'!$G$17*'3.Thanh pham'!J$78,0)</f>
        <v>26857161.290322583</v>
      </c>
      <c r="N47" s="916">
        <f>IFERROR('Dinh muc'!$G$17*'3.Thanh pham'!K$78,0)</f>
        <v>28923096.774193548</v>
      </c>
      <c r="O47" s="916">
        <f>IFERROR('Dinh muc'!$G$17*'3.Thanh pham'!L$78,0)</f>
        <v>28923096.774193548</v>
      </c>
      <c r="P47" s="916">
        <f>IFERROR('Dinh muc'!$G$17*'3.Thanh pham'!M$78,0)</f>
        <v>28923096.774193548</v>
      </c>
      <c r="Q47" s="916">
        <f>IFERROR('Dinh muc'!$G$17*'3.Thanh pham'!N$78,0)</f>
        <v>28923096.774193548</v>
      </c>
      <c r="R47" s="916">
        <f>IFERROR('Dinh muc'!$G$17*'3.Thanh pham'!O$78,0)</f>
        <v>28923096.774193548</v>
      </c>
      <c r="S47" s="916">
        <f>IFERROR('Dinh muc'!$G$17*'3.Thanh pham'!P$78,0)</f>
        <v>28923096.774193548</v>
      </c>
      <c r="T47" s="916">
        <f>IFERROR('Dinh muc'!$G$17*'3.Thanh pham'!Q$78,0)</f>
        <v>28923096.774193548</v>
      </c>
      <c r="U47" s="916">
        <f>IFERROR('Dinh muc'!$G$17*'3.Thanh pham'!R$78,0)</f>
        <v>28923096.774193548</v>
      </c>
      <c r="V47" s="916">
        <f>IFERROR('Dinh muc'!$G$17*'3.Thanh pham'!S$78,0)</f>
        <v>28923096.774193548</v>
      </c>
      <c r="W47" s="982">
        <f t="shared" si="80"/>
        <v>330549677.4193548</v>
      </c>
      <c r="Y47" s="916">
        <v>4545455</v>
      </c>
      <c r="Z47" s="916">
        <v>7272728</v>
      </c>
      <c r="AA47" s="916">
        <v>12727274</v>
      </c>
      <c r="AB47" s="916">
        <v>8181819</v>
      </c>
      <c r="AC47" s="916">
        <v>9090910</v>
      </c>
      <c r="AD47" s="916">
        <v>10909099</v>
      </c>
      <c r="AE47" s="916">
        <v>17592594</v>
      </c>
      <c r="AF47" s="916">
        <v>20370372</v>
      </c>
      <c r="AG47" s="916">
        <v>16947376</v>
      </c>
      <c r="AH47" s="916">
        <v>19682972.13622291</v>
      </c>
      <c r="AI47" s="916">
        <v>19682972.13622291</v>
      </c>
      <c r="AJ47" s="916">
        <v>19682972.13622291</v>
      </c>
      <c r="AK47" s="982">
        <f t="shared" si="79"/>
        <v>166686543.40866873</v>
      </c>
      <c r="AM47" s="916">
        <v>69627505</v>
      </c>
      <c r="AO47" s="916">
        <v>83674069</v>
      </c>
      <c r="AQ47" s="916">
        <f t="shared" si="12"/>
        <v>163863134.01068607</v>
      </c>
      <c r="AR47" s="994">
        <f t="shared" si="13"/>
        <v>0.98306156369767383</v>
      </c>
    </row>
    <row r="48" spans="2:44" hidden="1" outlineLevel="1" x14ac:dyDescent="0.25">
      <c r="B48" s="580"/>
      <c r="C48" s="580"/>
      <c r="D48" s="581"/>
      <c r="E48" s="582"/>
      <c r="F48" s="582"/>
      <c r="G48" s="582"/>
      <c r="H48" s="581"/>
      <c r="I48" s="607"/>
      <c r="J48" s="583"/>
      <c r="K48" s="583"/>
      <c r="L48" s="583"/>
      <c r="M48" s="583"/>
      <c r="N48" s="583"/>
      <c r="O48" s="583"/>
      <c r="P48" s="583"/>
      <c r="Q48" s="583"/>
      <c r="R48" s="583"/>
      <c r="S48" s="583"/>
      <c r="T48" s="583"/>
      <c r="U48" s="583"/>
      <c r="V48" s="583"/>
      <c r="W48" s="595"/>
      <c r="Y48" s="583"/>
      <c r="Z48" s="583"/>
      <c r="AA48" s="583"/>
      <c r="AB48" s="583"/>
      <c r="AC48" s="583"/>
      <c r="AD48" s="583"/>
      <c r="AE48" s="583"/>
      <c r="AF48" s="583"/>
      <c r="AG48" s="583"/>
      <c r="AH48" s="583"/>
      <c r="AI48" s="583"/>
      <c r="AJ48" s="583"/>
      <c r="AK48" s="594">
        <f t="shared" si="79"/>
        <v>0</v>
      </c>
      <c r="AM48" s="583"/>
      <c r="AO48" s="583"/>
      <c r="AQ48" s="583">
        <f t="shared" si="12"/>
        <v>0</v>
      </c>
      <c r="AR48" s="987">
        <f t="shared" si="13"/>
        <v>0</v>
      </c>
    </row>
    <row r="49" spans="2:44" s="37" customFormat="1" ht="22.75" hidden="1" customHeight="1" outlineLevel="1" x14ac:dyDescent="0.35">
      <c r="B49" s="394" t="s">
        <v>210</v>
      </c>
      <c r="C49" s="472"/>
      <c r="D49" s="476"/>
      <c r="E49" s="477" t="s">
        <v>619</v>
      </c>
      <c r="F49" s="478"/>
      <c r="G49" s="477"/>
      <c r="H49" s="477"/>
      <c r="I49" s="608"/>
      <c r="J49" s="569">
        <f>SUM(J50:J70)</f>
        <v>0</v>
      </c>
      <c r="K49" s="395">
        <f>SUM(K50:K70)</f>
        <v>0</v>
      </c>
      <c r="L49" s="395">
        <f t="shared" ref="L49:W49" si="83">SUM(L50:L70)</f>
        <v>0</v>
      </c>
      <c r="M49" s="395">
        <f t="shared" si="83"/>
        <v>0</v>
      </c>
      <c r="N49" s="395">
        <f t="shared" si="83"/>
        <v>0</v>
      </c>
      <c r="O49" s="395">
        <f t="shared" si="83"/>
        <v>0</v>
      </c>
      <c r="P49" s="395">
        <f t="shared" si="83"/>
        <v>0</v>
      </c>
      <c r="Q49" s="395">
        <f t="shared" si="83"/>
        <v>0</v>
      </c>
      <c r="R49" s="395">
        <f t="shared" si="83"/>
        <v>0</v>
      </c>
      <c r="S49" s="395">
        <f t="shared" si="83"/>
        <v>0</v>
      </c>
      <c r="T49" s="395">
        <f t="shared" si="83"/>
        <v>0</v>
      </c>
      <c r="U49" s="395">
        <f t="shared" si="83"/>
        <v>0</v>
      </c>
      <c r="V49" s="395">
        <f t="shared" si="83"/>
        <v>0</v>
      </c>
      <c r="W49" s="395">
        <f t="shared" si="83"/>
        <v>0</v>
      </c>
      <c r="Y49" s="395">
        <f t="shared" ref="Y49:AK49" si="84">SUM(Y50:Y70)</f>
        <v>0</v>
      </c>
      <c r="Z49" s="395">
        <f t="shared" si="84"/>
        <v>0</v>
      </c>
      <c r="AA49" s="395">
        <f t="shared" si="84"/>
        <v>0</v>
      </c>
      <c r="AB49" s="395">
        <f t="shared" si="84"/>
        <v>0</v>
      </c>
      <c r="AC49" s="395">
        <f t="shared" si="84"/>
        <v>0</v>
      </c>
      <c r="AD49" s="395">
        <f t="shared" si="84"/>
        <v>0</v>
      </c>
      <c r="AE49" s="395">
        <f t="shared" si="84"/>
        <v>0</v>
      </c>
      <c r="AF49" s="395">
        <f t="shared" si="84"/>
        <v>0</v>
      </c>
      <c r="AG49" s="395">
        <f t="shared" si="84"/>
        <v>0</v>
      </c>
      <c r="AH49" s="395">
        <f t="shared" si="84"/>
        <v>0</v>
      </c>
      <c r="AI49" s="395">
        <f t="shared" si="84"/>
        <v>0</v>
      </c>
      <c r="AJ49" s="395">
        <f t="shared" si="84"/>
        <v>0</v>
      </c>
      <c r="AK49" s="395">
        <f t="shared" si="84"/>
        <v>0</v>
      </c>
      <c r="AM49" s="395">
        <f>SUM(AM50:AM70)</f>
        <v>0</v>
      </c>
      <c r="AO49" s="395">
        <f>SUM(AO50:AO70)</f>
        <v>0</v>
      </c>
      <c r="AQ49" s="395">
        <f t="shared" si="12"/>
        <v>0</v>
      </c>
      <c r="AR49" s="985">
        <f t="shared" si="13"/>
        <v>0</v>
      </c>
    </row>
    <row r="50" spans="2:44" hidden="1" outlineLevel="2" x14ac:dyDescent="0.25">
      <c r="B50" s="570">
        <v>1</v>
      </c>
      <c r="C50" s="570"/>
      <c r="D50" s="571">
        <v>6220002601</v>
      </c>
      <c r="E50" s="572" t="s">
        <v>454</v>
      </c>
      <c r="F50" s="572" t="s">
        <v>569</v>
      </c>
      <c r="G50" s="572" t="s">
        <v>454</v>
      </c>
      <c r="H50" s="571" t="s">
        <v>521</v>
      </c>
      <c r="I50" s="605" t="s">
        <v>612</v>
      </c>
      <c r="J50" s="915"/>
      <c r="K50" s="574">
        <f>LUONG!F188</f>
        <v>0</v>
      </c>
      <c r="L50" s="574">
        <f>LUONG!G188</f>
        <v>0</v>
      </c>
      <c r="M50" s="574">
        <f>LUONG!H188</f>
        <v>0</v>
      </c>
      <c r="N50" s="574">
        <f>LUONG!I188</f>
        <v>0</v>
      </c>
      <c r="O50" s="574">
        <f>LUONG!J188</f>
        <v>0</v>
      </c>
      <c r="P50" s="574">
        <f>LUONG!K188</f>
        <v>0</v>
      </c>
      <c r="Q50" s="574">
        <f>LUONG!L188</f>
        <v>0</v>
      </c>
      <c r="R50" s="574">
        <f>LUONG!M188</f>
        <v>0</v>
      </c>
      <c r="S50" s="574">
        <f>LUONG!N188</f>
        <v>0</v>
      </c>
      <c r="T50" s="574">
        <f>LUONG!O188</f>
        <v>0</v>
      </c>
      <c r="U50" s="574">
        <f>LUONG!P188</f>
        <v>0</v>
      </c>
      <c r="V50" s="574">
        <f>LUONG!Q188</f>
        <v>0</v>
      </c>
      <c r="W50" s="593">
        <f>LUONG!R188</f>
        <v>0</v>
      </c>
      <c r="Y50" s="574"/>
      <c r="Z50" s="574"/>
      <c r="AA50" s="574"/>
      <c r="AB50" s="574"/>
      <c r="AC50" s="574"/>
      <c r="AD50" s="574"/>
      <c r="AE50" s="574"/>
      <c r="AF50" s="574"/>
      <c r="AG50" s="574"/>
      <c r="AH50" s="574"/>
      <c r="AI50" s="574"/>
      <c r="AJ50" s="574"/>
      <c r="AK50" s="594">
        <f t="shared" si="79"/>
        <v>0</v>
      </c>
      <c r="AM50" s="593"/>
      <c r="AO50" s="593"/>
      <c r="AQ50" s="574">
        <f t="shared" si="12"/>
        <v>0</v>
      </c>
      <c r="AR50" s="946">
        <f t="shared" si="13"/>
        <v>0</v>
      </c>
    </row>
    <row r="51" spans="2:44" hidden="1" outlineLevel="2" x14ac:dyDescent="0.25">
      <c r="B51" s="575">
        <v>2</v>
      </c>
      <c r="C51" s="575"/>
      <c r="D51" s="576">
        <v>6220002602</v>
      </c>
      <c r="E51" s="577" t="s">
        <v>455</v>
      </c>
      <c r="F51" s="577" t="s">
        <v>569</v>
      </c>
      <c r="G51" s="577" t="s">
        <v>455</v>
      </c>
      <c r="H51" s="576" t="s">
        <v>521</v>
      </c>
      <c r="I51" s="606" t="s">
        <v>612</v>
      </c>
      <c r="J51" s="916"/>
      <c r="K51" s="579">
        <f>LUONG!F189</f>
        <v>0</v>
      </c>
      <c r="L51" s="579">
        <f>LUONG!G189</f>
        <v>0</v>
      </c>
      <c r="M51" s="579">
        <f>LUONG!H189</f>
        <v>0</v>
      </c>
      <c r="N51" s="579">
        <f>LUONG!I189</f>
        <v>0</v>
      </c>
      <c r="O51" s="579">
        <f>LUONG!J189</f>
        <v>0</v>
      </c>
      <c r="P51" s="579">
        <f>LUONG!K189</f>
        <v>0</v>
      </c>
      <c r="Q51" s="579">
        <f>LUONG!L189</f>
        <v>0</v>
      </c>
      <c r="R51" s="579">
        <f>LUONG!M189</f>
        <v>0</v>
      </c>
      <c r="S51" s="579">
        <f>LUONG!N189</f>
        <v>0</v>
      </c>
      <c r="T51" s="579">
        <f>LUONG!O189</f>
        <v>0</v>
      </c>
      <c r="U51" s="579">
        <f>LUONG!P189</f>
        <v>0</v>
      </c>
      <c r="V51" s="579">
        <f>LUONG!Q189</f>
        <v>0</v>
      </c>
      <c r="W51" s="594">
        <f>LUONG!R189</f>
        <v>0</v>
      </c>
      <c r="Y51" s="579"/>
      <c r="Z51" s="579"/>
      <c r="AA51" s="579"/>
      <c r="AB51" s="579"/>
      <c r="AC51" s="579"/>
      <c r="AD51" s="579"/>
      <c r="AE51" s="579"/>
      <c r="AF51" s="579"/>
      <c r="AG51" s="579"/>
      <c r="AH51" s="579"/>
      <c r="AI51" s="579"/>
      <c r="AJ51" s="579"/>
      <c r="AK51" s="594">
        <f t="shared" si="79"/>
        <v>0</v>
      </c>
      <c r="AM51" s="594"/>
      <c r="AO51" s="594"/>
      <c r="AQ51" s="574">
        <f t="shared" si="12"/>
        <v>0</v>
      </c>
      <c r="AR51" s="986">
        <f t="shared" si="13"/>
        <v>0</v>
      </c>
    </row>
    <row r="52" spans="2:44" hidden="1" outlineLevel="2" x14ac:dyDescent="0.25">
      <c r="B52" s="575">
        <v>3</v>
      </c>
      <c r="C52" s="575"/>
      <c r="D52" s="576">
        <v>6220002802</v>
      </c>
      <c r="E52" s="577" t="s">
        <v>458</v>
      </c>
      <c r="F52" s="577" t="s">
        <v>570</v>
      </c>
      <c r="G52" s="577" t="s">
        <v>458</v>
      </c>
      <c r="H52" s="576" t="s">
        <v>521</v>
      </c>
      <c r="I52" s="606" t="s">
        <v>612</v>
      </c>
      <c r="J52" s="916"/>
      <c r="K52" s="579">
        <f>LUONG!F190</f>
        <v>0</v>
      </c>
      <c r="L52" s="579">
        <f>LUONG!G190</f>
        <v>0</v>
      </c>
      <c r="M52" s="579">
        <f>LUONG!H190</f>
        <v>0</v>
      </c>
      <c r="N52" s="579">
        <f>LUONG!I190</f>
        <v>0</v>
      </c>
      <c r="O52" s="579">
        <f>LUONG!J190</f>
        <v>0</v>
      </c>
      <c r="P52" s="579">
        <f>LUONG!K190</f>
        <v>0</v>
      </c>
      <c r="Q52" s="579">
        <f>LUONG!L190</f>
        <v>0</v>
      </c>
      <c r="R52" s="579">
        <f>LUONG!M190</f>
        <v>0</v>
      </c>
      <c r="S52" s="579">
        <f>LUONG!N190</f>
        <v>0</v>
      </c>
      <c r="T52" s="579">
        <f>LUONG!O190</f>
        <v>0</v>
      </c>
      <c r="U52" s="579">
        <f>LUONG!P190</f>
        <v>0</v>
      </c>
      <c r="V52" s="579">
        <f>LUONG!Q190</f>
        <v>0</v>
      </c>
      <c r="W52" s="594">
        <f>LUONG!R190</f>
        <v>0</v>
      </c>
      <c r="Y52" s="579"/>
      <c r="Z52" s="579"/>
      <c r="AA52" s="579"/>
      <c r="AB52" s="579"/>
      <c r="AC52" s="579"/>
      <c r="AD52" s="579"/>
      <c r="AE52" s="579"/>
      <c r="AF52" s="579"/>
      <c r="AG52" s="579"/>
      <c r="AH52" s="579"/>
      <c r="AI52" s="579"/>
      <c r="AJ52" s="579"/>
      <c r="AK52" s="594">
        <f t="shared" si="79"/>
        <v>0</v>
      </c>
      <c r="AM52" s="594"/>
      <c r="AO52" s="594"/>
      <c r="AQ52" s="574">
        <f t="shared" si="12"/>
        <v>0</v>
      </c>
      <c r="AR52" s="986">
        <f t="shared" si="13"/>
        <v>0</v>
      </c>
    </row>
    <row r="53" spans="2:44" hidden="1" outlineLevel="2" x14ac:dyDescent="0.25">
      <c r="B53" s="575">
        <v>4</v>
      </c>
      <c r="C53" s="575"/>
      <c r="D53" s="576">
        <v>6220002806</v>
      </c>
      <c r="E53" s="577" t="s">
        <v>471</v>
      </c>
      <c r="F53" s="577" t="s">
        <v>569</v>
      </c>
      <c r="G53" s="577" t="s">
        <v>471</v>
      </c>
      <c r="H53" s="576" t="s">
        <v>521</v>
      </c>
      <c r="I53" s="606" t="s">
        <v>612</v>
      </c>
      <c r="J53" s="916"/>
      <c r="K53" s="579">
        <f>LUONG!F191</f>
        <v>0</v>
      </c>
      <c r="L53" s="579">
        <f>LUONG!G191</f>
        <v>0</v>
      </c>
      <c r="M53" s="579">
        <f>LUONG!H191</f>
        <v>0</v>
      </c>
      <c r="N53" s="579">
        <f>LUONG!I191</f>
        <v>0</v>
      </c>
      <c r="O53" s="579">
        <f>LUONG!J191</f>
        <v>0</v>
      </c>
      <c r="P53" s="579">
        <f>LUONG!K191</f>
        <v>0</v>
      </c>
      <c r="Q53" s="579">
        <f>LUONG!L191</f>
        <v>0</v>
      </c>
      <c r="R53" s="579">
        <f>LUONG!M191</f>
        <v>0</v>
      </c>
      <c r="S53" s="579">
        <f>LUONG!N191</f>
        <v>0</v>
      </c>
      <c r="T53" s="579">
        <f>LUONG!O191</f>
        <v>0</v>
      </c>
      <c r="U53" s="579">
        <f>LUONG!P191</f>
        <v>0</v>
      </c>
      <c r="V53" s="579">
        <f>LUONG!Q191</f>
        <v>0</v>
      </c>
      <c r="W53" s="594">
        <f>LUONG!R191</f>
        <v>0</v>
      </c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94">
        <f t="shared" si="79"/>
        <v>0</v>
      </c>
      <c r="AM53" s="594"/>
      <c r="AO53" s="594"/>
      <c r="AQ53" s="574">
        <f t="shared" si="12"/>
        <v>0</v>
      </c>
      <c r="AR53" s="986">
        <f t="shared" si="13"/>
        <v>0</v>
      </c>
    </row>
    <row r="54" spans="2:44" hidden="1" outlineLevel="2" x14ac:dyDescent="0.25">
      <c r="B54" s="575">
        <v>5</v>
      </c>
      <c r="C54" s="575"/>
      <c r="D54" s="576">
        <v>6220007202</v>
      </c>
      <c r="E54" s="577" t="s">
        <v>431</v>
      </c>
      <c r="F54" s="577" t="s">
        <v>570</v>
      </c>
      <c r="G54" s="577" t="s">
        <v>431</v>
      </c>
      <c r="H54" s="576" t="s">
        <v>521</v>
      </c>
      <c r="I54" s="606" t="s">
        <v>612</v>
      </c>
      <c r="J54" s="916"/>
      <c r="K54" s="579">
        <f>LUONG!F192</f>
        <v>0</v>
      </c>
      <c r="L54" s="579">
        <f>LUONG!G192</f>
        <v>0</v>
      </c>
      <c r="M54" s="579">
        <f>LUONG!H192</f>
        <v>0</v>
      </c>
      <c r="N54" s="579">
        <f>LUONG!I192</f>
        <v>0</v>
      </c>
      <c r="O54" s="579">
        <f>LUONG!J192</f>
        <v>0</v>
      </c>
      <c r="P54" s="579">
        <f>LUONG!K192</f>
        <v>0</v>
      </c>
      <c r="Q54" s="579">
        <f>LUONG!L192</f>
        <v>0</v>
      </c>
      <c r="R54" s="579">
        <f>LUONG!M192</f>
        <v>0</v>
      </c>
      <c r="S54" s="579">
        <f>LUONG!N192</f>
        <v>0</v>
      </c>
      <c r="T54" s="579">
        <f>LUONG!O192</f>
        <v>0</v>
      </c>
      <c r="U54" s="579">
        <f>LUONG!P192</f>
        <v>0</v>
      </c>
      <c r="V54" s="579">
        <f>LUONG!Q192</f>
        <v>0</v>
      </c>
      <c r="W54" s="594">
        <f>LUONG!R192</f>
        <v>0</v>
      </c>
      <c r="Y54" s="579"/>
      <c r="Z54" s="579"/>
      <c r="AA54" s="579"/>
      <c r="AB54" s="579"/>
      <c r="AC54" s="579"/>
      <c r="AD54" s="579"/>
      <c r="AE54" s="579"/>
      <c r="AF54" s="579"/>
      <c r="AG54" s="579"/>
      <c r="AH54" s="579"/>
      <c r="AI54" s="579"/>
      <c r="AJ54" s="579"/>
      <c r="AK54" s="594">
        <f t="shared" si="79"/>
        <v>0</v>
      </c>
      <c r="AM54" s="594"/>
      <c r="AO54" s="594"/>
      <c r="AQ54" s="574">
        <f t="shared" si="12"/>
        <v>0</v>
      </c>
      <c r="AR54" s="986">
        <f t="shared" si="13"/>
        <v>0</v>
      </c>
    </row>
    <row r="55" spans="2:44" hidden="1" outlineLevel="2" x14ac:dyDescent="0.25">
      <c r="B55" s="575">
        <v>6</v>
      </c>
      <c r="C55" s="575"/>
      <c r="D55" s="576">
        <v>6220003201</v>
      </c>
      <c r="E55" s="577" t="s">
        <v>460</v>
      </c>
      <c r="F55" s="577" t="s">
        <v>570</v>
      </c>
      <c r="G55" s="577" t="s">
        <v>460</v>
      </c>
      <c r="H55" s="576" t="s">
        <v>521</v>
      </c>
      <c r="I55" s="606" t="s">
        <v>612</v>
      </c>
      <c r="J55" s="916"/>
      <c r="K55" s="579">
        <f>LUONG!F193</f>
        <v>0</v>
      </c>
      <c r="L55" s="579">
        <f>LUONG!G193</f>
        <v>0</v>
      </c>
      <c r="M55" s="579">
        <f>LUONG!H193</f>
        <v>0</v>
      </c>
      <c r="N55" s="579">
        <f>LUONG!I193</f>
        <v>0</v>
      </c>
      <c r="O55" s="579">
        <f>LUONG!J193</f>
        <v>0</v>
      </c>
      <c r="P55" s="579">
        <f>LUONG!K193</f>
        <v>0</v>
      </c>
      <c r="Q55" s="579">
        <f>LUONG!L193</f>
        <v>0</v>
      </c>
      <c r="R55" s="579">
        <f>LUONG!M193</f>
        <v>0</v>
      </c>
      <c r="S55" s="579">
        <f>LUONG!N193</f>
        <v>0</v>
      </c>
      <c r="T55" s="579">
        <f>LUONG!O193</f>
        <v>0</v>
      </c>
      <c r="U55" s="579">
        <f>LUONG!P193</f>
        <v>0</v>
      </c>
      <c r="V55" s="579">
        <f>LUONG!Q193</f>
        <v>0</v>
      </c>
      <c r="W55" s="594">
        <f>LUONG!R193</f>
        <v>0</v>
      </c>
      <c r="Y55" s="579"/>
      <c r="Z55" s="579"/>
      <c r="AA55" s="579"/>
      <c r="AB55" s="579"/>
      <c r="AC55" s="579"/>
      <c r="AD55" s="579"/>
      <c r="AE55" s="579"/>
      <c r="AF55" s="579"/>
      <c r="AG55" s="579"/>
      <c r="AH55" s="579"/>
      <c r="AI55" s="579"/>
      <c r="AJ55" s="579"/>
      <c r="AK55" s="594">
        <f t="shared" si="79"/>
        <v>0</v>
      </c>
      <c r="AM55" s="594"/>
      <c r="AO55" s="594"/>
      <c r="AQ55" s="574">
        <f t="shared" si="12"/>
        <v>0</v>
      </c>
      <c r="AR55" s="986">
        <f t="shared" si="13"/>
        <v>0</v>
      </c>
    </row>
    <row r="56" spans="2:44" hidden="1" outlineLevel="2" x14ac:dyDescent="0.25">
      <c r="B56" s="575">
        <v>7</v>
      </c>
      <c r="C56" s="575"/>
      <c r="D56" s="576">
        <v>6220002603</v>
      </c>
      <c r="E56" s="577" t="s">
        <v>459</v>
      </c>
      <c r="F56" s="577" t="s">
        <v>569</v>
      </c>
      <c r="G56" s="577" t="s">
        <v>459</v>
      </c>
      <c r="H56" s="576" t="s">
        <v>521</v>
      </c>
      <c r="I56" s="606" t="s">
        <v>612</v>
      </c>
      <c r="J56" s="916"/>
      <c r="K56" s="579">
        <f>LUONG!F194</f>
        <v>0</v>
      </c>
      <c r="L56" s="579">
        <f>LUONG!G194</f>
        <v>0</v>
      </c>
      <c r="M56" s="579">
        <f>LUONG!H194</f>
        <v>0</v>
      </c>
      <c r="N56" s="579">
        <f>LUONG!I194</f>
        <v>0</v>
      </c>
      <c r="O56" s="579">
        <f>LUONG!J194</f>
        <v>0</v>
      </c>
      <c r="P56" s="579">
        <f>LUONG!K194</f>
        <v>0</v>
      </c>
      <c r="Q56" s="579">
        <f>LUONG!L194</f>
        <v>0</v>
      </c>
      <c r="R56" s="579">
        <f>LUONG!M194</f>
        <v>0</v>
      </c>
      <c r="S56" s="579">
        <f>LUONG!N194</f>
        <v>0</v>
      </c>
      <c r="T56" s="579">
        <f>LUONG!O194</f>
        <v>0</v>
      </c>
      <c r="U56" s="579">
        <f>LUONG!P194</f>
        <v>0</v>
      </c>
      <c r="V56" s="579">
        <f>LUONG!Q194</f>
        <v>0</v>
      </c>
      <c r="W56" s="594">
        <f>LUONG!R194</f>
        <v>0</v>
      </c>
      <c r="Y56" s="579"/>
      <c r="Z56" s="579"/>
      <c r="AA56" s="579"/>
      <c r="AB56" s="579"/>
      <c r="AC56" s="579"/>
      <c r="AD56" s="579"/>
      <c r="AE56" s="579"/>
      <c r="AF56" s="579"/>
      <c r="AG56" s="579"/>
      <c r="AH56" s="579"/>
      <c r="AI56" s="579"/>
      <c r="AJ56" s="579"/>
      <c r="AK56" s="594">
        <f t="shared" si="79"/>
        <v>0</v>
      </c>
      <c r="AM56" s="594"/>
      <c r="AO56" s="594"/>
      <c r="AQ56" s="574">
        <f t="shared" si="12"/>
        <v>0</v>
      </c>
      <c r="AR56" s="986">
        <f t="shared" si="13"/>
        <v>0</v>
      </c>
    </row>
    <row r="57" spans="2:44" hidden="1" outlineLevel="2" x14ac:dyDescent="0.25">
      <c r="B57" s="575">
        <v>8</v>
      </c>
      <c r="C57" s="575"/>
      <c r="D57" s="576">
        <v>6220003401</v>
      </c>
      <c r="E57" s="577" t="s">
        <v>456</v>
      </c>
      <c r="F57" s="577" t="s">
        <v>570</v>
      </c>
      <c r="G57" s="577" t="s">
        <v>456</v>
      </c>
      <c r="H57" s="576" t="s">
        <v>521</v>
      </c>
      <c r="I57" s="606" t="s">
        <v>612</v>
      </c>
      <c r="J57" s="916"/>
      <c r="K57" s="579">
        <f>LUONG!F195</f>
        <v>0</v>
      </c>
      <c r="L57" s="579">
        <f>LUONG!G195</f>
        <v>0</v>
      </c>
      <c r="M57" s="579">
        <f>LUONG!H195</f>
        <v>0</v>
      </c>
      <c r="N57" s="579">
        <f>LUONG!I195</f>
        <v>0</v>
      </c>
      <c r="O57" s="579">
        <f>LUONG!J195</f>
        <v>0</v>
      </c>
      <c r="P57" s="579">
        <f>LUONG!K195</f>
        <v>0</v>
      </c>
      <c r="Q57" s="579">
        <f>LUONG!L195</f>
        <v>0</v>
      </c>
      <c r="R57" s="579">
        <f>LUONG!M195</f>
        <v>0</v>
      </c>
      <c r="S57" s="579">
        <f>LUONG!N195</f>
        <v>0</v>
      </c>
      <c r="T57" s="579">
        <f>LUONG!O195</f>
        <v>0</v>
      </c>
      <c r="U57" s="579">
        <f>LUONG!P195</f>
        <v>0</v>
      </c>
      <c r="V57" s="579">
        <f>LUONG!Q195</f>
        <v>0</v>
      </c>
      <c r="W57" s="594">
        <f>LUONG!R195</f>
        <v>0</v>
      </c>
      <c r="Y57" s="579"/>
      <c r="Z57" s="579"/>
      <c r="AA57" s="579"/>
      <c r="AB57" s="579"/>
      <c r="AC57" s="579"/>
      <c r="AD57" s="579"/>
      <c r="AE57" s="579"/>
      <c r="AF57" s="579"/>
      <c r="AG57" s="579"/>
      <c r="AH57" s="579"/>
      <c r="AI57" s="579"/>
      <c r="AJ57" s="579"/>
      <c r="AK57" s="594">
        <f t="shared" si="79"/>
        <v>0</v>
      </c>
      <c r="AM57" s="594"/>
      <c r="AO57" s="594"/>
      <c r="AQ57" s="574">
        <f t="shared" si="12"/>
        <v>0</v>
      </c>
      <c r="AR57" s="986">
        <f t="shared" si="13"/>
        <v>0</v>
      </c>
    </row>
    <row r="58" spans="2:44" hidden="1" outlineLevel="2" x14ac:dyDescent="0.25">
      <c r="B58" s="575">
        <v>9</v>
      </c>
      <c r="C58" s="575"/>
      <c r="D58" s="576">
        <v>6220002701</v>
      </c>
      <c r="E58" s="577" t="s">
        <v>457</v>
      </c>
      <c r="F58" s="577" t="s">
        <v>569</v>
      </c>
      <c r="G58" s="577" t="s">
        <v>457</v>
      </c>
      <c r="H58" s="576" t="s">
        <v>521</v>
      </c>
      <c r="I58" s="606" t="s">
        <v>612</v>
      </c>
      <c r="J58" s="916"/>
      <c r="K58" s="579">
        <f>LUONG!F196</f>
        <v>0</v>
      </c>
      <c r="L58" s="579">
        <f>LUONG!G196</f>
        <v>0</v>
      </c>
      <c r="M58" s="579">
        <f>LUONG!H196</f>
        <v>0</v>
      </c>
      <c r="N58" s="579">
        <f>LUONG!I196</f>
        <v>0</v>
      </c>
      <c r="O58" s="579">
        <f>LUONG!J196</f>
        <v>0</v>
      </c>
      <c r="P58" s="579">
        <f>LUONG!K196</f>
        <v>0</v>
      </c>
      <c r="Q58" s="579">
        <f>LUONG!L196</f>
        <v>0</v>
      </c>
      <c r="R58" s="579">
        <f>LUONG!M196</f>
        <v>0</v>
      </c>
      <c r="S58" s="579">
        <f>LUONG!N196</f>
        <v>0</v>
      </c>
      <c r="T58" s="579">
        <f>LUONG!O196</f>
        <v>0</v>
      </c>
      <c r="U58" s="579">
        <f>LUONG!P196</f>
        <v>0</v>
      </c>
      <c r="V58" s="579">
        <f>LUONG!Q196</f>
        <v>0</v>
      </c>
      <c r="W58" s="594">
        <f>LUONG!R196</f>
        <v>0</v>
      </c>
      <c r="Y58" s="579"/>
      <c r="Z58" s="579"/>
      <c r="AA58" s="579"/>
      <c r="AB58" s="579"/>
      <c r="AC58" s="579"/>
      <c r="AD58" s="579"/>
      <c r="AE58" s="579"/>
      <c r="AF58" s="579"/>
      <c r="AG58" s="579"/>
      <c r="AH58" s="579"/>
      <c r="AI58" s="579"/>
      <c r="AJ58" s="579"/>
      <c r="AK58" s="594">
        <f t="shared" si="79"/>
        <v>0</v>
      </c>
      <c r="AM58" s="594"/>
      <c r="AO58" s="594"/>
      <c r="AQ58" s="574">
        <f t="shared" si="12"/>
        <v>0</v>
      </c>
      <c r="AR58" s="986">
        <f t="shared" si="13"/>
        <v>0</v>
      </c>
    </row>
    <row r="59" spans="2:44" hidden="1" outlineLevel="1" x14ac:dyDescent="0.25">
      <c r="B59" s="575">
        <v>10</v>
      </c>
      <c r="C59" s="575"/>
      <c r="D59" s="981" t="s">
        <v>809</v>
      </c>
      <c r="E59" s="638" t="s">
        <v>810</v>
      </c>
      <c r="F59" s="638" t="s">
        <v>811</v>
      </c>
      <c r="G59" s="638" t="s">
        <v>810</v>
      </c>
      <c r="H59" s="981" t="s">
        <v>521</v>
      </c>
      <c r="I59" s="606" t="s">
        <v>612</v>
      </c>
      <c r="J59" s="916"/>
      <c r="K59" s="916"/>
      <c r="L59" s="916"/>
      <c r="M59" s="916"/>
      <c r="N59" s="916"/>
      <c r="O59" s="916"/>
      <c r="P59" s="916"/>
      <c r="Q59" s="916"/>
      <c r="R59" s="916"/>
      <c r="S59" s="916"/>
      <c r="T59" s="916"/>
      <c r="U59" s="916"/>
      <c r="V59" s="916"/>
      <c r="W59" s="982">
        <f t="shared" ref="W59" si="85">SUM(K59:V59)</f>
        <v>0</v>
      </c>
      <c r="Y59" s="916"/>
      <c r="Z59" s="916"/>
      <c r="AA59" s="916"/>
      <c r="AB59" s="916"/>
      <c r="AC59" s="916"/>
      <c r="AD59" s="916"/>
      <c r="AE59" s="916"/>
      <c r="AF59" s="916"/>
      <c r="AG59" s="916"/>
      <c r="AH59" s="916"/>
      <c r="AI59" s="916"/>
      <c r="AJ59" s="916"/>
      <c r="AK59" s="982"/>
      <c r="AM59" s="982"/>
      <c r="AO59" s="982"/>
      <c r="AQ59" s="915">
        <f t="shared" si="12"/>
        <v>0</v>
      </c>
      <c r="AR59" s="993">
        <f t="shared" si="13"/>
        <v>0</v>
      </c>
    </row>
    <row r="60" spans="2:44" hidden="1" outlineLevel="2" x14ac:dyDescent="0.25">
      <c r="B60" s="575">
        <v>11</v>
      </c>
      <c r="C60" s="575"/>
      <c r="D60" s="576">
        <v>6220003001</v>
      </c>
      <c r="E60" s="577" t="s">
        <v>430</v>
      </c>
      <c r="F60" s="577" t="s">
        <v>570</v>
      </c>
      <c r="G60" s="577" t="s">
        <v>430</v>
      </c>
      <c r="H60" s="576" t="s">
        <v>521</v>
      </c>
      <c r="I60" s="606" t="s">
        <v>622</v>
      </c>
      <c r="J60" s="916"/>
      <c r="K60" s="579"/>
      <c r="L60" s="579"/>
      <c r="M60" s="579"/>
      <c r="N60" s="579"/>
      <c r="O60" s="579"/>
      <c r="P60" s="579"/>
      <c r="Q60" s="579"/>
      <c r="R60" s="579"/>
      <c r="S60" s="579"/>
      <c r="T60" s="579"/>
      <c r="U60" s="579"/>
      <c r="V60" s="579"/>
      <c r="W60" s="594">
        <f t="shared" ref="W60:W63" si="86">SUM(K60:V60)</f>
        <v>0</v>
      </c>
      <c r="Y60" s="579"/>
      <c r="Z60" s="579"/>
      <c r="AA60" s="579"/>
      <c r="AB60" s="579"/>
      <c r="AC60" s="579"/>
      <c r="AD60" s="579"/>
      <c r="AE60" s="579"/>
      <c r="AF60" s="579"/>
      <c r="AG60" s="579"/>
      <c r="AH60" s="579"/>
      <c r="AI60" s="579"/>
      <c r="AJ60" s="579"/>
      <c r="AK60" s="594">
        <f t="shared" si="79"/>
        <v>0</v>
      </c>
      <c r="AM60" s="594"/>
      <c r="AO60" s="594"/>
      <c r="AQ60" s="574">
        <f t="shared" si="12"/>
        <v>0</v>
      </c>
      <c r="AR60" s="986">
        <f t="shared" si="13"/>
        <v>0</v>
      </c>
    </row>
    <row r="61" spans="2:44" hidden="1" outlineLevel="2" x14ac:dyDescent="0.25">
      <c r="B61" s="575">
        <v>12</v>
      </c>
      <c r="C61" s="575"/>
      <c r="D61" s="981">
        <v>6277003101</v>
      </c>
      <c r="E61" s="638" t="s">
        <v>441</v>
      </c>
      <c r="F61" s="638" t="s">
        <v>570</v>
      </c>
      <c r="G61" s="638" t="s">
        <v>1946</v>
      </c>
      <c r="H61" s="981" t="s">
        <v>521</v>
      </c>
      <c r="I61" s="606" t="s">
        <v>622</v>
      </c>
      <c r="J61" s="916"/>
      <c r="K61" s="916"/>
      <c r="L61" s="916"/>
      <c r="M61" s="916"/>
      <c r="N61" s="916"/>
      <c r="O61" s="916"/>
      <c r="P61" s="916"/>
      <c r="Q61" s="916"/>
      <c r="R61" s="916"/>
      <c r="S61" s="916"/>
      <c r="T61" s="916"/>
      <c r="U61" s="916"/>
      <c r="V61" s="916"/>
      <c r="W61" s="594">
        <f t="shared" si="86"/>
        <v>0</v>
      </c>
      <c r="Y61" s="916"/>
      <c r="Z61" s="916"/>
      <c r="AA61" s="916"/>
      <c r="AB61" s="916"/>
      <c r="AC61" s="916"/>
      <c r="AD61" s="916"/>
      <c r="AE61" s="916"/>
      <c r="AF61" s="916"/>
      <c r="AG61" s="916"/>
      <c r="AH61" s="916"/>
      <c r="AI61" s="916"/>
      <c r="AJ61" s="916"/>
      <c r="AK61" s="982"/>
      <c r="AM61" s="982"/>
      <c r="AO61" s="982"/>
      <c r="AQ61" s="574">
        <f t="shared" si="12"/>
        <v>0</v>
      </c>
      <c r="AR61" s="986">
        <f t="shared" ref="AR61:AR64" si="87">IFERROR((W61/AK61)-1,0)</f>
        <v>0</v>
      </c>
    </row>
    <row r="62" spans="2:44" hidden="1" outlineLevel="2" x14ac:dyDescent="0.25">
      <c r="B62" s="575">
        <v>13</v>
      </c>
      <c r="C62" s="575"/>
      <c r="D62" s="576">
        <v>6275001801</v>
      </c>
      <c r="E62" s="577" t="s">
        <v>428</v>
      </c>
      <c r="F62" s="577" t="s">
        <v>571</v>
      </c>
      <c r="G62" s="577" t="s">
        <v>428</v>
      </c>
      <c r="H62" s="576" t="s">
        <v>518</v>
      </c>
      <c r="I62" s="606" t="s">
        <v>621</v>
      </c>
      <c r="J62" s="916"/>
      <c r="K62" s="579">
        <f>IFERROR('Dinh muc'!$G$27*'3.Thanh pham'!H$136,0)</f>
        <v>0</v>
      </c>
      <c r="L62" s="579">
        <f>IFERROR('Dinh muc'!$G$27*'3.Thanh pham'!I$136,0)</f>
        <v>0</v>
      </c>
      <c r="M62" s="579">
        <f>IFERROR('Dinh muc'!$G$27*'3.Thanh pham'!J$136,0)</f>
        <v>0</v>
      </c>
      <c r="N62" s="579">
        <f>IFERROR('Dinh muc'!$G$27*'3.Thanh pham'!K$136,0)</f>
        <v>0</v>
      </c>
      <c r="O62" s="579">
        <f>IFERROR('Dinh muc'!$G$27*'3.Thanh pham'!L$136,0)</f>
        <v>0</v>
      </c>
      <c r="P62" s="579">
        <f>IFERROR('Dinh muc'!$G$27*'3.Thanh pham'!M$136,0)</f>
        <v>0</v>
      </c>
      <c r="Q62" s="579">
        <f>IFERROR('Dinh muc'!$G$27*'3.Thanh pham'!N$136,0)</f>
        <v>0</v>
      </c>
      <c r="R62" s="579">
        <f>IFERROR('Dinh muc'!$G$27*'3.Thanh pham'!O$136,0)</f>
        <v>0</v>
      </c>
      <c r="S62" s="579">
        <f>IFERROR('Dinh muc'!$G$27*'3.Thanh pham'!P$136,0)</f>
        <v>0</v>
      </c>
      <c r="T62" s="579">
        <f>IFERROR('Dinh muc'!$G$27*'3.Thanh pham'!Q$136,0)</f>
        <v>0</v>
      </c>
      <c r="U62" s="579">
        <f>IFERROR('Dinh muc'!$G$27*'3.Thanh pham'!R$136,0)</f>
        <v>0</v>
      </c>
      <c r="V62" s="579">
        <f>IFERROR('Dinh muc'!$G$27*'3.Thanh pham'!S$136,0)</f>
        <v>0</v>
      </c>
      <c r="W62" s="594">
        <f t="shared" si="86"/>
        <v>0</v>
      </c>
      <c r="Y62" s="916"/>
      <c r="Z62" s="916"/>
      <c r="AA62" s="916"/>
      <c r="AB62" s="916"/>
      <c r="AC62" s="916"/>
      <c r="AD62" s="916"/>
      <c r="AE62" s="916"/>
      <c r="AF62" s="916"/>
      <c r="AG62" s="916"/>
      <c r="AH62" s="916"/>
      <c r="AI62" s="916"/>
      <c r="AJ62" s="916"/>
      <c r="AK62" s="982">
        <f t="shared" si="79"/>
        <v>0</v>
      </c>
      <c r="AM62" s="982"/>
      <c r="AO62" s="982"/>
      <c r="AQ62" s="574">
        <f t="shared" si="12"/>
        <v>0</v>
      </c>
      <c r="AR62" s="986">
        <f t="shared" si="87"/>
        <v>0</v>
      </c>
    </row>
    <row r="63" spans="2:44" hidden="1" outlineLevel="2" x14ac:dyDescent="0.25">
      <c r="B63" s="575">
        <v>14</v>
      </c>
      <c r="C63" s="575"/>
      <c r="D63" s="576">
        <v>6272000100</v>
      </c>
      <c r="E63" s="577" t="s">
        <v>429</v>
      </c>
      <c r="F63" s="577" t="s">
        <v>572</v>
      </c>
      <c r="G63" s="577" t="s">
        <v>695</v>
      </c>
      <c r="H63" s="576" t="s">
        <v>518</v>
      </c>
      <c r="I63" s="606" t="s">
        <v>621</v>
      </c>
      <c r="J63" s="916"/>
      <c r="K63" s="579">
        <f>IFERROR('Dinh muc'!$G$28*'3.Thanh pham'!H$136,0)</f>
        <v>0</v>
      </c>
      <c r="L63" s="579">
        <f>IFERROR('Dinh muc'!$G$28*'3.Thanh pham'!I$136,0)</f>
        <v>0</v>
      </c>
      <c r="M63" s="579">
        <f>IFERROR('Dinh muc'!$G$28*'3.Thanh pham'!J$136,0)</f>
        <v>0</v>
      </c>
      <c r="N63" s="579">
        <f>IFERROR('Dinh muc'!$G$28*'3.Thanh pham'!K$136,0)</f>
        <v>0</v>
      </c>
      <c r="O63" s="579">
        <f>IFERROR('Dinh muc'!$G$28*'3.Thanh pham'!L$136,0)</f>
        <v>0</v>
      </c>
      <c r="P63" s="579">
        <f>IFERROR('Dinh muc'!$G$28*'3.Thanh pham'!M$136,0)</f>
        <v>0</v>
      </c>
      <c r="Q63" s="579">
        <f>IFERROR('Dinh muc'!$G$28*'3.Thanh pham'!N$136,0)</f>
        <v>0</v>
      </c>
      <c r="R63" s="579">
        <f>IFERROR('Dinh muc'!$G$28*'3.Thanh pham'!O$136,0)</f>
        <v>0</v>
      </c>
      <c r="S63" s="579">
        <f>IFERROR('Dinh muc'!$G$28*'3.Thanh pham'!P$136,0)</f>
        <v>0</v>
      </c>
      <c r="T63" s="579">
        <f>IFERROR('Dinh muc'!$G$28*'3.Thanh pham'!Q$136,0)</f>
        <v>0</v>
      </c>
      <c r="U63" s="579">
        <f>IFERROR('Dinh muc'!$G$28*'3.Thanh pham'!R$136,0)</f>
        <v>0</v>
      </c>
      <c r="V63" s="579">
        <f>IFERROR('Dinh muc'!$G$28*'3.Thanh pham'!S$136,0)</f>
        <v>0</v>
      </c>
      <c r="W63" s="594">
        <f t="shared" si="86"/>
        <v>0</v>
      </c>
      <c r="Y63" s="579"/>
      <c r="Z63" s="579"/>
      <c r="AA63" s="579"/>
      <c r="AB63" s="579"/>
      <c r="AC63" s="579"/>
      <c r="AD63" s="579"/>
      <c r="AE63" s="579"/>
      <c r="AF63" s="579"/>
      <c r="AG63" s="579"/>
      <c r="AH63" s="579"/>
      <c r="AI63" s="579"/>
      <c r="AJ63" s="579"/>
      <c r="AK63" s="594">
        <f t="shared" si="79"/>
        <v>0</v>
      </c>
      <c r="AM63" s="594"/>
      <c r="AO63" s="594"/>
      <c r="AQ63" s="574">
        <f t="shared" si="12"/>
        <v>0</v>
      </c>
      <c r="AR63" s="986">
        <f t="shared" si="87"/>
        <v>0</v>
      </c>
    </row>
    <row r="64" spans="2:44" hidden="1" outlineLevel="2" x14ac:dyDescent="0.25">
      <c r="B64" s="575">
        <v>15</v>
      </c>
      <c r="C64" s="575"/>
      <c r="D64" s="576">
        <v>6272000100</v>
      </c>
      <c r="E64" s="577" t="s">
        <v>429</v>
      </c>
      <c r="F64" s="577" t="s">
        <v>572</v>
      </c>
      <c r="G64" s="577" t="s">
        <v>14</v>
      </c>
      <c r="H64" s="576" t="s">
        <v>516</v>
      </c>
      <c r="I64" s="606" t="s">
        <v>621</v>
      </c>
      <c r="J64" s="916"/>
      <c r="K64" s="579">
        <f>IFERROR('Dinh muc'!$G$29*'3.Thanh pham'!H$136,0)</f>
        <v>0</v>
      </c>
      <c r="L64" s="579">
        <f>IFERROR('Dinh muc'!$G$29*'3.Thanh pham'!I$136,0)</f>
        <v>0</v>
      </c>
      <c r="M64" s="579">
        <f>IFERROR('Dinh muc'!$G$29*'3.Thanh pham'!J$136,0)</f>
        <v>0</v>
      </c>
      <c r="N64" s="579">
        <f>IFERROR('Dinh muc'!$G$29*'3.Thanh pham'!K$136,0)</f>
        <v>0</v>
      </c>
      <c r="O64" s="579">
        <f>IFERROR('Dinh muc'!$G$29*'3.Thanh pham'!L$136,0)</f>
        <v>0</v>
      </c>
      <c r="P64" s="579">
        <f>IFERROR('Dinh muc'!$G$29*'3.Thanh pham'!M$136,0)</f>
        <v>0</v>
      </c>
      <c r="Q64" s="579">
        <f>IFERROR('Dinh muc'!$G$29*'3.Thanh pham'!N$136,0)</f>
        <v>0</v>
      </c>
      <c r="R64" s="579">
        <f>IFERROR('Dinh muc'!$G$29*'3.Thanh pham'!O$136,0)</f>
        <v>0</v>
      </c>
      <c r="S64" s="579">
        <f>IFERROR('Dinh muc'!$G$29*'3.Thanh pham'!P$136,0)</f>
        <v>0</v>
      </c>
      <c r="T64" s="579">
        <f>IFERROR('Dinh muc'!$G$29*'3.Thanh pham'!Q$136,0)</f>
        <v>0</v>
      </c>
      <c r="U64" s="579">
        <f>IFERROR('Dinh muc'!$G$29*'3.Thanh pham'!R$136,0)</f>
        <v>0</v>
      </c>
      <c r="V64" s="579">
        <f>IFERROR('Dinh muc'!$G$29*'3.Thanh pham'!S$136,0)</f>
        <v>0</v>
      </c>
      <c r="W64" s="594">
        <f>SUM(K64:V64)</f>
        <v>0</v>
      </c>
      <c r="Y64" s="579"/>
      <c r="Z64" s="579"/>
      <c r="AA64" s="579"/>
      <c r="AB64" s="579"/>
      <c r="AC64" s="579"/>
      <c r="AD64" s="579"/>
      <c r="AE64" s="579"/>
      <c r="AF64" s="579"/>
      <c r="AG64" s="579"/>
      <c r="AH64" s="579"/>
      <c r="AI64" s="579"/>
      <c r="AJ64" s="579"/>
      <c r="AK64" s="594">
        <f t="shared" si="79"/>
        <v>0</v>
      </c>
      <c r="AM64" s="594"/>
      <c r="AO64" s="594"/>
      <c r="AQ64" s="574">
        <f t="shared" si="12"/>
        <v>0</v>
      </c>
      <c r="AR64" s="986">
        <f t="shared" si="87"/>
        <v>0</v>
      </c>
    </row>
    <row r="65" spans="2:44" hidden="1" outlineLevel="2" x14ac:dyDescent="0.25">
      <c r="B65" s="575">
        <v>16</v>
      </c>
      <c r="C65" s="575"/>
      <c r="D65" s="576">
        <v>6272000100</v>
      </c>
      <c r="E65" s="577" t="s">
        <v>429</v>
      </c>
      <c r="F65" s="577" t="s">
        <v>572</v>
      </c>
      <c r="G65" s="577" t="s">
        <v>309</v>
      </c>
      <c r="H65" s="576" t="s">
        <v>516</v>
      </c>
      <c r="I65" s="606" t="s">
        <v>621</v>
      </c>
      <c r="J65" s="916"/>
      <c r="K65" s="579">
        <f>IFERROR('Dinh muc'!$G$30*'3.Thanh pham'!H$136,0)</f>
        <v>0</v>
      </c>
      <c r="L65" s="579">
        <f>IFERROR('Dinh muc'!$G$30*'3.Thanh pham'!I$136,0)</f>
        <v>0</v>
      </c>
      <c r="M65" s="579">
        <f>IFERROR('Dinh muc'!$G$30*'3.Thanh pham'!J$136,0)</f>
        <v>0</v>
      </c>
      <c r="N65" s="579">
        <f>IFERROR('Dinh muc'!$G$30*'3.Thanh pham'!K$136,0)</f>
        <v>0</v>
      </c>
      <c r="O65" s="579">
        <f>IFERROR('Dinh muc'!$G$30*'3.Thanh pham'!L$136,0)</f>
        <v>0</v>
      </c>
      <c r="P65" s="579">
        <f>IFERROR('Dinh muc'!$G$30*'3.Thanh pham'!M$136,0)</f>
        <v>0</v>
      </c>
      <c r="Q65" s="579">
        <f>IFERROR('Dinh muc'!$G$30*'3.Thanh pham'!N$136,0)</f>
        <v>0</v>
      </c>
      <c r="R65" s="579">
        <f>IFERROR('Dinh muc'!$G$30*'3.Thanh pham'!O$136,0)</f>
        <v>0</v>
      </c>
      <c r="S65" s="579">
        <f>IFERROR('Dinh muc'!$G$30*'3.Thanh pham'!P$136,0)</f>
        <v>0</v>
      </c>
      <c r="T65" s="579">
        <f>IFERROR('Dinh muc'!$G$30*'3.Thanh pham'!Q$136,0)</f>
        <v>0</v>
      </c>
      <c r="U65" s="579">
        <f>IFERROR('Dinh muc'!$G$30*'3.Thanh pham'!R$136,0)</f>
        <v>0</v>
      </c>
      <c r="V65" s="579">
        <f>IFERROR('Dinh muc'!$G$30*'3.Thanh pham'!S$136,0)</f>
        <v>0</v>
      </c>
      <c r="W65" s="594">
        <f>SUM(K65:V65)</f>
        <v>0</v>
      </c>
      <c r="Y65" s="579"/>
      <c r="Z65" s="579"/>
      <c r="AA65" s="579"/>
      <c r="AB65" s="579"/>
      <c r="AC65" s="579"/>
      <c r="AD65" s="579"/>
      <c r="AE65" s="579"/>
      <c r="AF65" s="579"/>
      <c r="AG65" s="579"/>
      <c r="AH65" s="579"/>
      <c r="AI65" s="579"/>
      <c r="AJ65" s="579"/>
      <c r="AK65" s="594">
        <f t="shared" si="79"/>
        <v>0</v>
      </c>
      <c r="AM65" s="594"/>
      <c r="AO65" s="594"/>
      <c r="AQ65" s="574">
        <f t="shared" si="12"/>
        <v>0</v>
      </c>
      <c r="AR65" s="986">
        <f t="shared" si="13"/>
        <v>0</v>
      </c>
    </row>
    <row r="66" spans="2:44" hidden="1" outlineLevel="2" x14ac:dyDescent="0.25">
      <c r="B66" s="575">
        <v>17</v>
      </c>
      <c r="C66" s="575"/>
      <c r="D66" s="576">
        <v>6272000100</v>
      </c>
      <c r="E66" s="577" t="s">
        <v>429</v>
      </c>
      <c r="F66" s="577" t="s">
        <v>572</v>
      </c>
      <c r="G66" s="577" t="s">
        <v>254</v>
      </c>
      <c r="H66" s="576" t="s">
        <v>516</v>
      </c>
      <c r="I66" s="606" t="s">
        <v>621</v>
      </c>
      <c r="J66" s="916"/>
      <c r="K66" s="579">
        <f>IFERROR('Dinh muc'!$G$31*'3.Thanh pham'!H$136,0)</f>
        <v>0</v>
      </c>
      <c r="L66" s="579">
        <f>IFERROR('Dinh muc'!$G$31*'3.Thanh pham'!I$136,0)</f>
        <v>0</v>
      </c>
      <c r="M66" s="579">
        <f>IFERROR('Dinh muc'!$G$31*'3.Thanh pham'!J$136,0)</f>
        <v>0</v>
      </c>
      <c r="N66" s="579">
        <f>IFERROR('Dinh muc'!$G$31*'3.Thanh pham'!K$136,0)</f>
        <v>0</v>
      </c>
      <c r="O66" s="579">
        <f>IFERROR('Dinh muc'!$G$31*'3.Thanh pham'!L$136,0)</f>
        <v>0</v>
      </c>
      <c r="P66" s="579">
        <f>IFERROR('Dinh muc'!$G$31*'3.Thanh pham'!M$136,0)</f>
        <v>0</v>
      </c>
      <c r="Q66" s="579">
        <f>IFERROR('Dinh muc'!$G$31*'3.Thanh pham'!N$136,0)</f>
        <v>0</v>
      </c>
      <c r="R66" s="579">
        <f>IFERROR('Dinh muc'!$G$31*'3.Thanh pham'!O$136,0)</f>
        <v>0</v>
      </c>
      <c r="S66" s="579">
        <f>IFERROR('Dinh muc'!$G$31*'3.Thanh pham'!P$136,0)</f>
        <v>0</v>
      </c>
      <c r="T66" s="579">
        <f>IFERROR('Dinh muc'!$G$31*'3.Thanh pham'!Q$136,0)</f>
        <v>0</v>
      </c>
      <c r="U66" s="579">
        <f>IFERROR('Dinh muc'!$G$31*'3.Thanh pham'!R$136,0)</f>
        <v>0</v>
      </c>
      <c r="V66" s="579">
        <f>IFERROR('Dinh muc'!$G$31*'3.Thanh pham'!S$136,0)</f>
        <v>0</v>
      </c>
      <c r="W66" s="594">
        <f t="shared" ref="W66:W67" si="88">SUM(K66:V66)</f>
        <v>0</v>
      </c>
      <c r="Y66" s="579"/>
      <c r="Z66" s="579"/>
      <c r="AA66" s="579"/>
      <c r="AB66" s="579"/>
      <c r="AC66" s="579"/>
      <c r="AD66" s="579"/>
      <c r="AE66" s="579"/>
      <c r="AF66" s="579"/>
      <c r="AG66" s="579"/>
      <c r="AH66" s="579"/>
      <c r="AI66" s="579"/>
      <c r="AJ66" s="579"/>
      <c r="AK66" s="594">
        <f t="shared" si="79"/>
        <v>0</v>
      </c>
      <c r="AM66" s="594"/>
      <c r="AO66" s="594"/>
      <c r="AQ66" s="574">
        <f t="shared" si="12"/>
        <v>0</v>
      </c>
      <c r="AR66" s="986">
        <f t="shared" si="13"/>
        <v>0</v>
      </c>
    </row>
    <row r="67" spans="2:44" hidden="1" outlineLevel="2" x14ac:dyDescent="0.25">
      <c r="B67" s="575">
        <v>18</v>
      </c>
      <c r="C67" s="575"/>
      <c r="D67" s="576">
        <v>6272000100</v>
      </c>
      <c r="E67" s="577" t="s">
        <v>429</v>
      </c>
      <c r="F67" s="577" t="s">
        <v>572</v>
      </c>
      <c r="G67" s="577" t="s">
        <v>389</v>
      </c>
      <c r="H67" s="576" t="s">
        <v>516</v>
      </c>
      <c r="I67" s="606" t="s">
        <v>621</v>
      </c>
      <c r="J67" s="916"/>
      <c r="K67" s="579">
        <f>IFERROR('Dinh muc'!$G$32*'3.Thanh pham'!H$136,0)</f>
        <v>0</v>
      </c>
      <c r="L67" s="579">
        <f>IFERROR('Dinh muc'!$G$32*'3.Thanh pham'!I$136,0)</f>
        <v>0</v>
      </c>
      <c r="M67" s="579">
        <f>IFERROR('Dinh muc'!$G$32*'3.Thanh pham'!J$136,0)</f>
        <v>0</v>
      </c>
      <c r="N67" s="579">
        <f>IFERROR('Dinh muc'!$G$32*'3.Thanh pham'!K$136,0)</f>
        <v>0</v>
      </c>
      <c r="O67" s="579">
        <f>IFERROR('Dinh muc'!$G$32*'3.Thanh pham'!L$136,0)</f>
        <v>0</v>
      </c>
      <c r="P67" s="579">
        <f>IFERROR('Dinh muc'!$G$32*'3.Thanh pham'!M$136,0)</f>
        <v>0</v>
      </c>
      <c r="Q67" s="579">
        <f>IFERROR('Dinh muc'!$G$32*'3.Thanh pham'!N$136,0)</f>
        <v>0</v>
      </c>
      <c r="R67" s="579">
        <f>IFERROR('Dinh muc'!$G$32*'3.Thanh pham'!O$136,0)</f>
        <v>0</v>
      </c>
      <c r="S67" s="579">
        <f>IFERROR('Dinh muc'!$G$32*'3.Thanh pham'!P$136,0)</f>
        <v>0</v>
      </c>
      <c r="T67" s="579">
        <f>IFERROR('Dinh muc'!$G$32*'3.Thanh pham'!Q$136,0)</f>
        <v>0</v>
      </c>
      <c r="U67" s="579">
        <f>IFERROR('Dinh muc'!$G$32*'3.Thanh pham'!R$136,0)</f>
        <v>0</v>
      </c>
      <c r="V67" s="579">
        <f>IFERROR('Dinh muc'!$G$32*'3.Thanh pham'!S$136,0)</f>
        <v>0</v>
      </c>
      <c r="W67" s="594">
        <f t="shared" si="88"/>
        <v>0</v>
      </c>
      <c r="Y67" s="579"/>
      <c r="Z67" s="579"/>
      <c r="AA67" s="579"/>
      <c r="AB67" s="579"/>
      <c r="AC67" s="579"/>
      <c r="AD67" s="579"/>
      <c r="AE67" s="579"/>
      <c r="AF67" s="579"/>
      <c r="AG67" s="579"/>
      <c r="AH67" s="579"/>
      <c r="AI67" s="579"/>
      <c r="AJ67" s="579"/>
      <c r="AK67" s="594">
        <f t="shared" si="79"/>
        <v>0</v>
      </c>
      <c r="AM67" s="594"/>
      <c r="AO67" s="594"/>
      <c r="AQ67" s="574">
        <f t="shared" si="12"/>
        <v>0</v>
      </c>
      <c r="AR67" s="986">
        <f t="shared" si="13"/>
        <v>0</v>
      </c>
    </row>
    <row r="68" spans="2:44" hidden="1" outlineLevel="1" x14ac:dyDescent="0.25">
      <c r="B68" s="575">
        <v>19</v>
      </c>
      <c r="C68" s="575"/>
      <c r="D68" s="981" t="s">
        <v>901</v>
      </c>
      <c r="E68" s="638" t="s">
        <v>902</v>
      </c>
      <c r="F68" s="638" t="s">
        <v>572</v>
      </c>
      <c r="G68" s="638" t="s">
        <v>1948</v>
      </c>
      <c r="H68" s="981" t="s">
        <v>516</v>
      </c>
      <c r="I68" s="606" t="s">
        <v>623</v>
      </c>
      <c r="J68" s="916"/>
      <c r="K68" s="916"/>
      <c r="L68" s="916"/>
      <c r="M68" s="916"/>
      <c r="N68" s="916"/>
      <c r="O68" s="916"/>
      <c r="P68" s="916"/>
      <c r="Q68" s="916"/>
      <c r="R68" s="916"/>
      <c r="S68" s="916"/>
      <c r="T68" s="916"/>
      <c r="U68" s="916"/>
      <c r="V68" s="916"/>
      <c r="W68" s="982">
        <f t="shared" ref="W68" si="89">SUM(K68:V68)</f>
        <v>0</v>
      </c>
      <c r="Y68" s="916"/>
      <c r="Z68" s="916"/>
      <c r="AA68" s="916"/>
      <c r="AB68" s="916"/>
      <c r="AC68" s="916"/>
      <c r="AD68" s="916"/>
      <c r="AE68" s="916"/>
      <c r="AF68" s="916"/>
      <c r="AG68" s="916"/>
      <c r="AH68" s="916"/>
      <c r="AI68" s="916"/>
      <c r="AJ68" s="916"/>
      <c r="AK68" s="982"/>
      <c r="AM68" s="982"/>
      <c r="AO68" s="982"/>
      <c r="AQ68" s="915">
        <f t="shared" si="12"/>
        <v>0</v>
      </c>
      <c r="AR68" s="993">
        <f t="shared" si="13"/>
        <v>0</v>
      </c>
    </row>
    <row r="69" spans="2:44" hidden="1" outlineLevel="2" x14ac:dyDescent="0.25">
      <c r="B69" s="575">
        <v>20</v>
      </c>
      <c r="C69" s="575"/>
      <c r="D69" s="576">
        <v>6272003502</v>
      </c>
      <c r="E69" s="577" t="s">
        <v>450</v>
      </c>
      <c r="F69" s="577" t="s">
        <v>573</v>
      </c>
      <c r="G69" s="577" t="s">
        <v>87</v>
      </c>
      <c r="H69" s="576" t="s">
        <v>517</v>
      </c>
      <c r="I69" s="606" t="s">
        <v>621</v>
      </c>
      <c r="J69" s="916"/>
      <c r="K69" s="579">
        <f>IFERROR('Dinh muc'!$G$33*'3.Thanh pham'!H$136,0)</f>
        <v>0</v>
      </c>
      <c r="L69" s="579">
        <f>IFERROR('Dinh muc'!$G$33*'3.Thanh pham'!I$136,0)</f>
        <v>0</v>
      </c>
      <c r="M69" s="579">
        <f>IFERROR('Dinh muc'!$G$33*'3.Thanh pham'!J$136,0)</f>
        <v>0</v>
      </c>
      <c r="N69" s="579">
        <f>IFERROR('Dinh muc'!$G$33*'3.Thanh pham'!K$136,0)</f>
        <v>0</v>
      </c>
      <c r="O69" s="579">
        <f>IFERROR('Dinh muc'!$G$33*'3.Thanh pham'!L$136,0)</f>
        <v>0</v>
      </c>
      <c r="P69" s="579">
        <f>IFERROR('Dinh muc'!$G$33*'3.Thanh pham'!M$136,0)</f>
        <v>0</v>
      </c>
      <c r="Q69" s="579">
        <f>IFERROR('Dinh muc'!$G$33*'3.Thanh pham'!N$136,0)</f>
        <v>0</v>
      </c>
      <c r="R69" s="579">
        <f>IFERROR('Dinh muc'!$G$33*'3.Thanh pham'!O$136,0)</f>
        <v>0</v>
      </c>
      <c r="S69" s="579">
        <f>IFERROR('Dinh muc'!$G$33*'3.Thanh pham'!P$136,0)</f>
        <v>0</v>
      </c>
      <c r="T69" s="579">
        <f>IFERROR('Dinh muc'!$G$33*'3.Thanh pham'!Q$136,0)</f>
        <v>0</v>
      </c>
      <c r="U69" s="579">
        <f>IFERROR('Dinh muc'!$G$33*'3.Thanh pham'!R$136,0)</f>
        <v>0</v>
      </c>
      <c r="V69" s="579">
        <f>IFERROR('Dinh muc'!$G$33*'3.Thanh pham'!S$136,0)</f>
        <v>0</v>
      </c>
      <c r="W69" s="594">
        <f>SUM(K69:V69)</f>
        <v>0</v>
      </c>
      <c r="Y69" s="579"/>
      <c r="Z69" s="579"/>
      <c r="AA69" s="579"/>
      <c r="AB69" s="579"/>
      <c r="AC69" s="579"/>
      <c r="AD69" s="579"/>
      <c r="AE69" s="579"/>
      <c r="AF69" s="579"/>
      <c r="AG69" s="579"/>
      <c r="AH69" s="579"/>
      <c r="AI69" s="579"/>
      <c r="AJ69" s="579"/>
      <c r="AK69" s="594">
        <f t="shared" si="79"/>
        <v>0</v>
      </c>
      <c r="AM69" s="594"/>
      <c r="AO69" s="594"/>
      <c r="AQ69" s="574">
        <f t="shared" si="12"/>
        <v>0</v>
      </c>
      <c r="AR69" s="986">
        <f t="shared" si="13"/>
        <v>0</v>
      </c>
    </row>
    <row r="70" spans="2:44" hidden="1" outlineLevel="2" x14ac:dyDescent="0.25">
      <c r="B70" s="580"/>
      <c r="C70" s="580"/>
      <c r="D70" s="581"/>
      <c r="E70" s="582"/>
      <c r="F70" s="582"/>
      <c r="G70" s="582"/>
      <c r="H70" s="581"/>
      <c r="I70" s="607"/>
      <c r="J70" s="583"/>
      <c r="K70" s="583"/>
      <c r="L70" s="583"/>
      <c r="M70" s="583"/>
      <c r="N70" s="583"/>
      <c r="O70" s="583"/>
      <c r="P70" s="583"/>
      <c r="Q70" s="583"/>
      <c r="R70" s="583"/>
      <c r="S70" s="583"/>
      <c r="T70" s="583"/>
      <c r="U70" s="583"/>
      <c r="V70" s="583"/>
      <c r="W70" s="595"/>
      <c r="Y70" s="583"/>
      <c r="Z70" s="583"/>
      <c r="AA70" s="583"/>
      <c r="AB70" s="583"/>
      <c r="AC70" s="583"/>
      <c r="AD70" s="583"/>
      <c r="AE70" s="583"/>
      <c r="AF70" s="583"/>
      <c r="AG70" s="583"/>
      <c r="AH70" s="583"/>
      <c r="AI70" s="583"/>
      <c r="AJ70" s="583"/>
      <c r="AK70" s="594">
        <f t="shared" si="79"/>
        <v>0</v>
      </c>
      <c r="AM70" s="595"/>
      <c r="AO70" s="595"/>
      <c r="AQ70" s="574">
        <f t="shared" si="12"/>
        <v>0</v>
      </c>
      <c r="AR70" s="987">
        <f t="shared" si="13"/>
        <v>0</v>
      </c>
    </row>
    <row r="71" spans="2:44" s="37" customFormat="1" ht="18" customHeight="1" collapsed="1" x14ac:dyDescent="0.35">
      <c r="B71" s="483" t="s">
        <v>4</v>
      </c>
      <c r="C71" s="471"/>
      <c r="D71" s="383"/>
      <c r="E71" s="482" t="s">
        <v>86</v>
      </c>
      <c r="F71" s="384"/>
      <c r="G71" s="482" t="s">
        <v>86</v>
      </c>
      <c r="H71" s="482"/>
      <c r="I71" s="609"/>
      <c r="J71" s="568">
        <f t="shared" ref="J71" ca="1" si="90">SUM(J72:J105)</f>
        <v>8.1234207841434258E-2</v>
      </c>
      <c r="K71" s="568">
        <f ca="1">SUM(K72:K99)</f>
        <v>606181506.94803917</v>
      </c>
      <c r="L71" s="568">
        <f t="shared" ref="L71:V71" ca="1" si="91">SUM(L72:L99)</f>
        <v>616011661.54803908</v>
      </c>
      <c r="M71" s="568">
        <f t="shared" ca="1" si="91"/>
        <v>579553107.51470578</v>
      </c>
      <c r="N71" s="568">
        <f t="shared" ca="1" si="91"/>
        <v>598267975.1813724</v>
      </c>
      <c r="O71" s="568">
        <f t="shared" ca="1" si="91"/>
        <v>579344691.38137245</v>
      </c>
      <c r="P71" s="568">
        <f t="shared" ca="1" si="91"/>
        <v>607299600.6480391</v>
      </c>
      <c r="Q71" s="568">
        <f t="shared" ca="1" si="91"/>
        <v>587681127.01470578</v>
      </c>
      <c r="R71" s="568">
        <f t="shared" ca="1" si="91"/>
        <v>593247298.59803915</v>
      </c>
      <c r="S71" s="568">
        <f t="shared" ca="1" si="91"/>
        <v>589804765.21470571</v>
      </c>
      <c r="T71" s="568">
        <f t="shared" ca="1" si="91"/>
        <v>580202605.54803908</v>
      </c>
      <c r="U71" s="568">
        <f t="shared" ca="1" si="91"/>
        <v>584600704.84803915</v>
      </c>
      <c r="V71" s="568">
        <f t="shared" ca="1" si="91"/>
        <v>592314294.1480391</v>
      </c>
      <c r="W71" s="479">
        <f ca="1">SUM(W72:W99)</f>
        <v>7114509338.5931368</v>
      </c>
      <c r="Y71" s="479">
        <f>SUM(Y72:Y99)</f>
        <v>443585265.72727287</v>
      </c>
      <c r="Z71" s="479">
        <f t="shared" ref="Z71:AJ71" si="92">SUM(Z72:Z99)</f>
        <v>405106706.72727311</v>
      </c>
      <c r="AA71" s="479">
        <f t="shared" si="92"/>
        <v>410095025.72727227</v>
      </c>
      <c r="AB71" s="479">
        <f t="shared" si="92"/>
        <v>478821399.72727263</v>
      </c>
      <c r="AC71" s="479">
        <f t="shared" si="92"/>
        <v>538450648.72727275</v>
      </c>
      <c r="AD71" s="479">
        <f t="shared" si="92"/>
        <v>521275911.72727251</v>
      </c>
      <c r="AE71" s="479">
        <f t="shared" si="92"/>
        <v>539108431.72727227</v>
      </c>
      <c r="AF71" s="479">
        <f t="shared" si="92"/>
        <v>553524746.72727215</v>
      </c>
      <c r="AG71" s="479">
        <f t="shared" si="92"/>
        <v>543805285.72727251</v>
      </c>
      <c r="AH71" s="479">
        <f t="shared" si="92"/>
        <v>574708089.71071422</v>
      </c>
      <c r="AI71" s="479">
        <f t="shared" si="92"/>
        <v>565725729.44285715</v>
      </c>
      <c r="AJ71" s="479">
        <f t="shared" si="92"/>
        <v>539122913.54971647</v>
      </c>
      <c r="AK71" s="479">
        <f>SUM(AK72:AK99)</f>
        <v>6113330155.2487411</v>
      </c>
      <c r="AM71" s="568">
        <f>SUM(AM72:AM99)</f>
        <v>3767247132</v>
      </c>
      <c r="AO71" s="568">
        <f>SUM(AO72:AO99)</f>
        <v>3130566065.5</v>
      </c>
      <c r="AQ71" s="568">
        <f t="shared" ca="1" si="12"/>
        <v>1001179183.3443956</v>
      </c>
      <c r="AR71" s="988">
        <f t="shared" ca="1" si="13"/>
        <v>0.16376985340548145</v>
      </c>
    </row>
    <row r="72" spans="2:44" x14ac:dyDescent="0.25">
      <c r="B72" s="570">
        <v>1</v>
      </c>
      <c r="C72" s="570"/>
      <c r="D72" s="997">
        <v>6271002604</v>
      </c>
      <c r="E72" s="584" t="s">
        <v>461</v>
      </c>
      <c r="F72" s="584" t="s">
        <v>574</v>
      </c>
      <c r="G72" s="584" t="s">
        <v>461</v>
      </c>
      <c r="H72" s="997" t="s">
        <v>521</v>
      </c>
      <c r="I72" s="605" t="s">
        <v>612</v>
      </c>
      <c r="J72" s="993">
        <f>W72/'4.Doanh thu'!$R$60</f>
        <v>1.696979370075841E-2</v>
      </c>
      <c r="K72" s="915">
        <f>SUMIFS(LUONG!F:F,LUONG!$C:$C,CPSX!$D72)</f>
        <v>140398500</v>
      </c>
      <c r="L72" s="915">
        <f>SUMIFS(LUONG!G:G,LUONG!$C:$C,CPSX!$D72)</f>
        <v>144206134.5</v>
      </c>
      <c r="M72" s="915">
        <f>SUMIFS(LUONG!H:H,LUONG!$C:$C,CPSX!$D72)</f>
        <v>130683230.33333333</v>
      </c>
      <c r="N72" s="915">
        <f>SUMIFS(LUONG!I:I,LUONG!$C:$C,CPSX!$D72)</f>
        <v>145706134.5</v>
      </c>
      <c r="O72" s="915">
        <f>SUMIFS(LUONG!J:J,LUONG!$C:$C,CPSX!$D72)</f>
        <v>134790865.5</v>
      </c>
      <c r="P72" s="915">
        <f>SUMIFS(LUONG!K:K,LUONG!$C:$C,CPSX!$D72)</f>
        <v>145706134.5</v>
      </c>
      <c r="Q72" s="915">
        <f>SUMIFS(LUONG!L:L,LUONG!$C:$C,CPSX!$D72)</f>
        <v>140698500</v>
      </c>
      <c r="R72" s="915">
        <f>SUMIFS(LUONG!M:M,LUONG!$C:$C,CPSX!$D72)</f>
        <v>140698500</v>
      </c>
      <c r="S72" s="915">
        <f>SUMIFS(LUONG!N:N,LUONG!$C:$C,CPSX!$D72)</f>
        <v>145106134.5</v>
      </c>
      <c r="T72" s="915">
        <f>SUMIFS(LUONG!O:O,LUONG!$C:$C,CPSX!$D72)</f>
        <v>135690865.5</v>
      </c>
      <c r="U72" s="915">
        <f>SUMIFS(LUONG!P:P,LUONG!$C:$C,CPSX!$D72)</f>
        <v>145706134.5</v>
      </c>
      <c r="V72" s="915">
        <f>SUMIFS(LUONG!Q:Q,LUONG!$C:$C,CPSX!$D72)</f>
        <v>140698500</v>
      </c>
      <c r="W72" s="998">
        <f t="shared" ref="W72" si="93">SUM(K72:V72)</f>
        <v>1690089633.8333333</v>
      </c>
      <c r="Y72" s="915">
        <v>26318423</v>
      </c>
      <c r="Z72" s="915">
        <v>23613486</v>
      </c>
      <c r="AA72" s="915">
        <v>16908804</v>
      </c>
      <c r="AB72" s="915">
        <v>56205520</v>
      </c>
      <c r="AC72" s="915">
        <v>78766134</v>
      </c>
      <c r="AD72" s="915">
        <v>63210856</v>
      </c>
      <c r="AE72" s="915">
        <v>2963493</v>
      </c>
      <c r="AF72" s="915">
        <v>68385464</v>
      </c>
      <c r="AG72" s="915">
        <v>72676235</v>
      </c>
      <c r="AH72" s="915">
        <v>106666856</v>
      </c>
      <c r="AI72" s="915">
        <v>106666856</v>
      </c>
      <c r="AJ72" s="915">
        <v>106666856</v>
      </c>
      <c r="AK72" s="998">
        <f t="shared" ref="AK72:AK97" si="94">SUM(Y72:AJ72)</f>
        <v>729048983</v>
      </c>
      <c r="AM72" s="915">
        <v>189257213</v>
      </c>
      <c r="AO72" s="915">
        <f>5011022572*0.05</f>
        <v>250551128.60000002</v>
      </c>
      <c r="AQ72" s="915">
        <f t="shared" si="12"/>
        <v>961040650.83333325</v>
      </c>
      <c r="AR72" s="993">
        <f t="shared" si="13"/>
        <v>1.3182113592404989</v>
      </c>
    </row>
    <row r="73" spans="2:44" x14ac:dyDescent="0.25">
      <c r="B73" s="575">
        <v>2</v>
      </c>
      <c r="C73" s="575"/>
      <c r="D73" s="981">
        <v>6271002605</v>
      </c>
      <c r="E73" s="638" t="s">
        <v>462</v>
      </c>
      <c r="F73" s="638" t="s">
        <v>574</v>
      </c>
      <c r="G73" s="638" t="s">
        <v>462</v>
      </c>
      <c r="H73" s="981" t="s">
        <v>521</v>
      </c>
      <c r="I73" s="606" t="s">
        <v>612</v>
      </c>
      <c r="J73" s="993">
        <f>W73/'4.Doanh thu'!$R$60</f>
        <v>1.1851200473924131E-3</v>
      </c>
      <c r="K73" s="916">
        <f>SUMIFS(LUONG!F:F,LUONG!$C:$C,CPSX!$D73)</f>
        <v>9835903.833333334</v>
      </c>
      <c r="L73" s="916">
        <f>SUMIFS(LUONG!G:G,LUONG!$C:$C,CPSX!$D73)</f>
        <v>9835903.833333334</v>
      </c>
      <c r="M73" s="916">
        <f>SUMIFS(LUONG!H:H,LUONG!$C:$C,CPSX!$D73)</f>
        <v>9835903.833333334</v>
      </c>
      <c r="N73" s="916">
        <f>SUMIFS(LUONG!I:I,LUONG!$C:$C,CPSX!$D73)</f>
        <v>9835903.833333334</v>
      </c>
      <c r="O73" s="916">
        <f>SUMIFS(LUONG!J:J,LUONG!$C:$C,CPSX!$D73)</f>
        <v>9835903.833333334</v>
      </c>
      <c r="P73" s="916">
        <f>SUMIFS(LUONG!K:K,LUONG!$C:$C,CPSX!$D73)</f>
        <v>9835903.833333334</v>
      </c>
      <c r="Q73" s="916">
        <f>SUMIFS(LUONG!L:L,LUONG!$C:$C,CPSX!$D73)</f>
        <v>9835903.833333334</v>
      </c>
      <c r="R73" s="916">
        <f>SUMIFS(LUONG!M:M,LUONG!$C:$C,CPSX!$D73)</f>
        <v>9835903.833333334</v>
      </c>
      <c r="S73" s="916">
        <f>SUMIFS(LUONG!N:N,LUONG!$C:$C,CPSX!$D73)</f>
        <v>9835903.833333334</v>
      </c>
      <c r="T73" s="916">
        <f>SUMIFS(LUONG!O:O,LUONG!$C:$C,CPSX!$D73)</f>
        <v>9835903.833333334</v>
      </c>
      <c r="U73" s="916">
        <f>SUMIFS(LUONG!P:P,LUONG!$C:$C,CPSX!$D73)</f>
        <v>9835903.833333334</v>
      </c>
      <c r="V73" s="916">
        <f>SUMIFS(LUONG!Q:Q,LUONG!$C:$C,CPSX!$D73)</f>
        <v>9835903.833333334</v>
      </c>
      <c r="W73" s="982">
        <f>SUM(K73:V73)</f>
        <v>118030845.99999999</v>
      </c>
      <c r="Y73" s="916">
        <v>1425000</v>
      </c>
      <c r="Z73" s="916">
        <v>1425000</v>
      </c>
      <c r="AA73" s="916">
        <v>1216667</v>
      </c>
      <c r="AB73" s="916">
        <v>4175000</v>
      </c>
      <c r="AC73" s="916">
        <v>5908333</v>
      </c>
      <c r="AD73" s="916">
        <v>4533333</v>
      </c>
      <c r="AE73" s="916">
        <v>65685985</v>
      </c>
      <c r="AF73" s="916">
        <v>4533333</v>
      </c>
      <c r="AG73" s="916">
        <v>4533333</v>
      </c>
      <c r="AH73" s="916">
        <v>4533333</v>
      </c>
      <c r="AI73" s="916">
        <v>4533333</v>
      </c>
      <c r="AJ73" s="916">
        <v>4533333</v>
      </c>
      <c r="AK73" s="982">
        <f t="shared" si="94"/>
        <v>107035983</v>
      </c>
      <c r="AM73" s="916">
        <v>8175003</v>
      </c>
      <c r="AO73" s="916">
        <f>283133331*0.05</f>
        <v>14156666.550000001</v>
      </c>
      <c r="AQ73" s="915">
        <f t="shared" si="12"/>
        <v>10994862.999999985</v>
      </c>
      <c r="AR73" s="994">
        <f t="shared" si="13"/>
        <v>0.10272118489349502</v>
      </c>
    </row>
    <row r="74" spans="2:44" x14ac:dyDescent="0.25">
      <c r="B74" s="575">
        <v>3</v>
      </c>
      <c r="C74" s="575"/>
      <c r="D74" s="981">
        <v>6271002802</v>
      </c>
      <c r="E74" s="638" t="s">
        <v>465</v>
      </c>
      <c r="F74" s="638" t="s">
        <v>570</v>
      </c>
      <c r="G74" s="638" t="s">
        <v>465</v>
      </c>
      <c r="H74" s="981" t="s">
        <v>521</v>
      </c>
      <c r="I74" s="606" t="s">
        <v>612</v>
      </c>
      <c r="J74" s="993">
        <f>W74/'4.Doanh thu'!$R$60</f>
        <v>6.8277205454143821E-5</v>
      </c>
      <c r="K74" s="916">
        <f>SUMIFS(LUONG!F:F,LUONG!$C:$C,CPSX!$D74)</f>
        <v>1700000</v>
      </c>
      <c r="L74" s="916">
        <f>SUMIFS(LUONG!G:G,LUONG!$C:$C,CPSX!$D74)</f>
        <v>0</v>
      </c>
      <c r="M74" s="916">
        <f>SUMIFS(LUONG!H:H,LUONG!$C:$C,CPSX!$D74)</f>
        <v>0</v>
      </c>
      <c r="N74" s="916">
        <f>SUMIFS(LUONG!I:I,LUONG!$C:$C,CPSX!$D74)</f>
        <v>0</v>
      </c>
      <c r="O74" s="916">
        <f>SUMIFS(LUONG!J:J,LUONG!$C:$C,CPSX!$D74)</f>
        <v>3400000</v>
      </c>
      <c r="P74" s="916">
        <f>SUMIFS(LUONG!K:K,LUONG!$C:$C,CPSX!$D74)</f>
        <v>0</v>
      </c>
      <c r="Q74" s="916">
        <f>SUMIFS(LUONG!L:L,LUONG!$C:$C,CPSX!$D74)</f>
        <v>0</v>
      </c>
      <c r="R74" s="916">
        <f>SUMIFS(LUONG!M:M,LUONG!$C:$C,CPSX!$D74)</f>
        <v>0</v>
      </c>
      <c r="S74" s="916">
        <f>SUMIFS(LUONG!N:N,LUONG!$C:$C,CPSX!$D74)</f>
        <v>1700000</v>
      </c>
      <c r="T74" s="916">
        <f>SUMIFS(LUONG!O:O,LUONG!$C:$C,CPSX!$D74)</f>
        <v>0</v>
      </c>
      <c r="U74" s="916">
        <f>SUMIFS(LUONG!P:P,LUONG!$C:$C,CPSX!$D74)</f>
        <v>0</v>
      </c>
      <c r="V74" s="916">
        <f>SUMIFS(LUONG!Q:Q,LUONG!$C:$C,CPSX!$D74)</f>
        <v>0</v>
      </c>
      <c r="W74" s="982">
        <f t="shared" ref="W74:W104" si="95">SUM(K74:V74)</f>
        <v>6800000</v>
      </c>
      <c r="Y74" s="916">
        <v>1310989</v>
      </c>
      <c r="Z74" s="916">
        <v>1310989</v>
      </c>
      <c r="AA74" s="916">
        <v>1119324</v>
      </c>
      <c r="AB74" s="916">
        <v>3840967</v>
      </c>
      <c r="AC74" s="916">
        <v>5435619</v>
      </c>
      <c r="AD74" s="916">
        <v>4170630</v>
      </c>
      <c r="AE74" s="916">
        <v>9527500</v>
      </c>
      <c r="AF74" s="916">
        <v>4170630</v>
      </c>
      <c r="AG74" s="916">
        <v>4170630</v>
      </c>
      <c r="AH74" s="916">
        <v>5251673.8666666644</v>
      </c>
      <c r="AI74" s="916">
        <v>5251673.8666666644</v>
      </c>
      <c r="AJ74" s="916">
        <v>5251673.8666666644</v>
      </c>
      <c r="AK74" s="982">
        <f t="shared" si="94"/>
        <v>50812299.600000001</v>
      </c>
      <c r="AM74" s="916">
        <v>8831928</v>
      </c>
      <c r="AO74" s="916">
        <f>68576667*0.05</f>
        <v>3428833.35</v>
      </c>
      <c r="AQ74" s="915">
        <f t="shared" si="12"/>
        <v>-44012299.600000001</v>
      </c>
      <c r="AR74" s="994">
        <f t="shared" si="13"/>
        <v>-0.86617413394925347</v>
      </c>
    </row>
    <row r="75" spans="2:44" x14ac:dyDescent="0.25">
      <c r="B75" s="575">
        <v>4</v>
      </c>
      <c r="C75" s="575"/>
      <c r="D75" s="981">
        <v>6271002806</v>
      </c>
      <c r="E75" s="638" t="s">
        <v>472</v>
      </c>
      <c r="F75" s="638" t="s">
        <v>574</v>
      </c>
      <c r="G75" s="638" t="s">
        <v>472</v>
      </c>
      <c r="H75" s="981" t="s">
        <v>521</v>
      </c>
      <c r="I75" s="606" t="s">
        <v>612</v>
      </c>
      <c r="J75" s="993">
        <f>W75/'4.Doanh thu'!$R$60</f>
        <v>1.5853773721308513E-3</v>
      </c>
      <c r="K75" s="916">
        <f>SUMIFS(LUONG!F:F,LUONG!$C:$C,CPSX!$D75)</f>
        <v>13157839.5</v>
      </c>
      <c r="L75" s="916">
        <f>SUMIFS(LUONG!G:G,LUONG!$C:$C,CPSX!$D75)</f>
        <v>13157839.5</v>
      </c>
      <c r="M75" s="916">
        <f>SUMIFS(LUONG!H:H,LUONG!$C:$C,CPSX!$D75)</f>
        <v>13157839.5</v>
      </c>
      <c r="N75" s="916">
        <f>SUMIFS(LUONG!I:I,LUONG!$C:$C,CPSX!$D75)</f>
        <v>13157839.5</v>
      </c>
      <c r="O75" s="916">
        <f>SUMIFS(LUONG!J:J,LUONG!$C:$C,CPSX!$D75)</f>
        <v>13157839.5</v>
      </c>
      <c r="P75" s="916">
        <f>SUMIFS(LUONG!K:K,LUONG!$C:$C,CPSX!$D75)</f>
        <v>13157839.5</v>
      </c>
      <c r="Q75" s="916">
        <f>SUMIFS(LUONG!L:L,LUONG!$C:$C,CPSX!$D75)</f>
        <v>13157839.5</v>
      </c>
      <c r="R75" s="916">
        <f>SUMIFS(LUONG!M:M,LUONG!$C:$C,CPSX!$D75)</f>
        <v>13157839.5</v>
      </c>
      <c r="S75" s="916">
        <f>SUMIFS(LUONG!N:N,LUONG!$C:$C,CPSX!$D75)</f>
        <v>13157839.5</v>
      </c>
      <c r="T75" s="916">
        <f>SUMIFS(LUONG!O:O,LUONG!$C:$C,CPSX!$D75)</f>
        <v>13157839.5</v>
      </c>
      <c r="U75" s="916">
        <f>SUMIFS(LUONG!P:P,LUONG!$C:$C,CPSX!$D75)</f>
        <v>13157839.5</v>
      </c>
      <c r="V75" s="916">
        <f>SUMIFS(LUONG!Q:Q,LUONG!$C:$C,CPSX!$D75)</f>
        <v>13157839.5</v>
      </c>
      <c r="W75" s="982">
        <f t="shared" si="95"/>
        <v>157894074</v>
      </c>
      <c r="Y75" s="916"/>
      <c r="Z75" s="916"/>
      <c r="AA75" s="916"/>
      <c r="AB75" s="916"/>
      <c r="AC75" s="916"/>
      <c r="AD75" s="916"/>
      <c r="AE75" s="916"/>
      <c r="AF75" s="916"/>
      <c r="AG75" s="916"/>
      <c r="AH75" s="916"/>
      <c r="AI75" s="916"/>
      <c r="AJ75" s="916"/>
      <c r="AK75" s="982">
        <f t="shared" si="94"/>
        <v>0</v>
      </c>
      <c r="AM75" s="916"/>
      <c r="AO75" s="916"/>
      <c r="AQ75" s="915">
        <f t="shared" si="12"/>
        <v>157894074</v>
      </c>
      <c r="AR75" s="994">
        <f t="shared" si="13"/>
        <v>0</v>
      </c>
    </row>
    <row r="76" spans="2:44" x14ac:dyDescent="0.25">
      <c r="B76" s="575">
        <v>5</v>
      </c>
      <c r="C76" s="575"/>
      <c r="D76" s="981" t="s">
        <v>868</v>
      </c>
      <c r="E76" s="638" t="s">
        <v>431</v>
      </c>
      <c r="F76" s="638" t="s">
        <v>570</v>
      </c>
      <c r="G76" s="638" t="s">
        <v>431</v>
      </c>
      <c r="H76" s="981" t="s">
        <v>521</v>
      </c>
      <c r="I76" s="606" t="s">
        <v>612</v>
      </c>
      <c r="J76" s="993">
        <f>W76/'4.Doanh thu'!$R$60</f>
        <v>1.9328473602827479E-4</v>
      </c>
      <c r="K76" s="916">
        <f>SUMIFS(LUONG!F:F,LUONG!$C:$C,CPSX!$D76)</f>
        <v>0</v>
      </c>
      <c r="L76" s="916">
        <f>SUMIFS(LUONG!G:G,LUONG!$C:$C,CPSX!$D76)</f>
        <v>19250000</v>
      </c>
      <c r="M76" s="916">
        <f>SUMIFS(LUONG!H:H,LUONG!$C:$C,CPSX!$D76)</f>
        <v>0</v>
      </c>
      <c r="N76" s="916">
        <f>SUMIFS(LUONG!I:I,LUONG!$C:$C,CPSX!$D76)</f>
        <v>0</v>
      </c>
      <c r="O76" s="916">
        <f>SUMIFS(LUONG!J:J,LUONG!$C:$C,CPSX!$D76)</f>
        <v>0</v>
      </c>
      <c r="P76" s="916">
        <f>SUMIFS(LUONG!K:K,LUONG!$C:$C,CPSX!$D76)</f>
        <v>0</v>
      </c>
      <c r="Q76" s="916">
        <f>SUMIFS(LUONG!L:L,LUONG!$C:$C,CPSX!$D76)</f>
        <v>0</v>
      </c>
      <c r="R76" s="916">
        <f>SUMIFS(LUONG!M:M,LUONG!$C:$C,CPSX!$D76)</f>
        <v>0</v>
      </c>
      <c r="S76" s="916">
        <f>SUMIFS(LUONG!N:N,LUONG!$C:$C,CPSX!$D76)</f>
        <v>0</v>
      </c>
      <c r="T76" s="916">
        <f>SUMIFS(LUONG!O:O,LUONG!$C:$C,CPSX!$D76)</f>
        <v>0</v>
      </c>
      <c r="U76" s="916">
        <f>SUMIFS(LUONG!P:P,LUONG!$C:$C,CPSX!$D76)</f>
        <v>0</v>
      </c>
      <c r="V76" s="916">
        <f>SUMIFS(LUONG!Q:Q,LUONG!$C:$C,CPSX!$D76)</f>
        <v>0</v>
      </c>
      <c r="W76" s="982">
        <f t="shared" si="95"/>
        <v>19250000</v>
      </c>
      <c r="Y76" s="916"/>
      <c r="Z76" s="916"/>
      <c r="AA76" s="916"/>
      <c r="AB76" s="916"/>
      <c r="AC76" s="916"/>
      <c r="AD76" s="916"/>
      <c r="AE76" s="916"/>
      <c r="AF76" s="916"/>
      <c r="AG76" s="916"/>
      <c r="AH76" s="916"/>
      <c r="AI76" s="916"/>
      <c r="AJ76" s="916"/>
      <c r="AK76" s="982">
        <f t="shared" si="94"/>
        <v>0</v>
      </c>
      <c r="AM76" s="916"/>
      <c r="AO76" s="916"/>
      <c r="AQ76" s="915">
        <f t="shared" si="12"/>
        <v>19250000</v>
      </c>
      <c r="AR76" s="994">
        <f t="shared" si="13"/>
        <v>0</v>
      </c>
    </row>
    <row r="77" spans="2:44" x14ac:dyDescent="0.25">
      <c r="B77" s="575">
        <v>6</v>
      </c>
      <c r="C77" s="575"/>
      <c r="D77" s="981" t="s">
        <v>857</v>
      </c>
      <c r="E77" s="638" t="s">
        <v>467</v>
      </c>
      <c r="F77" s="638" t="s">
        <v>570</v>
      </c>
      <c r="G77" s="638" t="s">
        <v>467</v>
      </c>
      <c r="H77" s="981" t="s">
        <v>521</v>
      </c>
      <c r="I77" s="606" t="s">
        <v>612</v>
      </c>
      <c r="J77" s="993">
        <f>W77/'4.Doanh thu'!$R$60</f>
        <v>8.0659477478562964E-4</v>
      </c>
      <c r="K77" s="916">
        <f>SUMIFS(LUONG!F:F,LUONG!$C:$C,CPSX!$D77)</f>
        <v>6650000</v>
      </c>
      <c r="L77" s="916">
        <f>SUMIFS(LUONG!G:G,LUONG!$C:$C,CPSX!$D77)</f>
        <v>5852000</v>
      </c>
      <c r="M77" s="916">
        <f>SUMIFS(LUONG!H:H,LUONG!$C:$C,CPSX!$D77)</f>
        <v>6384000</v>
      </c>
      <c r="N77" s="916">
        <f>SUMIFS(LUONG!I:I,LUONG!$C:$C,CPSX!$D77)</f>
        <v>7182000</v>
      </c>
      <c r="O77" s="916">
        <f>SUMIFS(LUONG!J:J,LUONG!$C:$C,CPSX!$D77)</f>
        <v>5852000</v>
      </c>
      <c r="P77" s="916">
        <f>SUMIFS(LUONG!K:K,LUONG!$C:$C,CPSX!$D77)</f>
        <v>7182000</v>
      </c>
      <c r="Q77" s="916">
        <f>SUMIFS(LUONG!L:L,LUONG!$C:$C,CPSX!$D77)</f>
        <v>6916000</v>
      </c>
      <c r="R77" s="916">
        <f>SUMIFS(LUONG!M:M,LUONG!$C:$C,CPSX!$D77)</f>
        <v>6916000</v>
      </c>
      <c r="S77" s="916">
        <f>SUMIFS(LUONG!N:N,LUONG!$C:$C,CPSX!$D77)</f>
        <v>6650000</v>
      </c>
      <c r="T77" s="916">
        <f>SUMIFS(LUONG!O:O,LUONG!$C:$C,CPSX!$D77)</f>
        <v>6650000</v>
      </c>
      <c r="U77" s="916">
        <f>SUMIFS(LUONG!P:P,LUONG!$C:$C,CPSX!$D77)</f>
        <v>7182000</v>
      </c>
      <c r="V77" s="916">
        <f>SUMIFS(LUONG!Q:Q,LUONG!$C:$C,CPSX!$D77)</f>
        <v>6916000</v>
      </c>
      <c r="W77" s="982">
        <f t="shared" si="95"/>
        <v>80332000</v>
      </c>
      <c r="Y77" s="916">
        <v>1250000</v>
      </c>
      <c r="Z77" s="916">
        <v>850000</v>
      </c>
      <c r="AA77" s="916">
        <v>775000</v>
      </c>
      <c r="AB77" s="916">
        <v>3575000</v>
      </c>
      <c r="AC77" s="916">
        <v>3491250</v>
      </c>
      <c r="AD77" s="916">
        <v>4147500</v>
      </c>
      <c r="AE77" s="916">
        <v>4170631</v>
      </c>
      <c r="AF77" s="916">
        <v>3970421</v>
      </c>
      <c r="AG77" s="916">
        <v>3540477</v>
      </c>
      <c r="AH77" s="916">
        <v>3540477</v>
      </c>
      <c r="AI77" s="916">
        <v>3540477</v>
      </c>
      <c r="AJ77" s="916">
        <v>3540477</v>
      </c>
      <c r="AK77" s="982">
        <f t="shared" si="94"/>
        <v>36391710</v>
      </c>
      <c r="AM77" s="916">
        <v>7575000</v>
      </c>
      <c r="AO77" s="916">
        <f>344150000*0.05</f>
        <v>17207500</v>
      </c>
      <c r="AQ77" s="915">
        <f t="shared" ref="AQ77:AQ100" si="96">IFERROR(W77-AK77,0)</f>
        <v>43940290</v>
      </c>
      <c r="AR77" s="994">
        <f t="shared" ref="AR77:AR106" si="97">IFERROR((W77/AK77)-1,0)</f>
        <v>1.2074258120874233</v>
      </c>
    </row>
    <row r="78" spans="2:44" x14ac:dyDescent="0.25">
      <c r="B78" s="575">
        <v>7</v>
      </c>
      <c r="C78" s="575"/>
      <c r="D78" s="981">
        <v>6271002603</v>
      </c>
      <c r="E78" s="638" t="s">
        <v>466</v>
      </c>
      <c r="F78" s="638" t="s">
        <v>574</v>
      </c>
      <c r="G78" s="638" t="s">
        <v>466</v>
      </c>
      <c r="H78" s="981" t="s">
        <v>521</v>
      </c>
      <c r="I78" s="606" t="s">
        <v>612</v>
      </c>
      <c r="J78" s="993">
        <f>W78/'4.Doanh thu'!$R$60</f>
        <v>0</v>
      </c>
      <c r="K78" s="916">
        <f>SUMIFS(LUONG!F:F,LUONG!$C:$C,CPSX!$D78)</f>
        <v>0</v>
      </c>
      <c r="L78" s="916">
        <f>SUMIFS(LUONG!G:G,LUONG!$C:$C,CPSX!$D78)</f>
        <v>0</v>
      </c>
      <c r="M78" s="916">
        <f>SUMIFS(LUONG!H:H,LUONG!$C:$C,CPSX!$D78)</f>
        <v>0</v>
      </c>
      <c r="N78" s="916">
        <f>SUMIFS(LUONG!I:I,LUONG!$C:$C,CPSX!$D78)</f>
        <v>0</v>
      </c>
      <c r="O78" s="916">
        <f>SUMIFS(LUONG!J:J,LUONG!$C:$C,CPSX!$D78)</f>
        <v>0</v>
      </c>
      <c r="P78" s="916">
        <f>SUMIFS(LUONG!K:K,LUONG!$C:$C,CPSX!$D78)</f>
        <v>0</v>
      </c>
      <c r="Q78" s="916">
        <f>SUMIFS(LUONG!L:L,LUONG!$C:$C,CPSX!$D78)</f>
        <v>0</v>
      </c>
      <c r="R78" s="916">
        <f>SUMIFS(LUONG!M:M,LUONG!$C:$C,CPSX!$D78)</f>
        <v>0</v>
      </c>
      <c r="S78" s="916">
        <f>SUMIFS(LUONG!N:N,LUONG!$C:$C,CPSX!$D78)</f>
        <v>0</v>
      </c>
      <c r="T78" s="916">
        <f>SUMIFS(LUONG!O:O,LUONG!$C:$C,CPSX!$D78)</f>
        <v>0</v>
      </c>
      <c r="U78" s="916">
        <f>SUMIFS(LUONG!P:P,LUONG!$C:$C,CPSX!$D78)</f>
        <v>0</v>
      </c>
      <c r="V78" s="916">
        <f>SUMIFS(LUONG!Q:Q,LUONG!$C:$C,CPSX!$D78)</f>
        <v>0</v>
      </c>
      <c r="W78" s="982">
        <f t="shared" si="95"/>
        <v>0</v>
      </c>
      <c r="Y78" s="916"/>
      <c r="Z78" s="916"/>
      <c r="AA78" s="916"/>
      <c r="AB78" s="916"/>
      <c r="AC78" s="916"/>
      <c r="AD78" s="916"/>
      <c r="AE78" s="916"/>
      <c r="AF78" s="916"/>
      <c r="AG78" s="916"/>
      <c r="AH78" s="916"/>
      <c r="AI78" s="916"/>
      <c r="AJ78" s="916"/>
      <c r="AK78" s="982">
        <f t="shared" si="94"/>
        <v>0</v>
      </c>
      <c r="AM78" s="916"/>
      <c r="AO78" s="916"/>
      <c r="AQ78" s="915">
        <f t="shared" si="96"/>
        <v>0</v>
      </c>
      <c r="AR78" s="994">
        <f t="shared" si="97"/>
        <v>0</v>
      </c>
    </row>
    <row r="79" spans="2:44" x14ac:dyDescent="0.25">
      <c r="B79" s="575">
        <v>8</v>
      </c>
      <c r="C79" s="575"/>
      <c r="D79" s="981">
        <v>6271003401</v>
      </c>
      <c r="E79" s="638" t="s">
        <v>463</v>
      </c>
      <c r="F79" s="638" t="s">
        <v>570</v>
      </c>
      <c r="G79" s="638" t="s">
        <v>463</v>
      </c>
      <c r="H79" s="981" t="s">
        <v>521</v>
      </c>
      <c r="I79" s="606" t="s">
        <v>612</v>
      </c>
      <c r="J79" s="993">
        <f>W79/'4.Doanh thu'!$R$60</f>
        <v>3.465708657148021E-3</v>
      </c>
      <c r="K79" s="916">
        <f>SUMIFS(LUONG!F:F,LUONG!$C:$C,CPSX!$D79)</f>
        <v>28763649</v>
      </c>
      <c r="L79" s="916">
        <f>SUMIFS(LUONG!G:G,LUONG!$C:$C,CPSX!$D79)</f>
        <v>28763649</v>
      </c>
      <c r="M79" s="916">
        <f>SUMIFS(LUONG!H:H,LUONG!$C:$C,CPSX!$D79)</f>
        <v>28763649</v>
      </c>
      <c r="N79" s="916">
        <f>SUMIFS(LUONG!I:I,LUONG!$C:$C,CPSX!$D79)</f>
        <v>28763649</v>
      </c>
      <c r="O79" s="916">
        <f>SUMIFS(LUONG!J:J,LUONG!$C:$C,CPSX!$D79)</f>
        <v>28763649</v>
      </c>
      <c r="P79" s="916">
        <f>SUMIFS(LUONG!K:K,LUONG!$C:$C,CPSX!$D79)</f>
        <v>28763649</v>
      </c>
      <c r="Q79" s="916">
        <f>SUMIFS(LUONG!L:L,LUONG!$C:$C,CPSX!$D79)</f>
        <v>28763649</v>
      </c>
      <c r="R79" s="916">
        <f>SUMIFS(LUONG!M:M,LUONG!$C:$C,CPSX!$D79)</f>
        <v>28763649</v>
      </c>
      <c r="S79" s="916">
        <f>SUMIFS(LUONG!N:N,LUONG!$C:$C,CPSX!$D79)</f>
        <v>28763649</v>
      </c>
      <c r="T79" s="916">
        <f>SUMIFS(LUONG!O:O,LUONG!$C:$C,CPSX!$D79)</f>
        <v>28763649</v>
      </c>
      <c r="U79" s="916">
        <f>SUMIFS(LUONG!P:P,LUONG!$C:$C,CPSX!$D79)</f>
        <v>28763649</v>
      </c>
      <c r="V79" s="916">
        <f>SUMIFS(LUONG!Q:Q,LUONG!$C:$C,CPSX!$D79)</f>
        <v>28763649</v>
      </c>
      <c r="W79" s="982">
        <f t="shared" si="95"/>
        <v>345163788</v>
      </c>
      <c r="Y79" s="916">
        <v>3025000</v>
      </c>
      <c r="Z79" s="916">
        <v>3225000</v>
      </c>
      <c r="AA79" s="916">
        <v>2150000</v>
      </c>
      <c r="AB79" s="916">
        <v>1075000</v>
      </c>
      <c r="AC79" s="916">
        <v>2150000</v>
      </c>
      <c r="AD79" s="916">
        <v>7847500</v>
      </c>
      <c r="AE79" s="916">
        <v>4533333</v>
      </c>
      <c r="AF79" s="916">
        <v>9527500</v>
      </c>
      <c r="AG79" s="916">
        <v>9527500</v>
      </c>
      <c r="AH79" s="916">
        <v>16627222.333333334</v>
      </c>
      <c r="AI79" s="916">
        <v>16627222.333333334</v>
      </c>
      <c r="AJ79" s="916">
        <v>16627222.333333334</v>
      </c>
      <c r="AK79" s="982">
        <f t="shared" si="94"/>
        <v>92942500</v>
      </c>
      <c r="AM79" s="916">
        <v>6600000</v>
      </c>
      <c r="AO79" s="916">
        <f>596574620*0.05</f>
        <v>29828731</v>
      </c>
      <c r="AQ79" s="915">
        <f t="shared" si="96"/>
        <v>252221288</v>
      </c>
      <c r="AR79" s="994">
        <f t="shared" si="97"/>
        <v>2.7137347069424642</v>
      </c>
    </row>
    <row r="80" spans="2:44" x14ac:dyDescent="0.25">
      <c r="B80" s="575">
        <v>9</v>
      </c>
      <c r="C80" s="575"/>
      <c r="D80" s="981">
        <v>6271002703</v>
      </c>
      <c r="E80" s="638" t="s">
        <v>464</v>
      </c>
      <c r="F80" s="638" t="s">
        <v>574</v>
      </c>
      <c r="G80" s="638" t="s">
        <v>464</v>
      </c>
      <c r="H80" s="981" t="s">
        <v>521</v>
      </c>
      <c r="I80" s="606" t="s">
        <v>612</v>
      </c>
      <c r="J80" s="993">
        <f>W80/'4.Doanh thu'!$R$60</f>
        <v>3.7641172493657588E-4</v>
      </c>
      <c r="K80" s="916">
        <f>SUMIFS(LUONG!F:F,LUONG!$C:$C,CPSX!$D80)</f>
        <v>902027.33333333337</v>
      </c>
      <c r="L80" s="916">
        <f>SUMIFS(LUONG!G:G,LUONG!$C:$C,CPSX!$D80)</f>
        <v>1849278.3333333333</v>
      </c>
      <c r="M80" s="916">
        <f>SUMIFS(LUONG!H:H,LUONG!$C:$C,CPSX!$D80)</f>
        <v>2918887.1666666665</v>
      </c>
      <c r="N80" s="916">
        <f>SUMIFS(LUONG!I:I,LUONG!$C:$C,CPSX!$D80)</f>
        <v>2649884.6666666665</v>
      </c>
      <c r="O80" s="916">
        <f>SUMIFS(LUONG!J:J,LUONG!$C:$C,CPSX!$D80)</f>
        <v>2159166.1666666665</v>
      </c>
      <c r="P80" s="916">
        <f>SUMIFS(LUONG!K:K,LUONG!$C:$C,CPSX!$D80)</f>
        <v>974186.33333333337</v>
      </c>
      <c r="Q80" s="916">
        <f>SUMIFS(LUONG!L:L,LUONG!$C:$C,CPSX!$D80)</f>
        <v>6214060</v>
      </c>
      <c r="R80" s="916">
        <f>SUMIFS(LUONG!M:M,LUONG!$C:$C,CPSX!$D80)</f>
        <v>7434833.333333333</v>
      </c>
      <c r="S80" s="916">
        <f>SUMIFS(LUONG!N:N,LUONG!$C:$C,CPSX!$D80)</f>
        <v>5975057</v>
      </c>
      <c r="T80" s="916">
        <f>SUMIFS(LUONG!O:O,LUONG!$C:$C,CPSX!$D80)</f>
        <v>2453595.3333333335</v>
      </c>
      <c r="U80" s="916">
        <f>SUMIFS(LUONG!P:P,LUONG!$C:$C,CPSX!$D80)</f>
        <v>2016020.3333333333</v>
      </c>
      <c r="V80" s="916">
        <f>SUMIFS(LUONG!Q:Q,LUONG!$C:$C,CPSX!$D80)</f>
        <v>1941353.3333333333</v>
      </c>
      <c r="W80" s="982">
        <f t="shared" si="95"/>
        <v>37488349.333333336</v>
      </c>
      <c r="Y80" s="916"/>
      <c r="Z80" s="916"/>
      <c r="AA80" s="916"/>
      <c r="AB80" s="916"/>
      <c r="AC80" s="916"/>
      <c r="AD80" s="916"/>
      <c r="AE80" s="916"/>
      <c r="AF80" s="916"/>
      <c r="AG80" s="916"/>
      <c r="AH80" s="916"/>
      <c r="AI80" s="916"/>
      <c r="AJ80" s="916"/>
      <c r="AK80" s="982">
        <f t="shared" si="94"/>
        <v>0</v>
      </c>
      <c r="AM80" s="916"/>
      <c r="AO80" s="916"/>
      <c r="AQ80" s="915">
        <f t="shared" si="96"/>
        <v>37488349.333333336</v>
      </c>
      <c r="AR80" s="994">
        <f t="shared" si="97"/>
        <v>0</v>
      </c>
    </row>
    <row r="81" spans="2:44" x14ac:dyDescent="0.25">
      <c r="B81" s="575">
        <v>10</v>
      </c>
      <c r="C81" s="575"/>
      <c r="D81" s="981" t="s">
        <v>854</v>
      </c>
      <c r="E81" s="638" t="s">
        <v>855</v>
      </c>
      <c r="F81" s="638" t="s">
        <v>811</v>
      </c>
      <c r="G81" s="638" t="s">
        <v>855</v>
      </c>
      <c r="H81" s="981" t="s">
        <v>521</v>
      </c>
      <c r="I81" s="606" t="s">
        <v>623</v>
      </c>
      <c r="J81" s="993">
        <f>W81/'4.Doanh thu'!$R$60</f>
        <v>0</v>
      </c>
      <c r="K81" s="916"/>
      <c r="L81" s="916"/>
      <c r="M81" s="916"/>
      <c r="N81" s="916"/>
      <c r="O81" s="916"/>
      <c r="P81" s="916"/>
      <c r="Q81" s="916"/>
      <c r="R81" s="916"/>
      <c r="S81" s="916"/>
      <c r="T81" s="916"/>
      <c r="U81" s="916"/>
      <c r="V81" s="916"/>
      <c r="W81" s="982">
        <f t="shared" si="95"/>
        <v>0</v>
      </c>
      <c r="Y81" s="916"/>
      <c r="Z81" s="916"/>
      <c r="AA81" s="916"/>
      <c r="AB81" s="916"/>
      <c r="AC81" s="916"/>
      <c r="AD81" s="916"/>
      <c r="AE81" s="916"/>
      <c r="AF81" s="916"/>
      <c r="AG81" s="916"/>
      <c r="AH81" s="916"/>
      <c r="AI81" s="916"/>
      <c r="AJ81" s="916"/>
      <c r="AK81" s="982"/>
      <c r="AM81" s="982"/>
      <c r="AO81" s="982"/>
      <c r="AQ81" s="916">
        <f t="shared" si="96"/>
        <v>0</v>
      </c>
      <c r="AR81" s="994">
        <f t="shared" si="97"/>
        <v>0</v>
      </c>
    </row>
    <row r="82" spans="2:44" x14ac:dyDescent="0.25">
      <c r="B82" s="575">
        <v>10</v>
      </c>
      <c r="C82" s="575"/>
      <c r="D82" s="1313" t="s">
        <v>867</v>
      </c>
      <c r="E82" s="638" t="s">
        <v>430</v>
      </c>
      <c r="F82" s="638" t="s">
        <v>570</v>
      </c>
      <c r="G82" s="638" t="s">
        <v>430</v>
      </c>
      <c r="H82" s="981" t="s">
        <v>521</v>
      </c>
      <c r="I82" s="606" t="s">
        <v>622</v>
      </c>
      <c r="J82" s="993">
        <f ca="1">W82/'4.Doanh thu'!$R$60</f>
        <v>1.5977760885666384E-4</v>
      </c>
      <c r="K82" s="916">
        <f ca="1">SUMIF(PB_CPTT!$Z$9:$AR$112,CPSX!$D$82,PB_CPTT!AF9:AF112)</f>
        <v>3543261.7647058815</v>
      </c>
      <c r="L82" s="916">
        <f ca="1">SUMIF(PB_CPTT!$Z$9:$AR$112,CPSX!$D$82,PB_CPTT!AG9:AG112)</f>
        <v>3543261.7647058815</v>
      </c>
      <c r="M82" s="916">
        <f ca="1">SUMIF(PB_CPTT!$Z$9:$AR$112,CPSX!$D$82,PB_CPTT!AH9:AH112)</f>
        <v>3543261.7647058815</v>
      </c>
      <c r="N82" s="916">
        <f ca="1">SUMIF(PB_CPTT!$Z$9:$AR$112,CPSX!$D$82,PB_CPTT!AI9:AI112)</f>
        <v>587011.76470588159</v>
      </c>
      <c r="O82" s="916">
        <f ca="1">SUMIF(PB_CPTT!$Z$9:$AR$112,CPSX!$D$82,PB_CPTT!AJ9:AJ112)</f>
        <v>587011.76470588159</v>
      </c>
      <c r="P82" s="916">
        <f ca="1">SUMIF(PB_CPTT!$Z$9:$AR$112,CPSX!$D$82,PB_CPTT!AK9:AK112)</f>
        <v>587011.76470588159</v>
      </c>
      <c r="Q82" s="916">
        <f ca="1">SUMIF(PB_CPTT!$Z$9:$AR$112,CPSX!$D$82,PB_CPTT!AL9:AL112)</f>
        <v>587011.76470588159</v>
      </c>
      <c r="R82" s="916">
        <f ca="1">SUMIF(PB_CPTT!$Z$9:$AR$112,CPSX!$D$82,PB_CPTT!AM9:AM112)</f>
        <v>587011.76470588159</v>
      </c>
      <c r="S82" s="916">
        <f ca="1">SUMIF(PB_CPTT!$Z$9:$AR$112,CPSX!$D$82,PB_CPTT!AN9:AN112)</f>
        <v>587011.76470588159</v>
      </c>
      <c r="T82" s="916">
        <f ca="1">SUMIF(PB_CPTT!$Z$9:$AR$112,CPSX!$D$82,PB_CPTT!AO9:AO112)</f>
        <v>587011.76470588159</v>
      </c>
      <c r="U82" s="916">
        <f ca="1">SUMIF(PB_CPTT!$Z$9:$AR$112,CPSX!$D$82,PB_CPTT!AP9:AP112)</f>
        <v>587011.76470588159</v>
      </c>
      <c r="V82" s="916">
        <f ca="1">SUMIF(PB_CPTT!$Z$9:$AR$112,CPSX!$D$82,PB_CPTT!AQ9:AQ112)</f>
        <v>587011.76470588159</v>
      </c>
      <c r="W82" s="982">
        <f t="shared" ca="1" si="95"/>
        <v>15912891.176470578</v>
      </c>
      <c r="Y82" s="916"/>
      <c r="Z82" s="916"/>
      <c r="AA82" s="916"/>
      <c r="AB82" s="916"/>
      <c r="AC82" s="916"/>
      <c r="AD82" s="916"/>
      <c r="AE82" s="916"/>
      <c r="AF82" s="916"/>
      <c r="AG82" s="916"/>
      <c r="AH82" s="916"/>
      <c r="AI82" s="916"/>
      <c r="AJ82" s="916"/>
      <c r="AK82" s="982">
        <f t="shared" si="94"/>
        <v>0</v>
      </c>
      <c r="AM82" s="916"/>
      <c r="AO82" s="916"/>
      <c r="AQ82" s="915">
        <f t="shared" ca="1" si="96"/>
        <v>15912891.176470578</v>
      </c>
      <c r="AR82" s="994">
        <f t="shared" ca="1" si="97"/>
        <v>0</v>
      </c>
    </row>
    <row r="83" spans="2:44" x14ac:dyDescent="0.25">
      <c r="B83" s="575">
        <v>11</v>
      </c>
      <c r="C83" s="575"/>
      <c r="D83" s="1313" t="s">
        <v>1004</v>
      </c>
      <c r="E83" s="638" t="s">
        <v>441</v>
      </c>
      <c r="F83" s="638" t="s">
        <v>570</v>
      </c>
      <c r="G83" s="638" t="s">
        <v>1946</v>
      </c>
      <c r="H83" s="981" t="s">
        <v>521</v>
      </c>
      <c r="I83" s="606" t="s">
        <v>622</v>
      </c>
      <c r="J83" s="993">
        <f ca="1">W83/'4.Doanh thu'!$R$60</f>
        <v>1.6398918358535654E-4</v>
      </c>
      <c r="K83" s="916">
        <f ca="1">SUMIF(PB_CPTT!$Z$9:$AR$112,CPSX!$D$83,PB_CPTT!AF9:AF112)</f>
        <v>1454361.5625</v>
      </c>
      <c r="L83" s="916">
        <f ca="1">SUMIF(PB_CPTT!$Z$9:$AR$112,CPSX!$D$83,PB_CPTT!AG9:AG112)</f>
        <v>1454361.5625</v>
      </c>
      <c r="M83" s="916">
        <f ca="1">SUMIF(PB_CPTT!$Z$9:$AR$112,CPSX!$D$83,PB_CPTT!AH9:AH112)</f>
        <v>1454361.5625</v>
      </c>
      <c r="N83" s="916">
        <f ca="1">SUMIF(PB_CPTT!$Z$9:$AR$112,CPSX!$D$83,PB_CPTT!AI9:AI112)</f>
        <v>1454361.5625</v>
      </c>
      <c r="O83" s="916">
        <f ca="1">SUMIF(PB_CPTT!$Z$9:$AR$112,CPSX!$D$83,PB_CPTT!AJ9:AJ112)</f>
        <v>1454361.5625</v>
      </c>
      <c r="P83" s="916">
        <f ca="1">SUMIF(PB_CPTT!$Z$9:$AR$112,CPSX!$D$83,PB_CPTT!AK9:AK112)</f>
        <v>1454361.5625</v>
      </c>
      <c r="Q83" s="916">
        <f ca="1">SUMIF(PB_CPTT!$Z$9:$AR$112,CPSX!$D$83,PB_CPTT!AL9:AL112)</f>
        <v>1454361.5625</v>
      </c>
      <c r="R83" s="916">
        <f ca="1">SUMIF(PB_CPTT!$Z$9:$AR$112,CPSX!$D$83,PB_CPTT!AM9:AM112)</f>
        <v>1230361.5625</v>
      </c>
      <c r="S83" s="916">
        <f ca="1">SUMIF(PB_CPTT!$Z$9:$AR$112,CPSX!$D$83,PB_CPTT!AN9:AN112)</f>
        <v>1230361.5625</v>
      </c>
      <c r="T83" s="916">
        <f ca="1">SUMIF(PB_CPTT!$Z$9:$AR$112,CPSX!$D$83,PB_CPTT!AO9:AO112)</f>
        <v>1230361.5625</v>
      </c>
      <c r="U83" s="916">
        <f ca="1">SUMIF(PB_CPTT!$Z$9:$AR$112,CPSX!$D$83,PB_CPTT!AP9:AP112)</f>
        <v>1230361.5625</v>
      </c>
      <c r="V83" s="916">
        <f ca="1">SUMIF(PB_CPTT!$Z$9:$AR$112,CPSX!$D$83,PB_CPTT!AQ9:AQ112)</f>
        <v>1230361.5625</v>
      </c>
      <c r="W83" s="982">
        <f t="shared" ca="1" si="95"/>
        <v>16332338.75</v>
      </c>
      <c r="Y83" s="916">
        <v>394153</v>
      </c>
      <c r="Z83" s="916">
        <v>394153</v>
      </c>
      <c r="AA83" s="916">
        <v>394153</v>
      </c>
      <c r="AB83" s="916">
        <v>394153</v>
      </c>
      <c r="AC83" s="916">
        <v>394153</v>
      </c>
      <c r="AD83" s="916">
        <v>394153</v>
      </c>
      <c r="AE83" s="916">
        <f>175753+73275</f>
        <v>249028</v>
      </c>
      <c r="AF83" s="916">
        <f>399753+15000000</f>
        <v>15399753</v>
      </c>
      <c r="AG83" s="916">
        <v>399753</v>
      </c>
      <c r="AH83" s="916">
        <v>269349</v>
      </c>
      <c r="AI83" s="916">
        <v>224000</v>
      </c>
      <c r="AJ83" s="916">
        <v>224000</v>
      </c>
      <c r="AK83" s="982">
        <f t="shared" si="94"/>
        <v>19130801</v>
      </c>
      <c r="AM83" s="916">
        <v>1792303</v>
      </c>
      <c r="AO83" s="916">
        <f>760381+4158000</f>
        <v>4918381</v>
      </c>
      <c r="AQ83" s="915">
        <f t="shared" ca="1" si="96"/>
        <v>-2798462.25</v>
      </c>
      <c r="AR83" s="994">
        <f t="shared" ref="AR83:AR84" ca="1" si="98">IFERROR((W83/AK83)-1,0)</f>
        <v>-0.14628045370395104</v>
      </c>
    </row>
    <row r="84" spans="2:44" x14ac:dyDescent="0.25">
      <c r="B84" s="575">
        <v>12</v>
      </c>
      <c r="C84" s="575"/>
      <c r="D84" s="1313" t="s">
        <v>889</v>
      </c>
      <c r="E84" s="638" t="s">
        <v>432</v>
      </c>
      <c r="F84" s="638" t="s">
        <v>580</v>
      </c>
      <c r="G84" s="638" t="s">
        <v>432</v>
      </c>
      <c r="H84" s="981" t="s">
        <v>516</v>
      </c>
      <c r="I84" s="606" t="s">
        <v>623</v>
      </c>
      <c r="J84" s="993">
        <f>W84/'4.Doanh thu'!$R$60</f>
        <v>1.4471869389722275E-3</v>
      </c>
      <c r="K84" s="916">
        <v>17775922.666666668</v>
      </c>
      <c r="L84" s="916">
        <v>12626816.666666668</v>
      </c>
      <c r="M84" s="916">
        <v>9950172.6666666679</v>
      </c>
      <c r="N84" s="916">
        <v>12749666.666666668</v>
      </c>
      <c r="O84" s="916">
        <v>9133072.6666666679</v>
      </c>
      <c r="P84" s="916">
        <v>17417916.666666668</v>
      </c>
      <c r="Q84" s="916">
        <v>9255922.6666666679</v>
      </c>
      <c r="R84" s="916">
        <v>12626816.666666668</v>
      </c>
      <c r="S84" s="916">
        <v>8739172.6666666679</v>
      </c>
      <c r="T84" s="916">
        <v>12674666.666666668</v>
      </c>
      <c r="U84" s="916">
        <v>8678072.6666666679</v>
      </c>
      <c r="V84" s="916">
        <v>12502916.666666668</v>
      </c>
      <c r="W84" s="982">
        <f t="shared" si="95"/>
        <v>144131136.00000003</v>
      </c>
      <c r="Y84" s="916">
        <v>1590000</v>
      </c>
      <c r="Z84" s="916">
        <v>0</v>
      </c>
      <c r="AA84" s="916">
        <v>9084000</v>
      </c>
      <c r="AB84" s="916">
        <v>3355347</v>
      </c>
      <c r="AC84" s="916">
        <v>21014604</v>
      </c>
      <c r="AD84" s="916">
        <v>0</v>
      </c>
      <c r="AE84" s="916">
        <v>4020000</v>
      </c>
      <c r="AF84" s="916"/>
      <c r="AG84" s="916">
        <v>820000</v>
      </c>
      <c r="AH84" s="916">
        <v>10431550</v>
      </c>
      <c r="AI84" s="916">
        <v>10431550</v>
      </c>
      <c r="AJ84" s="916">
        <v>10431550</v>
      </c>
      <c r="AK84" s="982">
        <f t="shared" si="94"/>
        <v>71178601</v>
      </c>
      <c r="AM84" s="916">
        <v>34496194</v>
      </c>
      <c r="AO84" s="916"/>
      <c r="AQ84" s="915">
        <f t="shared" si="96"/>
        <v>72952535.00000003</v>
      </c>
      <c r="AR84" s="994">
        <f t="shared" si="98"/>
        <v>1.0249222937101563</v>
      </c>
    </row>
    <row r="85" spans="2:44" x14ac:dyDescent="0.25">
      <c r="B85" s="575">
        <v>13</v>
      </c>
      <c r="C85" s="575"/>
      <c r="D85" s="1313" t="s">
        <v>1116</v>
      </c>
      <c r="E85" s="638" t="s">
        <v>15</v>
      </c>
      <c r="F85" s="638" t="s">
        <v>573</v>
      </c>
      <c r="G85" s="638" t="s">
        <v>15</v>
      </c>
      <c r="H85" s="981" t="s">
        <v>516</v>
      </c>
      <c r="I85" s="606" t="s">
        <v>623</v>
      </c>
      <c r="J85" s="993">
        <f>W85/'4.Doanh thu'!$R$60</f>
        <v>1.1299527230556056E-4</v>
      </c>
      <c r="K85" s="916">
        <v>937804.26249999995</v>
      </c>
      <c r="L85" s="916">
        <v>937804.26249999995</v>
      </c>
      <c r="M85" s="916">
        <v>937804.26249999995</v>
      </c>
      <c r="N85" s="916">
        <v>937804.26249999995</v>
      </c>
      <c r="O85" s="916">
        <v>937804.26249999995</v>
      </c>
      <c r="P85" s="916">
        <v>937804.26249999995</v>
      </c>
      <c r="Q85" s="916">
        <v>937804.26249999995</v>
      </c>
      <c r="R85" s="916">
        <v>937804.26249999995</v>
      </c>
      <c r="S85" s="916">
        <v>937804.26249999995</v>
      </c>
      <c r="T85" s="916">
        <v>937804.26249999995</v>
      </c>
      <c r="U85" s="916">
        <v>937804.26249999995</v>
      </c>
      <c r="V85" s="916">
        <v>937804.26249999995</v>
      </c>
      <c r="W85" s="982">
        <f t="shared" si="95"/>
        <v>11253651.149999999</v>
      </c>
      <c r="Y85" s="916">
        <v>1716352</v>
      </c>
      <c r="Z85" s="916">
        <v>746577</v>
      </c>
      <c r="AA85" s="916">
        <v>704286</v>
      </c>
      <c r="AB85" s="916">
        <v>963388</v>
      </c>
      <c r="AC85" s="916">
        <v>437143</v>
      </c>
      <c r="AD85" s="916">
        <v>1190083</v>
      </c>
      <c r="AE85" s="916">
        <v>979580</v>
      </c>
      <c r="AF85" s="916">
        <v>922923</v>
      </c>
      <c r="AG85" s="916">
        <v>518095</v>
      </c>
      <c r="AH85" s="916">
        <v>908714</v>
      </c>
      <c r="AI85" s="916">
        <v>908714</v>
      </c>
      <c r="AJ85" s="916">
        <v>908714</v>
      </c>
      <c r="AK85" s="982">
        <f t="shared" si="94"/>
        <v>10904569</v>
      </c>
      <c r="AM85" s="916">
        <v>8473005</v>
      </c>
      <c r="AO85" s="916">
        <v>6976562</v>
      </c>
      <c r="AQ85" s="915">
        <f t="shared" si="96"/>
        <v>349082.14999999851</v>
      </c>
      <c r="AR85" s="994">
        <f t="shared" si="97"/>
        <v>3.2012466517475247E-2</v>
      </c>
    </row>
    <row r="86" spans="2:44" x14ac:dyDescent="0.25">
      <c r="B86" s="575">
        <v>14</v>
      </c>
      <c r="C86" s="575"/>
      <c r="D86" s="1313" t="s">
        <v>1094</v>
      </c>
      <c r="E86" s="638" t="s">
        <v>451</v>
      </c>
      <c r="F86" s="638" t="s">
        <v>575</v>
      </c>
      <c r="G86" s="638" t="s">
        <v>451</v>
      </c>
      <c r="H86" s="981" t="s">
        <v>521</v>
      </c>
      <c r="I86" s="606" t="s">
        <v>623</v>
      </c>
      <c r="J86" s="993">
        <f>W86/'4.Doanh thu'!$R$60</f>
        <v>4.8612868245075005E-4</v>
      </c>
      <c r="K86" s="916">
        <v>4034625</v>
      </c>
      <c r="L86" s="916">
        <v>4034625</v>
      </c>
      <c r="M86" s="916">
        <v>4034625</v>
      </c>
      <c r="N86" s="916">
        <v>4034625</v>
      </c>
      <c r="O86" s="916">
        <v>4034625</v>
      </c>
      <c r="P86" s="916">
        <v>4034625</v>
      </c>
      <c r="Q86" s="916">
        <v>4034625</v>
      </c>
      <c r="R86" s="916">
        <v>4034625</v>
      </c>
      <c r="S86" s="916">
        <v>4034625</v>
      </c>
      <c r="T86" s="916">
        <v>4034625</v>
      </c>
      <c r="U86" s="916">
        <v>4034625</v>
      </c>
      <c r="V86" s="916">
        <v>4034625</v>
      </c>
      <c r="W86" s="982">
        <f t="shared" si="95"/>
        <v>48415500</v>
      </c>
      <c r="Y86" s="916">
        <v>770000</v>
      </c>
      <c r="Z86" s="916">
        <f>570000+990000</f>
        <v>1560000</v>
      </c>
      <c r="AA86" s="916">
        <f>1900000+1014000</f>
        <v>2914000</v>
      </c>
      <c r="AB86" s="916">
        <v>1105000</v>
      </c>
      <c r="AC86" s="916">
        <f>1900000+1384000</f>
        <v>3284000</v>
      </c>
      <c r="AD86" s="916">
        <f>4600000+1740000</f>
        <v>6340000</v>
      </c>
      <c r="AE86" s="916">
        <v>2988000</v>
      </c>
      <c r="AF86" s="916">
        <f>450000+1392000</f>
        <v>1842000</v>
      </c>
      <c r="AG86" s="916">
        <v>1726000</v>
      </c>
      <c r="AH86" s="916">
        <v>4503222</v>
      </c>
      <c r="AI86" s="916">
        <v>4503222</v>
      </c>
      <c r="AJ86" s="916">
        <v>4503222</v>
      </c>
      <c r="AK86" s="982">
        <f t="shared" si="94"/>
        <v>36038666</v>
      </c>
      <c r="AM86" s="916">
        <f>2075000+27010000+16823000</f>
        <v>45908000</v>
      </c>
      <c r="AO86" s="916">
        <f>21800000+19446679</f>
        <v>41246679</v>
      </c>
      <c r="AQ86" s="915">
        <f t="shared" si="96"/>
        <v>12376834</v>
      </c>
      <c r="AR86" s="994">
        <f t="shared" si="97"/>
        <v>0.34343207931170361</v>
      </c>
    </row>
    <row r="87" spans="2:44" x14ac:dyDescent="0.25">
      <c r="B87" s="575">
        <v>15</v>
      </c>
      <c r="C87" s="575"/>
      <c r="D87" s="1313" t="s">
        <v>1076</v>
      </c>
      <c r="E87" s="638" t="s">
        <v>84</v>
      </c>
      <c r="F87" s="638" t="s">
        <v>576</v>
      </c>
      <c r="G87" s="638" t="s">
        <v>84</v>
      </c>
      <c r="H87" s="981" t="s">
        <v>513</v>
      </c>
      <c r="I87" s="606" t="s">
        <v>622</v>
      </c>
      <c r="J87" s="993">
        <f ca="1">W87/'4.Doanh thu'!$R$60</f>
        <v>3.1909552784304269E-4</v>
      </c>
      <c r="K87" s="916">
        <f ca="1">SUMIF(PB_CPTT!$Z$9:$AR$112,CPSX!$D$87,PB_CPTT!AF9:AF112)</f>
        <v>2648333.3333333335</v>
      </c>
      <c r="L87" s="916">
        <f ca="1">SUMIF(PB_CPTT!$Z$9:$AR$112,CPSX!$D$87,PB_CPTT!AG9:AG112)</f>
        <v>2648333.3333333335</v>
      </c>
      <c r="M87" s="916">
        <f ca="1">SUMIF(PB_CPTT!$Z$9:$AR$112,CPSX!$D$87,PB_CPTT!AH9:AH112)</f>
        <v>2648333.3333333335</v>
      </c>
      <c r="N87" s="916">
        <f ca="1">SUMIF(PB_CPTT!$Z$9:$AR$112,CPSX!$D$87,PB_CPTT!AI9:AI112)</f>
        <v>2648333.3333333335</v>
      </c>
      <c r="O87" s="916">
        <f ca="1">SUMIF(PB_CPTT!$Z$9:$AR$112,CPSX!$D$87,PB_CPTT!AJ9:AJ112)</f>
        <v>2648333.3333333335</v>
      </c>
      <c r="P87" s="916">
        <f ca="1">SUMIF(PB_CPTT!$Z$9:$AR$112,CPSX!$D$87,PB_CPTT!AK9:AK112)</f>
        <v>2648333.3333333335</v>
      </c>
      <c r="Q87" s="916">
        <f ca="1">SUMIF(PB_CPTT!$Z$9:$AR$112,CPSX!$D$87,PB_CPTT!AL9:AL112)</f>
        <v>2648333.3333333335</v>
      </c>
      <c r="R87" s="916">
        <f ca="1">SUMIF(PB_CPTT!$Z$9:$AR$112,CPSX!$D$87,PB_CPTT!AM9:AM112)</f>
        <v>2648333.3333333335</v>
      </c>
      <c r="S87" s="916">
        <f ca="1">SUMIF(PB_CPTT!$Z$9:$AR$112,CPSX!$D$87,PB_CPTT!AN9:AN112)</f>
        <v>2648333.3333333335</v>
      </c>
      <c r="T87" s="916">
        <f ca="1">SUMIF(PB_CPTT!$Z$9:$AR$112,CPSX!$D$87,PB_CPTT!AO9:AO112)</f>
        <v>2648333.3333333335</v>
      </c>
      <c r="U87" s="916">
        <f ca="1">SUMIF(PB_CPTT!$Z$9:$AR$112,CPSX!$D$87,PB_CPTT!AP9:AP112)</f>
        <v>2648333.3333333335</v>
      </c>
      <c r="V87" s="916">
        <f ca="1">SUMIF(PB_CPTT!$Z$9:$AR$112,CPSX!$D$87,PB_CPTT!AQ9:AQ112)</f>
        <v>2648333.3333333335</v>
      </c>
      <c r="W87" s="982">
        <f t="shared" ca="1" si="95"/>
        <v>31779999.999999996</v>
      </c>
      <c r="Y87" s="916">
        <v>38700000</v>
      </c>
      <c r="Z87" s="916">
        <v>0</v>
      </c>
      <c r="AA87" s="916">
        <v>0</v>
      </c>
      <c r="AB87" s="916">
        <v>2100000</v>
      </c>
      <c r="AC87" s="916">
        <v>300000</v>
      </c>
      <c r="AD87" s="916">
        <v>0</v>
      </c>
      <c r="AE87" s="916">
        <v>600000</v>
      </c>
      <c r="AF87" s="916">
        <v>300000</v>
      </c>
      <c r="AG87" s="916">
        <v>300000</v>
      </c>
      <c r="AH87" s="916">
        <v>300000</v>
      </c>
      <c r="AI87" s="916">
        <v>300000</v>
      </c>
      <c r="AJ87" s="916">
        <v>300000</v>
      </c>
      <c r="AK87" s="982">
        <f t="shared" si="94"/>
        <v>43200000</v>
      </c>
      <c r="AM87" s="916">
        <v>0</v>
      </c>
      <c r="AO87" s="916"/>
      <c r="AQ87" s="915">
        <f t="shared" ca="1" si="96"/>
        <v>-11420000.000000004</v>
      </c>
      <c r="AR87" s="994">
        <f t="shared" ca="1" si="97"/>
        <v>-0.26435185185185195</v>
      </c>
    </row>
    <row r="88" spans="2:44" x14ac:dyDescent="0.25">
      <c r="B88" s="575">
        <v>16</v>
      </c>
      <c r="C88" s="575"/>
      <c r="D88" s="1313" t="s">
        <v>925</v>
      </c>
      <c r="E88" s="638" t="s">
        <v>433</v>
      </c>
      <c r="F88" s="638" t="s">
        <v>578</v>
      </c>
      <c r="G88" s="638" t="s">
        <v>433</v>
      </c>
      <c r="H88" s="981" t="s">
        <v>513</v>
      </c>
      <c r="I88" s="606" t="s">
        <v>621</v>
      </c>
      <c r="J88" s="993">
        <f>W88/'4.Doanh thu'!$R$60</f>
        <v>1.8073377914332188E-2</v>
      </c>
      <c r="K88" s="916">
        <v>150000000</v>
      </c>
      <c r="L88" s="916">
        <v>150000000</v>
      </c>
      <c r="M88" s="916">
        <v>150000000</v>
      </c>
      <c r="N88" s="916">
        <v>150000000</v>
      </c>
      <c r="O88" s="916">
        <v>150000000</v>
      </c>
      <c r="P88" s="916">
        <v>150000000</v>
      </c>
      <c r="Q88" s="916">
        <v>150000000</v>
      </c>
      <c r="R88" s="916">
        <v>150000000</v>
      </c>
      <c r="S88" s="916">
        <v>150000000</v>
      </c>
      <c r="T88" s="916">
        <v>150000000</v>
      </c>
      <c r="U88" s="916">
        <v>150000000</v>
      </c>
      <c r="V88" s="916">
        <v>150000000</v>
      </c>
      <c r="W88" s="982">
        <f t="shared" si="95"/>
        <v>1800000000</v>
      </c>
      <c r="Y88" s="916">
        <v>150000000</v>
      </c>
      <c r="Z88" s="916">
        <v>150000000</v>
      </c>
      <c r="AA88" s="916">
        <v>150000000</v>
      </c>
      <c r="AB88" s="916">
        <v>150000000</v>
      </c>
      <c r="AC88" s="916">
        <v>150000000</v>
      </c>
      <c r="AD88" s="916">
        <v>150000000</v>
      </c>
      <c r="AE88" s="916">
        <v>150000000</v>
      </c>
      <c r="AF88" s="916">
        <v>150000000</v>
      </c>
      <c r="AG88" s="916">
        <v>150000000</v>
      </c>
      <c r="AH88" s="916">
        <v>150000000</v>
      </c>
      <c r="AI88" s="916">
        <v>150000000</v>
      </c>
      <c r="AJ88" s="916">
        <v>150000000</v>
      </c>
      <c r="AK88" s="982">
        <f t="shared" si="94"/>
        <v>1800000000</v>
      </c>
      <c r="AM88" s="916">
        <f>882000000+749375000-74375000</f>
        <v>1557000000</v>
      </c>
      <c r="AO88" s="916">
        <v>1118310000</v>
      </c>
      <c r="AQ88" s="915">
        <f t="shared" si="96"/>
        <v>0</v>
      </c>
      <c r="AR88" s="994">
        <f t="shared" si="97"/>
        <v>0</v>
      </c>
    </row>
    <row r="89" spans="2:44" x14ac:dyDescent="0.25">
      <c r="B89" s="575">
        <v>17</v>
      </c>
      <c r="C89" s="575"/>
      <c r="D89" s="1313" t="s">
        <v>1119</v>
      </c>
      <c r="E89" s="638" t="s">
        <v>96</v>
      </c>
      <c r="F89" s="638" t="s">
        <v>575</v>
      </c>
      <c r="G89" s="638" t="s">
        <v>96</v>
      </c>
      <c r="H89" s="981" t="s">
        <v>516</v>
      </c>
      <c r="I89" s="606" t="s">
        <v>623</v>
      </c>
      <c r="J89" s="993">
        <f>W89/'4.Doanh thu'!$R$60</f>
        <v>2.5101913769905816E-4</v>
      </c>
      <c r="K89" s="916">
        <v>2083333.3333333335</v>
      </c>
      <c r="L89" s="916">
        <v>2083333.3333333335</v>
      </c>
      <c r="M89" s="916">
        <v>2083333.3333333335</v>
      </c>
      <c r="N89" s="916">
        <v>2083333.3333333335</v>
      </c>
      <c r="O89" s="916">
        <v>2083333.3333333335</v>
      </c>
      <c r="P89" s="916">
        <v>2083333.3333333335</v>
      </c>
      <c r="Q89" s="916">
        <v>2083333.3333333335</v>
      </c>
      <c r="R89" s="916">
        <v>2083333.3333333335</v>
      </c>
      <c r="S89" s="916">
        <v>2083333.3333333335</v>
      </c>
      <c r="T89" s="916">
        <v>2083333.3333333335</v>
      </c>
      <c r="U89" s="916">
        <v>2083333.3333333335</v>
      </c>
      <c r="V89" s="916">
        <v>2083333.3333333335</v>
      </c>
      <c r="W89" s="982">
        <f t="shared" si="95"/>
        <v>25000000</v>
      </c>
      <c r="Y89" s="916">
        <v>0</v>
      </c>
      <c r="Z89" s="916">
        <v>0</v>
      </c>
      <c r="AA89" s="916">
        <v>0</v>
      </c>
      <c r="AB89" s="916">
        <v>0</v>
      </c>
      <c r="AC89" s="916">
        <v>13304250</v>
      </c>
      <c r="AD89" s="916">
        <v>7000000</v>
      </c>
      <c r="AE89" s="916">
        <v>0</v>
      </c>
      <c r="AF89" s="916">
        <v>0</v>
      </c>
      <c r="AG89" s="916">
        <v>0</v>
      </c>
      <c r="AH89" s="916">
        <v>1478250</v>
      </c>
      <c r="AI89" s="916">
        <v>1478250</v>
      </c>
      <c r="AJ89" s="916">
        <v>1478250</v>
      </c>
      <c r="AK89" s="982">
        <f t="shared" si="94"/>
        <v>24739000</v>
      </c>
      <c r="AM89" s="916"/>
      <c r="AO89" s="916"/>
      <c r="AQ89" s="915">
        <f t="shared" si="96"/>
        <v>261000</v>
      </c>
      <c r="AR89" s="994">
        <f t="shared" si="97"/>
        <v>1.0550143498120335E-2</v>
      </c>
    </row>
    <row r="90" spans="2:44" x14ac:dyDescent="0.25">
      <c r="B90" s="575">
        <v>19</v>
      </c>
      <c r="C90" s="575"/>
      <c r="D90" s="981" t="s">
        <v>981</v>
      </c>
      <c r="E90" s="638" t="s">
        <v>982</v>
      </c>
      <c r="F90" s="638" t="s">
        <v>579</v>
      </c>
      <c r="G90" s="638" t="s">
        <v>1949</v>
      </c>
      <c r="H90" s="981" t="s">
        <v>518</v>
      </c>
      <c r="I90" s="606" t="s">
        <v>623</v>
      </c>
      <c r="J90" s="993">
        <f>W90/'4.Doanh thu'!$R$60</f>
        <v>6.0244593047773963E-5</v>
      </c>
      <c r="K90" s="916">
        <v>3000000</v>
      </c>
      <c r="L90" s="916"/>
      <c r="M90" s="916"/>
      <c r="N90" s="916"/>
      <c r="O90" s="916"/>
      <c r="P90" s="916">
        <v>3000000</v>
      </c>
      <c r="Q90" s="983"/>
      <c r="R90" s="983"/>
      <c r="S90" s="983"/>
      <c r="T90" s="983"/>
      <c r="U90" s="983"/>
      <c r="V90" s="983"/>
      <c r="W90" s="982">
        <f t="shared" si="95"/>
        <v>6000000</v>
      </c>
      <c r="Y90" s="916">
        <v>766000</v>
      </c>
      <c r="Z90" s="916">
        <f>2341845+2263988</f>
        <v>4605833</v>
      </c>
      <c r="AA90" s="916">
        <v>866000</v>
      </c>
      <c r="AB90" s="916"/>
      <c r="AC90" s="916">
        <f>440118+2150000</f>
        <v>2590118</v>
      </c>
      <c r="AD90" s="916"/>
      <c r="AE90" s="916"/>
      <c r="AF90" s="916"/>
      <c r="AG90" s="916">
        <v>9443000</v>
      </c>
      <c r="AH90" s="916"/>
      <c r="AI90" s="916"/>
      <c r="AJ90" s="916"/>
      <c r="AK90" s="982">
        <f t="shared" si="94"/>
        <v>18270951</v>
      </c>
      <c r="AM90" s="982"/>
      <c r="AO90" s="982">
        <v>5929364</v>
      </c>
      <c r="AQ90" s="916">
        <f t="shared" si="96"/>
        <v>-12270951</v>
      </c>
      <c r="AR90" s="994">
        <f t="shared" si="97"/>
        <v>-0.67160986858319527</v>
      </c>
    </row>
    <row r="91" spans="2:44" x14ac:dyDescent="0.25">
      <c r="B91" s="575">
        <v>18</v>
      </c>
      <c r="C91" s="575"/>
      <c r="D91" s="1313" t="s">
        <v>931</v>
      </c>
      <c r="E91" s="638" t="s">
        <v>469</v>
      </c>
      <c r="F91" s="638" t="s">
        <v>579</v>
      </c>
      <c r="G91" s="638" t="s">
        <v>602</v>
      </c>
      <c r="H91" s="981" t="s">
        <v>518</v>
      </c>
      <c r="I91" s="606" t="s">
        <v>622</v>
      </c>
      <c r="J91" s="993">
        <f ca="1">W91/'4.Doanh thu'!$R$60</f>
        <v>1.3561238557041593E-2</v>
      </c>
      <c r="K91" s="916">
        <f ca="1">SUMIF(PB_CPTT!$Z$9:$AR$112,CPSX!$D$91,PB_CPTT!AF9:AF112)</f>
        <v>114057333.23333335</v>
      </c>
      <c r="L91" s="916">
        <f ca="1">SUMIF(PB_CPTT!$Z$9:$AR$112,CPSX!$D$91,PB_CPTT!AG9:AG112)</f>
        <v>113214710.33333334</v>
      </c>
      <c r="M91" s="916">
        <f ca="1">SUMIF(PB_CPTT!$Z$9:$AR$112,CPSX!$D$91,PB_CPTT!AH9:AH112)</f>
        <v>111970760.63333334</v>
      </c>
      <c r="N91" s="916">
        <f ca="1">SUMIF(PB_CPTT!$Z$9:$AR$112,CPSX!$D$91,PB_CPTT!AI9:AI112)</f>
        <v>115290482.63333334</v>
      </c>
      <c r="O91" s="916">
        <f ca="1">SUMIF(PB_CPTT!$Z$9:$AR$112,CPSX!$D$91,PB_CPTT!AJ9:AJ112)</f>
        <v>109319780.33333334</v>
      </c>
      <c r="P91" s="916">
        <f ca="1">SUMIF(PB_CPTT!$Z$9:$AR$112,CPSX!$D$91,PB_CPTT!AK9:AK112)</f>
        <v>117179552.43333334</v>
      </c>
      <c r="Q91" s="916">
        <f ca="1">SUMIF(PB_CPTT!$Z$9:$AR$112,CPSX!$D$91,PB_CPTT!AL9:AL112)</f>
        <v>111403170.63333334</v>
      </c>
      <c r="R91" s="916">
        <f ca="1">SUMIF(PB_CPTT!$Z$9:$AR$112,CPSX!$D$91,PB_CPTT!AM9:AM112)</f>
        <v>113001548.88333334</v>
      </c>
      <c r="S91" s="916">
        <f ca="1">SUMIF(PB_CPTT!$Z$9:$AR$112,CPSX!$D$91,PB_CPTT!AN9:AN112)</f>
        <v>109394094.33333334</v>
      </c>
      <c r="T91" s="916">
        <f ca="1">SUMIF(PB_CPTT!$Z$9:$AR$112,CPSX!$D$91,PB_CPTT!AO9:AO112)</f>
        <v>110493171.33333334</v>
      </c>
      <c r="U91" s="916">
        <f ca="1">SUMIF(PB_CPTT!$Z$9:$AR$112,CPSX!$D$91,PB_CPTT!AP9:AP112)</f>
        <v>108778170.63333334</v>
      </c>
      <c r="V91" s="916">
        <f ca="1">SUMIF(PB_CPTT!$Z$9:$AR$112,CPSX!$D$91,PB_CPTT!AQ9:AQ112)</f>
        <v>116515217.43333334</v>
      </c>
      <c r="W91" s="982">
        <f t="shared" ca="1" si="95"/>
        <v>1350617992.8500004</v>
      </c>
      <c r="Y91" s="916">
        <v>56197562.115368128</v>
      </c>
      <c r="Z91" s="916">
        <v>57421483.924892187</v>
      </c>
      <c r="AA91" s="916">
        <v>60305673.9010818</v>
      </c>
      <c r="AB91" s="916">
        <v>80082185.067748785</v>
      </c>
      <c r="AC91" s="916">
        <v>84664859.758225203</v>
      </c>
      <c r="AD91" s="916">
        <v>117216188.09155822</v>
      </c>
      <c r="AE91" s="916">
        <v>112819116.4010818</v>
      </c>
      <c r="AF91" s="916">
        <v>79952320.564347029</v>
      </c>
      <c r="AG91" s="916">
        <v>96868505.14541316</v>
      </c>
      <c r="AH91" s="916">
        <v>80588821</v>
      </c>
      <c r="AI91" s="916">
        <v>76446975</v>
      </c>
      <c r="AJ91" s="916">
        <v>55585172</v>
      </c>
      <c r="AK91" s="982">
        <f t="shared" si="94"/>
        <v>958148862.96971631</v>
      </c>
      <c r="AM91" s="916">
        <f>474423037+43890869+41299999+12358900-96366667-76460866</f>
        <v>399145272</v>
      </c>
      <c r="AO91" s="916">
        <f>276616642+69942727+11000000+53271955+61000000</f>
        <v>471831324</v>
      </c>
      <c r="AQ91" s="915">
        <f t="shared" ca="1" si="96"/>
        <v>392469129.88028407</v>
      </c>
      <c r="AR91" s="994">
        <f t="shared" ca="1" si="97"/>
        <v>0.40961185161129676</v>
      </c>
    </row>
    <row r="92" spans="2:44" x14ac:dyDescent="0.25">
      <c r="B92" s="575">
        <v>19</v>
      </c>
      <c r="C92" s="575"/>
      <c r="D92" s="1313" t="s">
        <v>932</v>
      </c>
      <c r="E92" s="638" t="s">
        <v>469</v>
      </c>
      <c r="F92" s="638" t="s">
        <v>579</v>
      </c>
      <c r="G92" s="638" t="s">
        <v>603</v>
      </c>
      <c r="H92" s="981" t="s">
        <v>518</v>
      </c>
      <c r="I92" s="606" t="s">
        <v>622</v>
      </c>
      <c r="J92" s="993">
        <f ca="1">W92/'4.Doanh thu'!$R$60</f>
        <v>1.1646376287728176E-4</v>
      </c>
      <c r="K92" s="916">
        <f ca="1">SUMIF(PB_CPTT!$Z$9:$AR$112,CPSX!$D$92,PB_CPTT!AF9:AF112)</f>
        <v>966591</v>
      </c>
      <c r="L92" s="916">
        <f ca="1">SUMIF(PB_CPTT!$Z$9:$AR$112,CPSX!$D$92,PB_CPTT!AG9:AG112)</f>
        <v>966591</v>
      </c>
      <c r="M92" s="916">
        <f ca="1">SUMIF(PB_CPTT!$Z$9:$AR$112,CPSX!$D$92,PB_CPTT!AH9:AH112)</f>
        <v>966591</v>
      </c>
      <c r="N92" s="916">
        <f ca="1">SUMIF(PB_CPTT!$Z$9:$AR$112,CPSX!$D$92,PB_CPTT!AI9:AI112)</f>
        <v>966591</v>
      </c>
      <c r="O92" s="916">
        <f ca="1">SUMIF(PB_CPTT!$Z$9:$AR$112,CPSX!$D$92,PB_CPTT!AJ9:AJ112)</f>
        <v>966591</v>
      </c>
      <c r="P92" s="916">
        <f ca="1">SUMIF(PB_CPTT!$Z$9:$AR$112,CPSX!$D$92,PB_CPTT!AK9:AK112)</f>
        <v>966591</v>
      </c>
      <c r="Q92" s="916">
        <f ca="1">SUMIF(PB_CPTT!$Z$9:$AR$112,CPSX!$D$92,PB_CPTT!AL9:AL112)</f>
        <v>966591</v>
      </c>
      <c r="R92" s="916">
        <f ca="1">SUMIF(PB_CPTT!$Z$9:$AR$112,CPSX!$D$92,PB_CPTT!AM9:AM112)</f>
        <v>966591</v>
      </c>
      <c r="S92" s="916">
        <f ca="1">SUMIF(PB_CPTT!$Z$9:$AR$112,CPSX!$D$92,PB_CPTT!AN9:AN112)</f>
        <v>966591</v>
      </c>
      <c r="T92" s="916">
        <f ca="1">SUMIF(PB_CPTT!$Z$9:$AR$112,CPSX!$D$92,PB_CPTT!AO9:AO112)</f>
        <v>966591</v>
      </c>
      <c r="U92" s="916">
        <f ca="1">SUMIF(PB_CPTT!$Z$9:$AR$112,CPSX!$D$92,PB_CPTT!AP9:AP112)</f>
        <v>966591</v>
      </c>
      <c r="V92" s="916">
        <f ca="1">SUMIF(PB_CPTT!$Z$9:$AR$112,CPSX!$D$92,PB_CPTT!AQ9:AQ112)</f>
        <v>966591</v>
      </c>
      <c r="W92" s="982">
        <f t="shared" ca="1" si="95"/>
        <v>11599092</v>
      </c>
      <c r="Y92" s="916">
        <v>805758</v>
      </c>
      <c r="Z92" s="916">
        <v>805758</v>
      </c>
      <c r="AA92" s="916">
        <v>805758</v>
      </c>
      <c r="AB92" s="916">
        <v>966591</v>
      </c>
      <c r="AC92" s="916">
        <v>966591</v>
      </c>
      <c r="AD92" s="916">
        <v>966591</v>
      </c>
      <c r="AE92" s="916">
        <v>966591</v>
      </c>
      <c r="AF92" s="916">
        <v>966591</v>
      </c>
      <c r="AG92" s="916">
        <v>966591</v>
      </c>
      <c r="AH92" s="916">
        <v>966591</v>
      </c>
      <c r="AI92" s="916">
        <v>966591</v>
      </c>
      <c r="AJ92" s="916">
        <v>966591</v>
      </c>
      <c r="AK92" s="982">
        <f t="shared" si="94"/>
        <v>11116593</v>
      </c>
      <c r="AM92" s="916">
        <v>431866</v>
      </c>
      <c r="AO92" s="916"/>
      <c r="AQ92" s="915">
        <f t="shared" ca="1" si="96"/>
        <v>482499</v>
      </c>
      <c r="AR92" s="994">
        <f t="shared" ca="1" si="97"/>
        <v>4.3403496017170085E-2</v>
      </c>
    </row>
    <row r="93" spans="2:44" x14ac:dyDescent="0.25">
      <c r="B93" s="575">
        <v>20</v>
      </c>
      <c r="C93" s="575"/>
      <c r="D93" s="981" t="s">
        <v>1017</v>
      </c>
      <c r="E93" s="638" t="s">
        <v>1018</v>
      </c>
      <c r="F93" s="638" t="s">
        <v>1019</v>
      </c>
      <c r="G93" s="638" t="s">
        <v>1018</v>
      </c>
      <c r="H93" s="981" t="s">
        <v>513</v>
      </c>
      <c r="I93" s="606" t="s">
        <v>622</v>
      </c>
      <c r="J93" s="993">
        <f>W93/'4.Doanh thu'!$R$60</f>
        <v>0</v>
      </c>
      <c r="K93" s="983"/>
      <c r="L93" s="983"/>
      <c r="M93" s="983"/>
      <c r="N93" s="983"/>
      <c r="O93" s="983"/>
      <c r="P93" s="983"/>
      <c r="Q93" s="983"/>
      <c r="R93" s="983"/>
      <c r="S93" s="983"/>
      <c r="T93" s="983"/>
      <c r="U93" s="983"/>
      <c r="V93" s="983"/>
      <c r="W93" s="982">
        <f>SUM(K93:V93)</f>
        <v>0</v>
      </c>
      <c r="Y93" s="916"/>
      <c r="Z93" s="916"/>
      <c r="AA93" s="916"/>
      <c r="AB93" s="916"/>
      <c r="AC93" s="916"/>
      <c r="AD93" s="916"/>
      <c r="AE93" s="916"/>
      <c r="AF93" s="916"/>
      <c r="AG93" s="916"/>
      <c r="AH93" s="916"/>
      <c r="AI93" s="916"/>
      <c r="AJ93" s="916"/>
      <c r="AK93" s="982">
        <f t="shared" si="94"/>
        <v>0</v>
      </c>
      <c r="AM93" s="916"/>
      <c r="AO93" s="916"/>
      <c r="AQ93" s="915">
        <f t="shared" si="96"/>
        <v>0</v>
      </c>
      <c r="AR93" s="994">
        <f t="shared" si="97"/>
        <v>0</v>
      </c>
    </row>
    <row r="94" spans="2:44" x14ac:dyDescent="0.25">
      <c r="B94" s="575">
        <v>21</v>
      </c>
      <c r="C94" s="575"/>
      <c r="D94" s="1313" t="s">
        <v>1044</v>
      </c>
      <c r="E94" s="638" t="s">
        <v>606</v>
      </c>
      <c r="F94" s="638" t="s">
        <v>579</v>
      </c>
      <c r="G94" s="638" t="s">
        <v>447</v>
      </c>
      <c r="H94" s="981" t="s">
        <v>514</v>
      </c>
      <c r="I94" s="606" t="s">
        <v>622</v>
      </c>
      <c r="J94" s="993">
        <f ca="1">W94/'4.Doanh thu'!$R$60</f>
        <v>6.533191289970617E-4</v>
      </c>
      <c r="K94" s="916">
        <f ca="1">SUMIF(PB_CPTT!$Z$9:$AR$112,CPSX!$D$94,PB_CPTT!AF9:AF112)</f>
        <v>6561111.444444445</v>
      </c>
      <c r="L94" s="916">
        <f ca="1">SUMIF(PB_CPTT!$Z$9:$AR$112,CPSX!$D$94,PB_CPTT!AG9:AG112)</f>
        <v>6561109.444444445</v>
      </c>
      <c r="M94" s="916">
        <f ca="1">SUMIF(PB_CPTT!$Z$9:$AR$112,CPSX!$D$94,PB_CPTT!AH9:AH112)</f>
        <v>5194444.444444445</v>
      </c>
      <c r="N94" s="916">
        <f ca="1">SUMIF(PB_CPTT!$Z$9:$AR$112,CPSX!$D$94,PB_CPTT!AI9:AI112)</f>
        <v>5194444.444444445</v>
      </c>
      <c r="O94" s="916">
        <f ca="1">SUMIF(PB_CPTT!$Z$9:$AR$112,CPSX!$D$94,PB_CPTT!AJ9:AJ112)</f>
        <v>5194444.444444445</v>
      </c>
      <c r="P94" s="916">
        <f ca="1">SUMIF(PB_CPTT!$Z$9:$AR$112,CPSX!$D$94,PB_CPTT!AK9:AK112)</f>
        <v>5194444.444444445</v>
      </c>
      <c r="Q94" s="916">
        <f ca="1">SUMIF(PB_CPTT!$Z$9:$AR$112,CPSX!$D$94,PB_CPTT!AL9:AL112)</f>
        <v>5194444.444444445</v>
      </c>
      <c r="R94" s="916">
        <f ca="1">SUMIF(PB_CPTT!$Z$9:$AR$112,CPSX!$D$94,PB_CPTT!AM9:AM112)</f>
        <v>5194444.444444445</v>
      </c>
      <c r="S94" s="916">
        <f ca="1">SUMIF(PB_CPTT!$Z$9:$AR$112,CPSX!$D$94,PB_CPTT!AN9:AN112)</f>
        <v>5194444.444444445</v>
      </c>
      <c r="T94" s="916">
        <f ca="1">SUMIF(PB_CPTT!$Z$9:$AR$112,CPSX!$D$94,PB_CPTT!AO9:AO112)</f>
        <v>5194444.444444445</v>
      </c>
      <c r="U94" s="916">
        <f ca="1">SUMIF(PB_CPTT!$Z$9:$AR$112,CPSX!$D$94,PB_CPTT!AP9:AP112)</f>
        <v>5194444.444444445</v>
      </c>
      <c r="V94" s="916">
        <f ca="1">SUMIF(PB_CPTT!$Z$9:$AR$112,CPSX!$D$94,PB_CPTT!AQ9:AQ112)</f>
        <v>5194444.444444445</v>
      </c>
      <c r="W94" s="982">
        <f ca="1">SUM(K94:V94)</f>
        <v>65066665.333333358</v>
      </c>
      <c r="Y94" s="916">
        <v>1447972</v>
      </c>
      <c r="Z94" s="916">
        <f>1357649</f>
        <v>1357649</v>
      </c>
      <c r="AA94" s="916">
        <v>1357649</v>
      </c>
      <c r="AB94" s="916">
        <v>2392465</v>
      </c>
      <c r="AC94" s="916">
        <v>2727949</v>
      </c>
      <c r="AD94" s="916">
        <v>3657162</v>
      </c>
      <c r="AE94" s="916">
        <v>3657162</v>
      </c>
      <c r="AF94" s="916">
        <v>3657162</v>
      </c>
      <c r="AG94" s="916">
        <v>5023829</v>
      </c>
      <c r="AH94" s="916">
        <v>4352055</v>
      </c>
      <c r="AI94" s="916">
        <v>3463345</v>
      </c>
      <c r="AJ94" s="916">
        <v>1366667</v>
      </c>
      <c r="AK94" s="982">
        <f t="shared" si="94"/>
        <v>34461066</v>
      </c>
      <c r="AM94" s="916">
        <v>11564100</v>
      </c>
      <c r="AO94" s="916">
        <v>1401517</v>
      </c>
      <c r="AQ94" s="915">
        <f t="shared" ca="1" si="96"/>
        <v>30605599.333333358</v>
      </c>
      <c r="AR94" s="994">
        <f t="shared" ca="1" si="97"/>
        <v>0.88812108520767641</v>
      </c>
    </row>
    <row r="95" spans="2:44" x14ac:dyDescent="0.25">
      <c r="B95" s="575">
        <v>22</v>
      </c>
      <c r="C95" s="575"/>
      <c r="D95" s="1313" t="s">
        <v>987</v>
      </c>
      <c r="E95" s="638" t="s">
        <v>605</v>
      </c>
      <c r="F95" s="638" t="s">
        <v>579</v>
      </c>
      <c r="G95" s="638" t="s">
        <v>604</v>
      </c>
      <c r="H95" s="981" t="s">
        <v>517</v>
      </c>
      <c r="I95" s="606" t="s">
        <v>622</v>
      </c>
      <c r="J95" s="993">
        <f ca="1">W95/'4.Doanh thu'!$R$60</f>
        <v>2.8611663353214048E-4</v>
      </c>
      <c r="K95" s="916">
        <f ca="1">SUMIF(PB_CPTT!$Z$9:$AR$112,CPSX!$D$95,PB_CPTT!AF9:AF112)</f>
        <v>3460875</v>
      </c>
      <c r="L95" s="916">
        <f ca="1">SUMIF(PB_CPTT!$Z$9:$AR$112,CPSX!$D$95,PB_CPTT!AG9:AG112)</f>
        <v>2275875</v>
      </c>
      <c r="M95" s="916">
        <f ca="1">SUMIF(PB_CPTT!$Z$9:$AR$112,CPSX!$D$95,PB_CPTT!AH9:AH112)</f>
        <v>2275875</v>
      </c>
      <c r="N95" s="916">
        <f ca="1">SUMIF(PB_CPTT!$Z$9:$AR$112,CPSX!$D$95,PB_CPTT!AI9:AI112)</f>
        <v>2275875</v>
      </c>
      <c r="O95" s="916">
        <f ca="1">SUMIF(PB_CPTT!$Z$9:$AR$112,CPSX!$D$95,PB_CPTT!AJ9:AJ112)</f>
        <v>2275875</v>
      </c>
      <c r="P95" s="916">
        <f ca="1">SUMIF(PB_CPTT!$Z$9:$AR$112,CPSX!$D$95,PB_CPTT!AK9:AK112)</f>
        <v>2275875</v>
      </c>
      <c r="Q95" s="916">
        <f ca="1">SUMIF(PB_CPTT!$Z$9:$AR$112,CPSX!$D$95,PB_CPTT!AL9:AL112)</f>
        <v>2275875</v>
      </c>
      <c r="R95" s="916">
        <f ca="1">SUMIF(PB_CPTT!$Z$9:$AR$112,CPSX!$D$95,PB_CPTT!AM9:AM112)</f>
        <v>2275875</v>
      </c>
      <c r="S95" s="916">
        <f ca="1">SUMIF(PB_CPTT!$Z$9:$AR$112,CPSX!$D$95,PB_CPTT!AN9:AN112)</f>
        <v>2275875</v>
      </c>
      <c r="T95" s="916">
        <f ca="1">SUMIF(PB_CPTT!$Z$9:$AR$112,CPSX!$D$95,PB_CPTT!AO9:AO112)</f>
        <v>2275875</v>
      </c>
      <c r="U95" s="916">
        <f ca="1">SUMIF(PB_CPTT!$Z$9:$AR$112,CPSX!$D$95,PB_CPTT!AP9:AP112)</f>
        <v>2275875</v>
      </c>
      <c r="V95" s="916">
        <f ca="1">SUMIF(PB_CPTT!$Z$9:$AR$112,CPSX!$D$95,PB_CPTT!AQ9:AQ112)</f>
        <v>2275875</v>
      </c>
      <c r="W95" s="982">
        <f t="shared" ca="1" si="95"/>
        <v>28495500</v>
      </c>
      <c r="Y95" s="916">
        <v>4644500</v>
      </c>
      <c r="Z95" s="916">
        <v>4644500</v>
      </c>
      <c r="AA95" s="916">
        <v>4644500</v>
      </c>
      <c r="AB95" s="916">
        <v>4644500</v>
      </c>
      <c r="AC95" s="916">
        <v>3929572</v>
      </c>
      <c r="AD95" s="916">
        <v>3000000</v>
      </c>
      <c r="AE95" s="916">
        <v>3000000</v>
      </c>
      <c r="AF95" s="916">
        <v>4185000</v>
      </c>
      <c r="AG95" s="916">
        <f>1847500+1410000</f>
        <v>3257500</v>
      </c>
      <c r="AH95" s="916">
        <v>1847500</v>
      </c>
      <c r="AI95" s="916">
        <v>1847500</v>
      </c>
      <c r="AJ95" s="916">
        <v>1185000</v>
      </c>
      <c r="AK95" s="982">
        <f t="shared" si="94"/>
        <v>40830072</v>
      </c>
      <c r="AM95" s="916">
        <f>19964928+4145474</f>
        <v>24110402</v>
      </c>
      <c r="AO95" s="916">
        <v>800000</v>
      </c>
      <c r="AQ95" s="915">
        <f t="shared" ca="1" si="96"/>
        <v>-12334572</v>
      </c>
      <c r="AR95" s="994">
        <f t="shared" ca="1" si="97"/>
        <v>-0.30209527918540036</v>
      </c>
    </row>
    <row r="96" spans="2:44" x14ac:dyDescent="0.25">
      <c r="B96" s="575">
        <v>23</v>
      </c>
      <c r="C96" s="575"/>
      <c r="D96" s="1313" t="s">
        <v>2228</v>
      </c>
      <c r="E96" s="638" t="s">
        <v>485</v>
      </c>
      <c r="F96" s="638" t="s">
        <v>577</v>
      </c>
      <c r="G96" s="638" t="s">
        <v>485</v>
      </c>
      <c r="H96" s="981" t="s">
        <v>522</v>
      </c>
      <c r="I96" s="606" t="s">
        <v>622</v>
      </c>
      <c r="J96" s="993">
        <f ca="1">W96/'4.Doanh thu'!$R$60</f>
        <v>1.9105579653392774E-4</v>
      </c>
      <c r="K96" s="916">
        <f ca="1">SUMIF(PB_CPTT!$Z$9:$AR$112,CPSX!$D$96,PB_CPTT!AF9:AF112)</f>
        <v>1585667.5833333333</v>
      </c>
      <c r="L96" s="916">
        <f ca="1">SUMIF(PB_CPTT!$Z$9:$AR$112,CPSX!$D$96,PB_CPTT!AG9:AG112)</f>
        <v>1585667.5833333333</v>
      </c>
      <c r="M96" s="916">
        <f ca="1">SUMIF(PB_CPTT!$Z$9:$AR$112,CPSX!$D$96,PB_CPTT!AH9:AH112)</f>
        <v>1585667.5833333333</v>
      </c>
      <c r="N96" s="916">
        <f ca="1">SUMIF(PB_CPTT!$Z$9:$AR$112,CPSX!$D$96,PB_CPTT!AI9:AI112)</f>
        <v>1585667.5833333333</v>
      </c>
      <c r="O96" s="916">
        <f ca="1">SUMIF(PB_CPTT!$Z$9:$AR$112,CPSX!$D$96,PB_CPTT!AJ9:AJ112)</f>
        <v>1585667.5833333333</v>
      </c>
      <c r="P96" s="916">
        <f ca="1">SUMIF(PB_CPTT!$Z$9:$AR$112,CPSX!$D$96,PB_CPTT!AK9:AK112)</f>
        <v>1585667.5833333333</v>
      </c>
      <c r="Q96" s="916">
        <f ca="1">SUMIF(PB_CPTT!$Z$9:$AR$112,CPSX!$D$96,PB_CPTT!AL9:AL112)</f>
        <v>1585667.5833333333</v>
      </c>
      <c r="R96" s="916">
        <f ca="1">SUMIF(PB_CPTT!$Z$9:$AR$112,CPSX!$D$96,PB_CPTT!AM9:AM112)</f>
        <v>1585667.5833333333</v>
      </c>
      <c r="S96" s="916">
        <f ca="1">SUMIF(PB_CPTT!$Z$9:$AR$112,CPSX!$D$96,PB_CPTT!AN9:AN112)</f>
        <v>1585667.5833333333</v>
      </c>
      <c r="T96" s="916">
        <f ca="1">SUMIF(PB_CPTT!$Z$9:$AR$112,CPSX!$D$96,PB_CPTT!AO9:AO112)</f>
        <v>1585667.5833333333</v>
      </c>
      <c r="U96" s="916">
        <f ca="1">SUMIF(PB_CPTT!$Z$9:$AR$112,CPSX!$D$96,PB_CPTT!AP9:AP112)</f>
        <v>1585667.5833333333</v>
      </c>
      <c r="V96" s="916">
        <f ca="1">SUMIF(PB_CPTT!$Z$9:$AR$112,CPSX!$D$96,PB_CPTT!AQ9:AQ112)</f>
        <v>1585667.5833333333</v>
      </c>
      <c r="W96" s="982">
        <f t="shared" ca="1" si="95"/>
        <v>19028011</v>
      </c>
      <c r="Y96" s="916">
        <v>2797159</v>
      </c>
      <c r="Z96" s="916">
        <v>2797159</v>
      </c>
      <c r="AA96" s="916">
        <v>2353576</v>
      </c>
      <c r="AB96" s="916">
        <v>982387</v>
      </c>
      <c r="AC96" s="916">
        <v>982387</v>
      </c>
      <c r="AD96" s="916">
        <v>982387</v>
      </c>
      <c r="AE96" s="916">
        <v>982387</v>
      </c>
      <c r="AF96" s="916">
        <v>982387</v>
      </c>
      <c r="AG96" s="916">
        <v>962648</v>
      </c>
      <c r="AH96" s="916">
        <v>2</v>
      </c>
      <c r="AI96" s="916">
        <v>772530.25</v>
      </c>
      <c r="AJ96" s="916">
        <v>772530.25</v>
      </c>
      <c r="AK96" s="982">
        <f t="shared" si="94"/>
        <v>15367539.5</v>
      </c>
      <c r="AM96" s="916">
        <v>14672614</v>
      </c>
      <c r="AO96" s="916">
        <v>18498603</v>
      </c>
      <c r="AQ96" s="915">
        <f t="shared" ca="1" si="96"/>
        <v>3660471.5</v>
      </c>
      <c r="AR96" s="994">
        <f t="shared" ca="1" si="97"/>
        <v>0.23819502790280778</v>
      </c>
    </row>
    <row r="97" spans="2:44" x14ac:dyDescent="0.25">
      <c r="B97" s="575">
        <v>26</v>
      </c>
      <c r="C97" s="575"/>
      <c r="D97" s="981" t="s">
        <v>1070</v>
      </c>
      <c r="E97" s="638" t="s">
        <v>1071</v>
      </c>
      <c r="F97" s="638" t="s">
        <v>594</v>
      </c>
      <c r="G97" s="638" t="s">
        <v>1950</v>
      </c>
      <c r="H97" s="981" t="s">
        <v>518</v>
      </c>
      <c r="I97" s="606" t="s">
        <v>622</v>
      </c>
      <c r="J97" s="993">
        <f ca="1">W97/'4.Doanh thu'!$R$60</f>
        <v>1.9579492740526538E-4</v>
      </c>
      <c r="K97" s="916">
        <f ca="1">SUMIF(PB_CPTT!$Z$9:$AR$112,CPSX!$D$97,PB_CPTT!AF9:AF112)</f>
        <v>2750000</v>
      </c>
      <c r="L97" s="916">
        <f ca="1">SUMIF(PB_CPTT!$Z$9:$AR$112,CPSX!$D$97,PB_CPTT!AG9:AG112)</f>
        <v>1250000</v>
      </c>
      <c r="M97" s="916">
        <f ca="1">SUMIF(PB_CPTT!$Z$9:$AR$112,CPSX!$D$97,PB_CPTT!AH9:AH112)</f>
        <v>1250000</v>
      </c>
      <c r="N97" s="916">
        <f ca="1">SUMIF(PB_CPTT!$Z$9:$AR$112,CPSX!$D$97,PB_CPTT!AI9:AI112)</f>
        <v>1250000</v>
      </c>
      <c r="O97" s="916">
        <f ca="1">SUMIF(PB_CPTT!$Z$9:$AR$112,CPSX!$D$97,PB_CPTT!AJ9:AJ112)</f>
        <v>1250000</v>
      </c>
      <c r="P97" s="916">
        <f ca="1">SUMIF(PB_CPTT!$Z$9:$AR$112,CPSX!$D$97,PB_CPTT!AK9:AK112)</f>
        <v>2750000</v>
      </c>
      <c r="Q97" s="916">
        <f ca="1">SUMIF(PB_CPTT!$Z$9:$AR$112,CPSX!$D$97,PB_CPTT!AL9:AL112)</f>
        <v>1250000</v>
      </c>
      <c r="R97" s="916">
        <f ca="1">SUMIF(PB_CPTT!$Z$9:$AR$112,CPSX!$D$97,PB_CPTT!AM9:AM112)</f>
        <v>1250000</v>
      </c>
      <c r="S97" s="916">
        <f ca="1">SUMIF(PB_CPTT!$Z$9:$AR$112,CPSX!$D$97,PB_CPTT!AN9:AN112)</f>
        <v>1250000</v>
      </c>
      <c r="T97" s="916">
        <f ca="1">SUMIF(PB_CPTT!$Z$9:$AR$112,CPSX!$D$97,PB_CPTT!AO9:AO112)</f>
        <v>1250000</v>
      </c>
      <c r="U97" s="916">
        <f ca="1">SUMIF(PB_CPTT!$Z$9:$AR$112,CPSX!$D$97,PB_CPTT!AP9:AP112)</f>
        <v>1250000</v>
      </c>
      <c r="V97" s="916">
        <f ca="1">SUMIF(PB_CPTT!$Z$9:$AR$112,CPSX!$D$97,PB_CPTT!AQ9:AQ112)</f>
        <v>2750000</v>
      </c>
      <c r="W97" s="982">
        <f t="shared" ca="1" si="95"/>
        <v>19500000</v>
      </c>
      <c r="Y97" s="916"/>
      <c r="Z97" s="916"/>
      <c r="AA97" s="916">
        <v>2200000</v>
      </c>
      <c r="AB97" s="916"/>
      <c r="AC97" s="916"/>
      <c r="AD97" s="916"/>
      <c r="AE97" s="916"/>
      <c r="AF97" s="916"/>
      <c r="AG97" s="916"/>
      <c r="AH97" s="916">
        <v>4400000</v>
      </c>
      <c r="AI97" s="916"/>
      <c r="AJ97" s="916"/>
      <c r="AK97" s="982">
        <f t="shared" si="94"/>
        <v>6600000</v>
      </c>
      <c r="AM97" s="982"/>
      <c r="AO97" s="982"/>
      <c r="AQ97" s="916">
        <f t="shared" ca="1" si="96"/>
        <v>12900000</v>
      </c>
      <c r="AR97" s="994">
        <f t="shared" ca="1" si="97"/>
        <v>1.9545454545454546</v>
      </c>
    </row>
    <row r="98" spans="2:44" x14ac:dyDescent="0.25">
      <c r="B98" s="575">
        <v>24</v>
      </c>
      <c r="C98" s="575"/>
      <c r="D98" s="1313" t="s">
        <v>965</v>
      </c>
      <c r="E98" s="638" t="s">
        <v>435</v>
      </c>
      <c r="F98" s="638" t="s">
        <v>580</v>
      </c>
      <c r="G98" s="638" t="s">
        <v>1810</v>
      </c>
      <c r="H98" s="981" t="s">
        <v>522</v>
      </c>
      <c r="I98" s="606" t="s">
        <v>622</v>
      </c>
      <c r="J98" s="993">
        <f ca="1">W98/'4.Doanh thu'!$R$60</f>
        <v>9.0766022049521054E-4</v>
      </c>
      <c r="K98" s="916">
        <f ca="1">SUMIF(PB_CPTT!$Z$9:$AR$112,CPSX!$D$98,PB_CPTT!AF9:AF112)</f>
        <v>8586837.333333334</v>
      </c>
      <c r="L98" s="916">
        <f ca="1">SUMIF(PB_CPTT!$Z$9:$AR$112,CPSX!$D$98,PB_CPTT!AG9:AG112)</f>
        <v>8586837.333333334</v>
      </c>
      <c r="M98" s="916">
        <f ca="1">SUMIF(PB_CPTT!$Z$9:$AR$112,CPSX!$D$98,PB_CPTT!AH9:AH112)</f>
        <v>8586837.333333334</v>
      </c>
      <c r="N98" s="916">
        <f ca="1">SUMIF(PB_CPTT!$Z$9:$AR$112,CPSX!$D$98,PB_CPTT!AI9:AI112)</f>
        <v>8586837.333333334</v>
      </c>
      <c r="O98" s="916">
        <f ca="1">SUMIF(PB_CPTT!$Z$9:$AR$112,CPSX!$D$98,PB_CPTT!AJ9:AJ112)</f>
        <v>8586837.333333334</v>
      </c>
      <c r="P98" s="916">
        <f ca="1">SUMIF(PB_CPTT!$Z$9:$AR$112,CPSX!$D$98,PB_CPTT!AK9:AK112)</f>
        <v>8236841.333333334</v>
      </c>
      <c r="Q98" s="916">
        <f ca="1">SUMIF(PB_CPTT!$Z$9:$AR$112,CPSX!$D$98,PB_CPTT!AL9:AL112)</f>
        <v>7090504.333333334</v>
      </c>
      <c r="R98" s="916">
        <f ca="1">SUMIF(PB_CPTT!$Z$9:$AR$112,CPSX!$D$98,PB_CPTT!AM9:AM112)</f>
        <v>6690630.333333334</v>
      </c>
      <c r="S98" s="916">
        <f ca="1">SUMIF(PB_CPTT!$Z$9:$AR$112,CPSX!$D$98,PB_CPTT!AN9:AN112)</f>
        <v>6361337.333333334</v>
      </c>
      <c r="T98" s="916">
        <f ca="1">SUMIF(PB_CPTT!$Z$9:$AR$112,CPSX!$D$98,PB_CPTT!AO9:AO112)</f>
        <v>6361337.333333334</v>
      </c>
      <c r="U98" s="916">
        <f ca="1">SUMIF(PB_CPTT!$Z$9:$AR$112,CPSX!$D$98,PB_CPTT!AP9:AP112)</f>
        <v>6361337.333333334</v>
      </c>
      <c r="V98" s="916">
        <f ca="1">SUMIF(PB_CPTT!$Z$9:$AR$112,CPSX!$D$98,PB_CPTT!AQ9:AQ112)</f>
        <v>6361337.333333334</v>
      </c>
      <c r="W98" s="982">
        <f t="shared" ca="1" si="95"/>
        <v>90397512</v>
      </c>
      <c r="Y98" s="916">
        <v>4919364</v>
      </c>
      <c r="Z98" s="916">
        <v>4883882</v>
      </c>
      <c r="AA98" s="916">
        <v>6867364</v>
      </c>
      <c r="AB98" s="916">
        <f>5791744+420000</f>
        <v>6211744</v>
      </c>
      <c r="AC98" s="916">
        <v>6806414</v>
      </c>
      <c r="AD98" s="916">
        <f>10478090-13809726</f>
        <v>-3331636</v>
      </c>
      <c r="AE98" s="916">
        <f>10686421+10071018+1289366</f>
        <v>22046805</v>
      </c>
      <c r="AF98" s="916">
        <f>10566524+7326205</f>
        <v>17892729</v>
      </c>
      <c r="AG98" s="916">
        <f>9125506+609645</f>
        <v>9735151</v>
      </c>
      <c r="AH98" s="916">
        <v>8706875</v>
      </c>
      <c r="AI98" s="916">
        <v>8428004</v>
      </c>
      <c r="AJ98" s="916">
        <v>5445504</v>
      </c>
      <c r="AK98" s="982">
        <f>SUM(Y98:AJ98)</f>
        <v>98612200</v>
      </c>
      <c r="AM98" s="916">
        <v>67163876</v>
      </c>
      <c r="AO98" s="916">
        <f>71743533+37798277-469304</f>
        <v>109072506</v>
      </c>
      <c r="AQ98" s="915">
        <f t="shared" ca="1" si="96"/>
        <v>-8214688</v>
      </c>
      <c r="AR98" s="994">
        <f t="shared" ca="1" si="97"/>
        <v>-8.330295845747282E-2</v>
      </c>
    </row>
    <row r="99" spans="2:44" x14ac:dyDescent="0.25">
      <c r="B99" s="575">
        <v>25</v>
      </c>
      <c r="C99" s="575"/>
      <c r="D99" s="981"/>
      <c r="E99" s="638" t="s">
        <v>468</v>
      </c>
      <c r="F99" s="638" t="s">
        <v>617</v>
      </c>
      <c r="G99" s="638" t="s">
        <v>468</v>
      </c>
      <c r="H99" s="981" t="s">
        <v>522</v>
      </c>
      <c r="I99" s="606"/>
      <c r="J99" s="993">
        <f ca="1">W99/'4.Doanh thu'!$R$60</f>
        <v>9.7990878684124181E-3</v>
      </c>
      <c r="K99" s="916">
        <f ca="1">SUM(K100:K104)</f>
        <v>81327529.763888881</v>
      </c>
      <c r="L99" s="916">
        <f t="shared" ref="L99:V99" ca="1" si="99">SUM(L100:L104)</f>
        <v>81327529.763888881</v>
      </c>
      <c r="M99" s="916">
        <f t="shared" ca="1" si="99"/>
        <v>81327529.763888881</v>
      </c>
      <c r="N99" s="916">
        <f t="shared" ca="1" si="99"/>
        <v>81327529.763888881</v>
      </c>
      <c r="O99" s="916">
        <f t="shared" ca="1" si="99"/>
        <v>81327529.763888881</v>
      </c>
      <c r="P99" s="916">
        <f t="shared" ca="1" si="99"/>
        <v>81327529.763888881</v>
      </c>
      <c r="Q99" s="916">
        <f t="shared" ca="1" si="99"/>
        <v>81327529.763888881</v>
      </c>
      <c r="R99" s="916">
        <f t="shared" ca="1" si="99"/>
        <v>81327529.763888881</v>
      </c>
      <c r="S99" s="916">
        <f t="shared" ca="1" si="99"/>
        <v>81327529.763888881</v>
      </c>
      <c r="T99" s="916">
        <f t="shared" ca="1" si="99"/>
        <v>81327529.763888881</v>
      </c>
      <c r="U99" s="916">
        <f t="shared" ca="1" si="99"/>
        <v>81327529.763888881</v>
      </c>
      <c r="V99" s="916">
        <f t="shared" ca="1" si="99"/>
        <v>81327529.763888881</v>
      </c>
      <c r="W99" s="982">
        <f t="shared" ca="1" si="95"/>
        <v>975930357.16666639</v>
      </c>
      <c r="Y99" s="916">
        <f>SUM(Y100:Y104)</f>
        <v>145507033.61190474</v>
      </c>
      <c r="Z99" s="916">
        <f t="shared" ref="Z99:AJ99" si="100">SUM(Z100:Z104)</f>
        <v>145465236.80238095</v>
      </c>
      <c r="AA99" s="916">
        <f t="shared" si="100"/>
        <v>145428270.82619047</v>
      </c>
      <c r="AB99" s="916">
        <f t="shared" si="100"/>
        <v>156752152.65952381</v>
      </c>
      <c r="AC99" s="916">
        <f t="shared" si="100"/>
        <v>151297271.96904761</v>
      </c>
      <c r="AD99" s="916">
        <f t="shared" si="100"/>
        <v>149951164.63571426</v>
      </c>
      <c r="AE99" s="916">
        <f t="shared" si="100"/>
        <v>149918820.32619047</v>
      </c>
      <c r="AF99" s="916">
        <f t="shared" si="100"/>
        <v>186836533.16292515</v>
      </c>
      <c r="AG99" s="916">
        <f t="shared" si="100"/>
        <v>169336038.58185938</v>
      </c>
      <c r="AH99" s="916">
        <f t="shared" si="100"/>
        <v>169335598.51071426</v>
      </c>
      <c r="AI99" s="916">
        <f t="shared" si="100"/>
        <v>169335485.99285713</v>
      </c>
      <c r="AJ99" s="916">
        <f t="shared" si="100"/>
        <v>169336151.09971654</v>
      </c>
      <c r="AK99" s="982">
        <f>SUM(Y99:AJ99)</f>
        <v>1908499758.1790252</v>
      </c>
      <c r="AM99" s="916">
        <f>SUM(AM100:AM104)</f>
        <v>1382050356</v>
      </c>
      <c r="AO99" s="916">
        <f>SUM(AO100:AO105)</f>
        <v>1036408270</v>
      </c>
      <c r="AQ99" s="915">
        <f t="shared" ca="1" si="96"/>
        <v>-932569401.01235878</v>
      </c>
      <c r="AR99" s="994">
        <f t="shared" ca="1" si="97"/>
        <v>-0.48864004148586326</v>
      </c>
    </row>
    <row r="100" spans="2:44" x14ac:dyDescent="0.25">
      <c r="B100" s="1259"/>
      <c r="C100" s="1259"/>
      <c r="D100" s="1309" t="s">
        <v>1126</v>
      </c>
      <c r="E100" s="1021" t="s">
        <v>495</v>
      </c>
      <c r="F100" s="1021" t="s">
        <v>665</v>
      </c>
      <c r="G100" s="1021" t="s">
        <v>468</v>
      </c>
      <c r="H100" s="981" t="s">
        <v>522</v>
      </c>
      <c r="I100" s="1260" t="s">
        <v>622</v>
      </c>
      <c r="J100" s="993">
        <f ca="1">W100/'4.Doanh thu'!$R$60</f>
        <v>1.6230913348193668E-3</v>
      </c>
      <c r="K100" s="1261">
        <f ca="1">SUMIF(PB_TSCD!$Z$9:$AR$55,CPSX!$D$100,PB_TSCD!AF9:AF55)</f>
        <v>13470846.533333333</v>
      </c>
      <c r="L100" s="1261">
        <f ca="1">SUMIF(PB_TSCD!$Z$9:$AR$55,CPSX!$D$100,PB_TSCD!AG9:AG55)</f>
        <v>13470846.533333333</v>
      </c>
      <c r="M100" s="1261">
        <f ca="1">SUMIF(PB_TSCD!$Z$9:$AR$55,CPSX!$D$100,PB_TSCD!AH9:AH55)</f>
        <v>13470846.533333333</v>
      </c>
      <c r="N100" s="1261">
        <f ca="1">SUMIF(PB_TSCD!$Z$9:$AR$55,CPSX!$D$100,PB_TSCD!AI9:AI55)</f>
        <v>13470846.533333333</v>
      </c>
      <c r="O100" s="1261">
        <f ca="1">SUMIF(PB_TSCD!$Z$9:$AR$55,CPSX!$D$100,PB_TSCD!AJ9:AJ55)</f>
        <v>13470846.533333333</v>
      </c>
      <c r="P100" s="1261">
        <f ca="1">SUMIF(PB_TSCD!$Z$9:$AR$55,CPSX!$D$100,PB_TSCD!AK9:AK55)</f>
        <v>13470846.533333333</v>
      </c>
      <c r="Q100" s="1261">
        <f ca="1">SUMIF(PB_TSCD!$Z$9:$AR$55,CPSX!$D$100,PB_TSCD!AL9:AL55)</f>
        <v>13470846.533333333</v>
      </c>
      <c r="R100" s="1261">
        <f ca="1">SUMIF(PB_TSCD!$Z$9:$AR$55,CPSX!$D$100,PB_TSCD!AM9:AM55)</f>
        <v>13470846.533333333</v>
      </c>
      <c r="S100" s="1261">
        <f ca="1">SUMIF(PB_TSCD!$Z$9:$AR$55,CPSX!$D$100,PB_TSCD!AN9:AN55)</f>
        <v>13470846.533333333</v>
      </c>
      <c r="T100" s="1261">
        <f ca="1">SUMIF(PB_TSCD!$Z$9:$AR$55,CPSX!$D$100,PB_TSCD!AO9:AO55)</f>
        <v>13470846.533333333</v>
      </c>
      <c r="U100" s="1261">
        <f ca="1">SUMIF(PB_TSCD!$Z$9:$AR$55,CPSX!$D$100,PB_TSCD!AP9:AP55)</f>
        <v>13470846.533333333</v>
      </c>
      <c r="V100" s="1261">
        <f ca="1">SUMIF(PB_TSCD!$Z$9:$AR$55,CPSX!$D$100,PB_TSCD!AQ9:AQ55)</f>
        <v>13470846.533333333</v>
      </c>
      <c r="W100" s="982">
        <f t="shared" ca="1" si="95"/>
        <v>161650158.40000001</v>
      </c>
      <c r="Y100" s="916">
        <v>26941693.066666666</v>
      </c>
      <c r="Z100" s="916">
        <v>26941693.066666666</v>
      </c>
      <c r="AA100" s="916">
        <v>26941693.066666666</v>
      </c>
      <c r="AB100" s="916">
        <v>26941693.066666666</v>
      </c>
      <c r="AC100" s="916">
        <v>26941693.066666666</v>
      </c>
      <c r="AD100" s="916">
        <v>26941693.066666666</v>
      </c>
      <c r="AE100" s="916">
        <v>26941693.066666666</v>
      </c>
      <c r="AF100" s="916">
        <v>26941693.066666666</v>
      </c>
      <c r="AG100" s="916">
        <v>26941693.066666666</v>
      </c>
      <c r="AH100" s="916">
        <v>26941693.066666666</v>
      </c>
      <c r="AI100" s="916">
        <v>26941693.066666666</v>
      </c>
      <c r="AJ100" s="916">
        <v>26941693.066666666</v>
      </c>
      <c r="AK100" s="982">
        <f>SUM(Y100:AJ100)</f>
        <v>323300316.80000001</v>
      </c>
      <c r="AM100" s="1261">
        <v>68215494</v>
      </c>
      <c r="AO100" s="1261">
        <v>20900004</v>
      </c>
      <c r="AQ100" s="915">
        <f t="shared" ca="1" si="96"/>
        <v>-161650158.40000001</v>
      </c>
      <c r="AR100" s="1262">
        <f t="shared" ca="1" si="97"/>
        <v>-0.5</v>
      </c>
    </row>
    <row r="101" spans="2:44" x14ac:dyDescent="0.25">
      <c r="B101" s="1259"/>
      <c r="C101" s="1259"/>
      <c r="D101" s="1309" t="s">
        <v>1132</v>
      </c>
      <c r="E101" s="1021" t="s">
        <v>668</v>
      </c>
      <c r="F101" s="1021" t="s">
        <v>667</v>
      </c>
      <c r="G101" s="1021" t="s">
        <v>468</v>
      </c>
      <c r="H101" s="981" t="s">
        <v>522</v>
      </c>
      <c r="I101" s="1260" t="s">
        <v>622</v>
      </c>
      <c r="J101" s="993">
        <f ca="1">W101/'4.Doanh thu'!$R$60</f>
        <v>6.2891734659383776E-3</v>
      </c>
      <c r="K101" s="1261">
        <f ca="1">SUMIF(PB_TSCD!$Z$9:$AR$55,CPSX!$D$101,PB_TSCD!AF9:AF55)</f>
        <v>52196995.180555552</v>
      </c>
      <c r="L101" s="1261">
        <f ca="1">SUMIF(PB_TSCD!$Z$9:$AR$55,CPSX!$D$101,PB_TSCD!AG9:AG55)</f>
        <v>52196995.180555552</v>
      </c>
      <c r="M101" s="1261">
        <f ca="1">SUMIF(PB_TSCD!$Z$9:$AR$55,CPSX!$D$101,PB_TSCD!AH9:AH55)</f>
        <v>52196995.180555552</v>
      </c>
      <c r="N101" s="1261">
        <f ca="1">SUMIF(PB_TSCD!$Z$9:$AR$55,CPSX!$D$101,PB_TSCD!AI9:AI55)</f>
        <v>52196995.180555552</v>
      </c>
      <c r="O101" s="1261">
        <f ca="1">SUMIF(PB_TSCD!$Z$9:$AR$55,CPSX!$D$101,PB_TSCD!AJ9:AJ55)</f>
        <v>52196995.180555552</v>
      </c>
      <c r="P101" s="1261">
        <f ca="1">SUMIF(PB_TSCD!$Z$9:$AR$55,CPSX!$D$101,PB_TSCD!AK9:AK55)</f>
        <v>52196995.180555552</v>
      </c>
      <c r="Q101" s="1261">
        <f ca="1">SUMIF(PB_TSCD!$Z$9:$AR$55,CPSX!$D$101,PB_TSCD!AL9:AL55)</f>
        <v>52196995.180555552</v>
      </c>
      <c r="R101" s="1261">
        <f ca="1">SUMIF(PB_TSCD!$Z$9:$AR$55,CPSX!$D$101,PB_TSCD!AM9:AM55)</f>
        <v>52196995.180555552</v>
      </c>
      <c r="S101" s="1261">
        <f ca="1">SUMIF(PB_TSCD!$Z$9:$AR$55,CPSX!$D$101,PB_TSCD!AN9:AN55)</f>
        <v>52196995.180555552</v>
      </c>
      <c r="T101" s="1261">
        <f ca="1">SUMIF(PB_TSCD!$Z$9:$AR$55,CPSX!$D$101,PB_TSCD!AO9:AO55)</f>
        <v>52196995.180555552</v>
      </c>
      <c r="U101" s="1261">
        <f ca="1">SUMIF(PB_TSCD!$Z$9:$AR$55,CPSX!$D$101,PB_TSCD!AP9:AP55)</f>
        <v>52196995.180555552</v>
      </c>
      <c r="V101" s="1261">
        <f ca="1">SUMIF(PB_TSCD!$Z$9:$AR$55,CPSX!$D$101,PB_TSCD!AQ9:AQ55)</f>
        <v>52196995.180555552</v>
      </c>
      <c r="W101" s="982">
        <f t="shared" ca="1" si="95"/>
        <v>626363942.16666675</v>
      </c>
      <c r="Y101" s="916">
        <v>88822788.433333322</v>
      </c>
      <c r="Z101" s="916">
        <v>88822788.433333322</v>
      </c>
      <c r="AA101" s="916">
        <v>88822788.433333322</v>
      </c>
      <c r="AB101" s="916">
        <v>100156121.76666665</v>
      </c>
      <c r="AC101" s="916">
        <v>94645372.099999994</v>
      </c>
      <c r="AD101" s="916">
        <v>93322788.433333322</v>
      </c>
      <c r="AE101" s="916">
        <v>93322788.433333322</v>
      </c>
      <c r="AF101" s="916">
        <v>130239452.09999999</v>
      </c>
      <c r="AG101" s="916">
        <v>112739455.09999999</v>
      </c>
      <c r="AH101" s="916">
        <v>112739455.09999999</v>
      </c>
      <c r="AI101" s="916">
        <v>112739455.09999999</v>
      </c>
      <c r="AJ101" s="916">
        <v>112739455.09999999</v>
      </c>
      <c r="AK101" s="982">
        <f t="shared" ref="AK101:AK104" si="101">SUM(Y101:AJ101)</f>
        <v>1229112708.5333331</v>
      </c>
      <c r="AM101" s="1261">
        <v>1062426435</v>
      </c>
      <c r="AO101" s="1261">
        <v>775364848</v>
      </c>
      <c r="AQ101" s="915">
        <f t="shared" ref="AQ101:AQ105" ca="1" si="102">IFERROR(W101-AK101,0)</f>
        <v>-602748766.36666632</v>
      </c>
      <c r="AR101" s="1262">
        <f t="shared" ref="AR101:AR105" ca="1" si="103">IFERROR((W101/AK101)-1,0)</f>
        <v>-0.49039340508154872</v>
      </c>
    </row>
    <row r="102" spans="2:44" x14ac:dyDescent="0.25">
      <c r="B102" s="1259"/>
      <c r="C102" s="1259"/>
      <c r="D102" s="1309" t="s">
        <v>1135</v>
      </c>
      <c r="E102" s="1021" t="s">
        <v>497</v>
      </c>
      <c r="F102" s="1021" t="s">
        <v>669</v>
      </c>
      <c r="G102" s="1021" t="s">
        <v>468</v>
      </c>
      <c r="H102" s="981" t="s">
        <v>522</v>
      </c>
      <c r="I102" s="1260" t="s">
        <v>622</v>
      </c>
      <c r="J102" s="993">
        <f ca="1">W102/'4.Doanh thu'!$R$60</f>
        <v>6.1349077253649832E-5</v>
      </c>
      <c r="K102" s="1261">
        <f ca="1">SUMIF(PB_TSCD!$Z$9:$AR$55,CPSX!$D$102,PB_TSCD!AF9:AF55)</f>
        <v>509166.66666666669</v>
      </c>
      <c r="L102" s="1261">
        <f ca="1">SUMIF(PB_TSCD!$Z$9:$AR$55,CPSX!$D$102,PB_TSCD!AG9:AG55)</f>
        <v>509166.66666666669</v>
      </c>
      <c r="M102" s="1261">
        <f ca="1">SUMIF(PB_TSCD!$Z$9:$AR$55,CPSX!$D$102,PB_TSCD!AH9:AH55)</f>
        <v>509166.66666666669</v>
      </c>
      <c r="N102" s="1261">
        <f ca="1">SUMIF(PB_TSCD!$Z$9:$AR$55,CPSX!$D$102,PB_TSCD!AI9:AI55)</f>
        <v>509166.66666666669</v>
      </c>
      <c r="O102" s="1261">
        <f ca="1">SUMIF(PB_TSCD!$Z$9:$AR$55,CPSX!$D$102,PB_TSCD!AJ9:AJ55)</f>
        <v>509166.66666666669</v>
      </c>
      <c r="P102" s="1261">
        <f ca="1">SUMIF(PB_TSCD!$Z$9:$AR$55,CPSX!$D$102,PB_TSCD!AK9:AK55)</f>
        <v>509166.66666666669</v>
      </c>
      <c r="Q102" s="1261">
        <f ca="1">SUMIF(PB_TSCD!$Z$9:$AR$55,CPSX!$D$102,PB_TSCD!AL9:AL55)</f>
        <v>509166.66666666669</v>
      </c>
      <c r="R102" s="1261">
        <f ca="1">SUMIF(PB_TSCD!$Z$9:$AR$55,CPSX!$D$102,PB_TSCD!AM9:AM55)</f>
        <v>509166.66666666669</v>
      </c>
      <c r="S102" s="1261">
        <f ca="1">SUMIF(PB_TSCD!$Z$9:$AR$55,CPSX!$D$102,PB_TSCD!AN9:AN55)</f>
        <v>509166.66666666669</v>
      </c>
      <c r="T102" s="1261">
        <f ca="1">SUMIF(PB_TSCD!$Z$9:$AR$55,CPSX!$D$102,PB_TSCD!AO9:AO55)</f>
        <v>509166.66666666669</v>
      </c>
      <c r="U102" s="1261">
        <f ca="1">SUMIF(PB_TSCD!$Z$9:$AR$55,CPSX!$D$102,PB_TSCD!AP9:AP55)</f>
        <v>509166.66666666669</v>
      </c>
      <c r="V102" s="1261">
        <f ca="1">SUMIF(PB_TSCD!$Z$9:$AR$55,CPSX!$D$102,PB_TSCD!AQ9:AQ55)</f>
        <v>509166.66666666669</v>
      </c>
      <c r="W102" s="982">
        <f t="shared" ca="1" si="95"/>
        <v>6110000.0000000009</v>
      </c>
      <c r="Y102" s="916">
        <v>509166.66666666669</v>
      </c>
      <c r="Z102" s="916">
        <v>509166.66666666669</v>
      </c>
      <c r="AA102" s="916">
        <v>509166.66666666669</v>
      </c>
      <c r="AB102" s="916">
        <v>509166.66666666669</v>
      </c>
      <c r="AC102" s="916">
        <v>509166.66666666669</v>
      </c>
      <c r="AD102" s="916">
        <v>509166.66666666669</v>
      </c>
      <c r="AE102" s="916">
        <v>509166.66666666669</v>
      </c>
      <c r="AF102" s="916">
        <v>509166.66666666669</v>
      </c>
      <c r="AG102" s="916">
        <v>509166.66666666669</v>
      </c>
      <c r="AH102" s="916">
        <v>509166.66666666669</v>
      </c>
      <c r="AI102" s="916">
        <v>509166.66666666669</v>
      </c>
      <c r="AJ102" s="916">
        <v>509166.66666666669</v>
      </c>
      <c r="AK102" s="982">
        <f t="shared" si="101"/>
        <v>6110000.0000000009</v>
      </c>
      <c r="AM102" s="1261">
        <v>0</v>
      </c>
      <c r="AO102" s="1261">
        <v>0</v>
      </c>
      <c r="AQ102" s="915">
        <f t="shared" ca="1" si="102"/>
        <v>0</v>
      </c>
      <c r="AR102" s="1262">
        <f t="shared" ca="1" si="103"/>
        <v>0</v>
      </c>
    </row>
    <row r="103" spans="2:44" x14ac:dyDescent="0.25">
      <c r="B103" s="1259"/>
      <c r="C103" s="1259"/>
      <c r="D103" s="1309" t="s">
        <v>1138</v>
      </c>
      <c r="E103" s="1021" t="s">
        <v>498</v>
      </c>
      <c r="F103" s="1021" t="s">
        <v>670</v>
      </c>
      <c r="G103" s="1021" t="s">
        <v>468</v>
      </c>
      <c r="H103" s="981" t="s">
        <v>522</v>
      </c>
      <c r="I103" s="1260" t="s">
        <v>622</v>
      </c>
      <c r="J103" s="993">
        <f ca="1">W103/'4.Doanh thu'!$R$60</f>
        <v>5.8130082233869495E-4</v>
      </c>
      <c r="K103" s="1261">
        <f ca="1">SUMIF(PB_TSCD!$Z$9:$AR$55,CPSX!$D$103,PB_TSCD!AF9:AF55)</f>
        <v>4824506.1749999998</v>
      </c>
      <c r="L103" s="1261">
        <f ca="1">SUMIF(PB_TSCD!$Z$9:$AR$55,CPSX!$D$103,PB_TSCD!AG9:AG55)</f>
        <v>4824506.1749999998</v>
      </c>
      <c r="M103" s="1261">
        <f ca="1">SUMIF(PB_TSCD!$Z$9:$AR$55,CPSX!$D$103,PB_TSCD!AH9:AH55)</f>
        <v>4824506.1749999998</v>
      </c>
      <c r="N103" s="1261">
        <f ca="1">SUMIF(PB_TSCD!$Z$9:$AR$55,CPSX!$D$103,PB_TSCD!AI9:AI55)</f>
        <v>4824506.1749999998</v>
      </c>
      <c r="O103" s="1261">
        <f ca="1">SUMIF(PB_TSCD!$Z$9:$AR$55,CPSX!$D$103,PB_TSCD!AJ9:AJ55)</f>
        <v>4824506.1749999998</v>
      </c>
      <c r="P103" s="1261">
        <f ca="1">SUMIF(PB_TSCD!$Z$9:$AR$55,CPSX!$D$103,PB_TSCD!AK9:AK55)</f>
        <v>4824506.1749999998</v>
      </c>
      <c r="Q103" s="1261">
        <f ca="1">SUMIF(PB_TSCD!$Z$9:$AR$55,CPSX!$D$103,PB_TSCD!AL9:AL55)</f>
        <v>4824506.1749999998</v>
      </c>
      <c r="R103" s="1261">
        <f ca="1">SUMIF(PB_TSCD!$Z$9:$AR$55,CPSX!$D$103,PB_TSCD!AM9:AM55)</f>
        <v>4824506.1749999998</v>
      </c>
      <c r="S103" s="1261">
        <f ca="1">SUMIF(PB_TSCD!$Z$9:$AR$55,CPSX!$D$103,PB_TSCD!AN9:AN55)</f>
        <v>4824506.1749999998</v>
      </c>
      <c r="T103" s="1261">
        <f ca="1">SUMIF(PB_TSCD!$Z$9:$AR$55,CPSX!$D$103,PB_TSCD!AO9:AO55)</f>
        <v>4824506.1749999998</v>
      </c>
      <c r="U103" s="1261">
        <f ca="1">SUMIF(PB_TSCD!$Z$9:$AR$55,CPSX!$D$103,PB_TSCD!AP9:AP55)</f>
        <v>4824506.1749999998</v>
      </c>
      <c r="V103" s="1261">
        <f ca="1">SUMIF(PB_TSCD!$Z$9:$AR$55,CPSX!$D$103,PB_TSCD!AQ9:AQ55)</f>
        <v>4824506.1749999998</v>
      </c>
      <c r="W103" s="982">
        <f t="shared" ca="1" si="95"/>
        <v>57894074.099999987</v>
      </c>
      <c r="Y103" s="916">
        <v>9649012.3499999996</v>
      </c>
      <c r="Z103" s="916">
        <v>9649012.3499999996</v>
      </c>
      <c r="AA103" s="916">
        <v>9649012.3499999996</v>
      </c>
      <c r="AB103" s="916">
        <v>9649012.3499999996</v>
      </c>
      <c r="AC103" s="916">
        <v>9649012.3499999996</v>
      </c>
      <c r="AD103" s="916">
        <v>9649012.3499999996</v>
      </c>
      <c r="AE103" s="916">
        <v>9649012.3499999996</v>
      </c>
      <c r="AF103" s="916">
        <v>9649012.3499999996</v>
      </c>
      <c r="AG103" s="916">
        <v>9649012.3499999996</v>
      </c>
      <c r="AH103" s="916">
        <v>9649012.3499999996</v>
      </c>
      <c r="AI103" s="916">
        <v>9649012.3499999996</v>
      </c>
      <c r="AJ103" s="916">
        <v>9649012.3499999996</v>
      </c>
      <c r="AK103" s="982">
        <f t="shared" si="101"/>
        <v>115788148.19999997</v>
      </c>
      <c r="AM103" s="1261">
        <v>118151481</v>
      </c>
      <c r="AO103" s="1261">
        <v>106481484</v>
      </c>
      <c r="AQ103" s="915">
        <f t="shared" ca="1" si="102"/>
        <v>-57894074.099999987</v>
      </c>
      <c r="AR103" s="1262">
        <f t="shared" ca="1" si="103"/>
        <v>-0.5</v>
      </c>
    </row>
    <row r="104" spans="2:44" x14ac:dyDescent="0.25">
      <c r="B104" s="1259"/>
      <c r="C104" s="1259"/>
      <c r="D104" s="1309" t="s">
        <v>1141</v>
      </c>
      <c r="E104" s="1021" t="s">
        <v>671</v>
      </c>
      <c r="F104" s="1021" t="s">
        <v>667</v>
      </c>
      <c r="G104" s="1021" t="s">
        <v>468</v>
      </c>
      <c r="H104" s="981" t="s">
        <v>522</v>
      </c>
      <c r="I104" s="1260" t="s">
        <v>622</v>
      </c>
      <c r="J104" s="993">
        <f ca="1">W104/'4.Doanh thu'!$R$60</f>
        <v>1.2441731680623328E-3</v>
      </c>
      <c r="K104" s="1261">
        <f ca="1">SUMIF(PB_TSCD!$Z$9:$AR$55,CPSX!$D$104,PB_TSCD!AF9:AF55)</f>
        <v>10326015.208333334</v>
      </c>
      <c r="L104" s="1261">
        <f ca="1">SUMIF(PB_TSCD!$Z$9:$AR$55,CPSX!$D$104,PB_TSCD!AG9:AG55)</f>
        <v>10326015.208333334</v>
      </c>
      <c r="M104" s="1261">
        <f ca="1">SUMIF(PB_TSCD!$Z$9:$AR$55,CPSX!$D$104,PB_TSCD!AH9:AH55)</f>
        <v>10326015.208333334</v>
      </c>
      <c r="N104" s="1261">
        <f ca="1">SUMIF(PB_TSCD!$Z$9:$AR$55,CPSX!$D$104,PB_TSCD!AI9:AI55)</f>
        <v>10326015.208333334</v>
      </c>
      <c r="O104" s="1261">
        <f ca="1">SUMIF(PB_TSCD!$Z$9:$AR$55,CPSX!$D$104,PB_TSCD!AJ9:AJ55)</f>
        <v>10326015.208333334</v>
      </c>
      <c r="P104" s="1261">
        <f ca="1">SUMIF(PB_TSCD!$Z$9:$AR$55,CPSX!$D$104,PB_TSCD!AK9:AK55)</f>
        <v>10326015.208333334</v>
      </c>
      <c r="Q104" s="1261">
        <f ca="1">SUMIF(PB_TSCD!$Z$9:$AR$55,CPSX!$D$104,PB_TSCD!AL9:AL55)</f>
        <v>10326015.208333334</v>
      </c>
      <c r="R104" s="1261">
        <f ca="1">SUMIF(PB_TSCD!$Z$9:$AR$55,CPSX!$D$104,PB_TSCD!AM9:AM55)</f>
        <v>10326015.208333334</v>
      </c>
      <c r="S104" s="1261">
        <f ca="1">SUMIF(PB_TSCD!$Z$9:$AR$55,CPSX!$D$104,PB_TSCD!AN9:AN55)</f>
        <v>10326015.208333334</v>
      </c>
      <c r="T104" s="1261">
        <f ca="1">SUMIF(PB_TSCD!$Z$9:$AR$55,CPSX!$D$104,PB_TSCD!AO9:AO55)</f>
        <v>10326015.208333334</v>
      </c>
      <c r="U104" s="1261">
        <f ca="1">SUMIF(PB_TSCD!$Z$9:$AR$55,CPSX!$D$104,PB_TSCD!AP9:AP55)</f>
        <v>10326015.208333334</v>
      </c>
      <c r="V104" s="1261">
        <f ca="1">SUMIF(PB_TSCD!$Z$9:$AR$55,CPSX!$D$104,PB_TSCD!AQ9:AQ55)</f>
        <v>10326015.208333334</v>
      </c>
      <c r="W104" s="982">
        <f t="shared" ca="1" si="95"/>
        <v>123912182.49999999</v>
      </c>
      <c r="Y104" s="916">
        <v>19584373.095238097</v>
      </c>
      <c r="Z104" s="916">
        <v>19542576.285714287</v>
      </c>
      <c r="AA104" s="916">
        <v>19505610.30952381</v>
      </c>
      <c r="AB104" s="916">
        <v>19496158.80952381</v>
      </c>
      <c r="AC104" s="916">
        <v>19552027.785714287</v>
      </c>
      <c r="AD104" s="916">
        <v>19528504.119047619</v>
      </c>
      <c r="AE104" s="916">
        <v>19496159.80952381</v>
      </c>
      <c r="AF104" s="916">
        <v>19497208.979591839</v>
      </c>
      <c r="AG104" s="916">
        <v>19496711.398526076</v>
      </c>
      <c r="AH104" s="916">
        <v>19496271.327380951</v>
      </c>
      <c r="AI104" s="916">
        <v>19496158.80952381</v>
      </c>
      <c r="AJ104" s="916">
        <v>19496823.916383222</v>
      </c>
      <c r="AK104" s="982">
        <f t="shared" si="101"/>
        <v>234188584.64569163</v>
      </c>
      <c r="AM104" s="1261">
        <v>133256946</v>
      </c>
      <c r="AO104" s="1261">
        <v>133661934</v>
      </c>
      <c r="AQ104" s="915">
        <f t="shared" ca="1" si="102"/>
        <v>-110276402.14569165</v>
      </c>
      <c r="AR104" s="1262">
        <f t="shared" ca="1" si="103"/>
        <v>-0.47088717971685479</v>
      </c>
    </row>
    <row r="105" spans="2:44" x14ac:dyDescent="0.25">
      <c r="B105" s="580"/>
      <c r="C105" s="580"/>
      <c r="D105" s="581"/>
      <c r="E105" s="582"/>
      <c r="F105" s="582"/>
      <c r="G105" s="582"/>
      <c r="H105" s="581"/>
      <c r="I105" s="607"/>
      <c r="J105" s="583"/>
      <c r="K105" s="583"/>
      <c r="L105" s="583"/>
      <c r="M105" s="583"/>
      <c r="N105" s="583"/>
      <c r="O105" s="583"/>
      <c r="P105" s="583"/>
      <c r="Q105" s="583"/>
      <c r="R105" s="583"/>
      <c r="S105" s="583"/>
      <c r="T105" s="583"/>
      <c r="U105" s="583"/>
      <c r="V105" s="583"/>
      <c r="W105" s="595"/>
      <c r="Y105" s="916"/>
      <c r="Z105" s="916"/>
      <c r="AA105" s="916"/>
      <c r="AB105" s="916"/>
      <c r="AC105" s="916"/>
      <c r="AD105" s="916"/>
      <c r="AE105" s="916"/>
      <c r="AF105" s="916"/>
      <c r="AG105" s="916"/>
      <c r="AH105" s="916"/>
      <c r="AI105" s="916"/>
      <c r="AJ105" s="916"/>
      <c r="AK105" s="594"/>
      <c r="AM105" s="595"/>
      <c r="AO105" s="595"/>
      <c r="AQ105" s="915">
        <f t="shared" si="102"/>
        <v>0</v>
      </c>
      <c r="AR105" s="1262">
        <f t="shared" si="103"/>
        <v>0</v>
      </c>
    </row>
    <row r="106" spans="2:44" s="37" customFormat="1" x14ac:dyDescent="0.35">
      <c r="B106" s="387" t="s">
        <v>1613</v>
      </c>
      <c r="C106" s="389"/>
      <c r="D106" s="388"/>
      <c r="E106" s="650" t="s">
        <v>1610</v>
      </c>
      <c r="F106" s="651"/>
      <c r="G106" s="652"/>
      <c r="H106" s="652"/>
      <c r="I106" s="653"/>
      <c r="J106" s="392">
        <f t="shared" ref="J106:V106" ca="1" si="104">J71+J5</f>
        <v>0.15559164251393576</v>
      </c>
      <c r="K106" s="392">
        <f t="shared" ca="1" si="104"/>
        <v>1190802752.9545522</v>
      </c>
      <c r="L106" s="392">
        <f t="shared" ca="1" si="104"/>
        <v>1164772064.6117473</v>
      </c>
      <c r="M106" s="392">
        <f t="shared" ca="1" si="104"/>
        <v>1168274849.5021539</v>
      </c>
      <c r="N106" s="392">
        <f t="shared" ca="1" si="104"/>
        <v>1227781725.1497552</v>
      </c>
      <c r="O106" s="392">
        <f t="shared" ca="1" si="104"/>
        <v>1183995965.3497553</v>
      </c>
      <c r="P106" s="392">
        <f t="shared" ca="1" si="104"/>
        <v>1230599968.6164219</v>
      </c>
      <c r="Q106" s="392">
        <f t="shared" ca="1" si="104"/>
        <v>1242509945.9830885</v>
      </c>
      <c r="R106" s="392">
        <f t="shared" ca="1" si="104"/>
        <v>1260042590.566422</v>
      </c>
      <c r="S106" s="392">
        <f t="shared" ca="1" si="104"/>
        <v>1249574716.1830885</v>
      </c>
      <c r="T106" s="392">
        <f t="shared" ca="1" si="104"/>
        <v>1188547606.5164218</v>
      </c>
      <c r="U106" s="392">
        <f t="shared" ca="1" si="104"/>
        <v>1207901072.816422</v>
      </c>
      <c r="V106" s="392">
        <f t="shared" ca="1" si="104"/>
        <v>1205260429.1164219</v>
      </c>
      <c r="W106" s="392">
        <f ca="1">W71+W5</f>
        <v>14520063687.366253</v>
      </c>
      <c r="Y106" s="568">
        <f>Y71+Y5</f>
        <v>901591516.72727287</v>
      </c>
      <c r="Z106" s="568">
        <f t="shared" ref="Z106:AJ106" si="105">Z71+Z5</f>
        <v>919805475.72727311</v>
      </c>
      <c r="AA106" s="568">
        <f t="shared" si="105"/>
        <v>975560002.72727227</v>
      </c>
      <c r="AB106" s="568">
        <f t="shared" si="105"/>
        <v>1024669650.7272726</v>
      </c>
      <c r="AC106" s="568">
        <f t="shared" si="105"/>
        <v>1009608037.7272727</v>
      </c>
      <c r="AD106" s="568">
        <f t="shared" si="105"/>
        <v>1032180837.7272725</v>
      </c>
      <c r="AE106" s="568">
        <f t="shared" si="105"/>
        <v>1135602447.7272723</v>
      </c>
      <c r="AF106" s="568">
        <f t="shared" si="105"/>
        <v>1057723443.7272722</v>
      </c>
      <c r="AG106" s="568">
        <f t="shared" si="105"/>
        <v>1032866138.7272725</v>
      </c>
      <c r="AH106" s="568">
        <f t="shared" si="105"/>
        <v>1161722565.2063572</v>
      </c>
      <c r="AI106" s="568">
        <f t="shared" si="105"/>
        <v>1152740204.9385002</v>
      </c>
      <c r="AJ106" s="568">
        <f t="shared" si="105"/>
        <v>1126137389.0453596</v>
      </c>
      <c r="AK106" s="568">
        <f>AK71+AK5</f>
        <v>12530207710.73567</v>
      </c>
      <c r="AL106" s="36"/>
      <c r="AM106" s="568">
        <f>AM71+AM5</f>
        <v>9395522029</v>
      </c>
      <c r="AN106" s="709"/>
      <c r="AO106" s="568">
        <f>AO71+AO5</f>
        <v>9891818434</v>
      </c>
      <c r="AQ106" s="568">
        <f t="shared" ref="AQ106" ca="1" si="106">IFERROR(W106-AK106,0)</f>
        <v>1989855976.6305828</v>
      </c>
      <c r="AR106" s="988">
        <f t="shared" ca="1" si="97"/>
        <v>0.15880470799583857</v>
      </c>
    </row>
    <row r="107" spans="2:44" x14ac:dyDescent="0.35">
      <c r="I107" s="202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1"/>
      <c r="AM107" s="81"/>
      <c r="AO107" s="81"/>
      <c r="AQ107" s="81"/>
      <c r="AR107" s="989"/>
    </row>
    <row r="108" spans="2:44" hidden="1" x14ac:dyDescent="0.35">
      <c r="B108" s="138" t="s">
        <v>341</v>
      </c>
      <c r="C108" s="138"/>
      <c r="D108" s="195"/>
      <c r="E108" s="138"/>
      <c r="F108" s="138"/>
      <c r="G108" s="138"/>
      <c r="W108" s="592" t="s">
        <v>233</v>
      </c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592"/>
      <c r="AM108" s="592"/>
      <c r="AO108" s="592"/>
      <c r="AQ108" s="592"/>
      <c r="AR108" s="990"/>
    </row>
    <row r="109" spans="2:44" ht="43" hidden="1" customHeight="1" outlineLevel="1" x14ac:dyDescent="0.35">
      <c r="B109" s="377" t="s">
        <v>0</v>
      </c>
      <c r="C109" s="377" t="s">
        <v>703</v>
      </c>
      <c r="D109" s="378" t="s">
        <v>568</v>
      </c>
      <c r="E109" s="379" t="s">
        <v>470</v>
      </c>
      <c r="F109" s="380" t="s">
        <v>567</v>
      </c>
      <c r="G109" s="377" t="s">
        <v>100</v>
      </c>
      <c r="H109" s="377" t="s">
        <v>132</v>
      </c>
      <c r="I109" s="603" t="s">
        <v>232</v>
      </c>
      <c r="J109" s="269" t="s">
        <v>1947</v>
      </c>
      <c r="K109" s="269" t="s">
        <v>56</v>
      </c>
      <c r="L109" s="269" t="s">
        <v>57</v>
      </c>
      <c r="M109" s="269" t="s">
        <v>58</v>
      </c>
      <c r="N109" s="269" t="s">
        <v>59</v>
      </c>
      <c r="O109" s="269" t="s">
        <v>60</v>
      </c>
      <c r="P109" s="269" t="s">
        <v>61</v>
      </c>
      <c r="Q109" s="269" t="s">
        <v>62</v>
      </c>
      <c r="R109" s="269" t="s">
        <v>63</v>
      </c>
      <c r="S109" s="269" t="s">
        <v>64</v>
      </c>
      <c r="T109" s="269" t="s">
        <v>65</v>
      </c>
      <c r="U109" s="269" t="s">
        <v>66</v>
      </c>
      <c r="V109" s="269" t="s">
        <v>67</v>
      </c>
      <c r="W109" s="269" t="s">
        <v>399</v>
      </c>
      <c r="Y109" s="942" t="s">
        <v>56</v>
      </c>
      <c r="Z109" s="942" t="s">
        <v>57</v>
      </c>
      <c r="AA109" s="942" t="s">
        <v>58</v>
      </c>
      <c r="AB109" s="942" t="s">
        <v>59</v>
      </c>
      <c r="AC109" s="942" t="s">
        <v>60</v>
      </c>
      <c r="AD109" s="942" t="s">
        <v>61</v>
      </c>
      <c r="AE109" s="942" t="s">
        <v>62</v>
      </c>
      <c r="AF109" s="942" t="s">
        <v>63</v>
      </c>
      <c r="AG109" s="942" t="s">
        <v>64</v>
      </c>
      <c r="AH109" s="942" t="s">
        <v>65</v>
      </c>
      <c r="AI109" s="942" t="s">
        <v>66</v>
      </c>
      <c r="AJ109" s="942" t="s">
        <v>67</v>
      </c>
      <c r="AK109" s="942" t="s">
        <v>405</v>
      </c>
      <c r="AM109" s="942" t="s">
        <v>1942</v>
      </c>
      <c r="AO109" s="942" t="s">
        <v>1943</v>
      </c>
      <c r="AQ109" s="991" t="s">
        <v>749</v>
      </c>
      <c r="AR109" s="992" t="s">
        <v>750</v>
      </c>
    </row>
    <row r="110" spans="2:44" s="37" customFormat="1" ht="21" hidden="1" customHeight="1" outlineLevel="1" x14ac:dyDescent="0.35">
      <c r="B110" s="382" t="s">
        <v>2</v>
      </c>
      <c r="C110" s="471"/>
      <c r="D110" s="383"/>
      <c r="E110" s="385" t="s">
        <v>85</v>
      </c>
      <c r="F110" s="384"/>
      <c r="G110" s="385"/>
      <c r="H110" s="385"/>
      <c r="I110" s="604"/>
      <c r="J110" s="386">
        <f t="shared" ref="J110:W110" si="107">SUM(J111:J131)</f>
        <v>0</v>
      </c>
      <c r="K110" s="386">
        <f t="shared" si="107"/>
        <v>0</v>
      </c>
      <c r="L110" s="386">
        <f t="shared" si="107"/>
        <v>0</v>
      </c>
      <c r="M110" s="386">
        <f t="shared" si="107"/>
        <v>0</v>
      </c>
      <c r="N110" s="386">
        <f t="shared" si="107"/>
        <v>0</v>
      </c>
      <c r="O110" s="386">
        <f t="shared" si="107"/>
        <v>0</v>
      </c>
      <c r="P110" s="386">
        <f t="shared" si="107"/>
        <v>0</v>
      </c>
      <c r="Q110" s="386">
        <f t="shared" si="107"/>
        <v>0</v>
      </c>
      <c r="R110" s="386">
        <f t="shared" si="107"/>
        <v>0</v>
      </c>
      <c r="S110" s="386">
        <f t="shared" si="107"/>
        <v>0</v>
      </c>
      <c r="T110" s="386">
        <f t="shared" si="107"/>
        <v>0</v>
      </c>
      <c r="U110" s="386">
        <f t="shared" si="107"/>
        <v>0</v>
      </c>
      <c r="V110" s="386">
        <f t="shared" si="107"/>
        <v>0</v>
      </c>
      <c r="W110" s="386">
        <f t="shared" si="107"/>
        <v>0</v>
      </c>
      <c r="Y110" s="386">
        <f>SUM(Y112:Y131)</f>
        <v>0</v>
      </c>
      <c r="Z110" s="386">
        <f t="shared" ref="Z110:AK110" si="108">SUM(Z111:Z131)</f>
        <v>0</v>
      </c>
      <c r="AA110" s="386">
        <f t="shared" si="108"/>
        <v>0</v>
      </c>
      <c r="AB110" s="386">
        <f t="shared" si="108"/>
        <v>0</v>
      </c>
      <c r="AC110" s="386">
        <f t="shared" si="108"/>
        <v>0</v>
      </c>
      <c r="AD110" s="386">
        <f t="shared" si="108"/>
        <v>0</v>
      </c>
      <c r="AE110" s="386">
        <f t="shared" si="108"/>
        <v>0</v>
      </c>
      <c r="AF110" s="386">
        <f t="shared" si="108"/>
        <v>0</v>
      </c>
      <c r="AG110" s="386">
        <f t="shared" si="108"/>
        <v>0</v>
      </c>
      <c r="AH110" s="386">
        <f t="shared" si="108"/>
        <v>0</v>
      </c>
      <c r="AI110" s="386">
        <f t="shared" si="108"/>
        <v>0</v>
      </c>
      <c r="AJ110" s="386">
        <f t="shared" si="108"/>
        <v>0</v>
      </c>
      <c r="AK110" s="386">
        <f t="shared" si="108"/>
        <v>0</v>
      </c>
      <c r="AM110" s="386">
        <f>SUM(AM111:AM131)</f>
        <v>0</v>
      </c>
      <c r="AO110" s="386">
        <f>SUM(AO111:AO131)</f>
        <v>0</v>
      </c>
      <c r="AQ110" s="568">
        <f t="shared" ref="AQ110:AQ162" si="109">IFERROR(W110-AK110,0)</f>
        <v>0</v>
      </c>
      <c r="AR110" s="988">
        <f t="shared" ref="AR110:AR162" si="110">IFERROR((W110/AK110)-1,0)</f>
        <v>0</v>
      </c>
    </row>
    <row r="111" spans="2:44" hidden="1" outlineLevel="1" x14ac:dyDescent="0.25">
      <c r="B111" s="570">
        <v>1</v>
      </c>
      <c r="C111" s="570"/>
      <c r="D111" s="997">
        <v>6220002601</v>
      </c>
      <c r="E111" s="584" t="s">
        <v>454</v>
      </c>
      <c r="F111" s="584" t="s">
        <v>569</v>
      </c>
      <c r="G111" s="584" t="s">
        <v>454</v>
      </c>
      <c r="H111" s="997" t="s">
        <v>521</v>
      </c>
      <c r="I111" s="605" t="s">
        <v>612</v>
      </c>
      <c r="J111" s="915"/>
      <c r="K111" s="915"/>
      <c r="L111" s="915"/>
      <c r="M111" s="915"/>
      <c r="N111" s="915"/>
      <c r="O111" s="915"/>
      <c r="P111" s="915"/>
      <c r="Q111" s="915"/>
      <c r="R111" s="915"/>
      <c r="S111" s="915"/>
      <c r="T111" s="915"/>
      <c r="U111" s="915"/>
      <c r="V111" s="915"/>
      <c r="W111" s="998">
        <f t="shared" ref="W111:W130" si="111">SUM(K111:V111)</f>
        <v>0</v>
      </c>
      <c r="Y111" s="999"/>
      <c r="Z111" s="915"/>
      <c r="AA111" s="915"/>
      <c r="AB111" s="915"/>
      <c r="AC111" s="915"/>
      <c r="AD111" s="915"/>
      <c r="AE111" s="915"/>
      <c r="AF111" s="915"/>
      <c r="AG111" s="915"/>
      <c r="AH111" s="915"/>
      <c r="AI111" s="915"/>
      <c r="AJ111" s="915"/>
      <c r="AK111" s="998">
        <f t="shared" ref="AK111:AK123" si="112">SUM(Y111:AJ111)</f>
        <v>0</v>
      </c>
      <c r="AM111" s="998"/>
      <c r="AO111" s="998"/>
      <c r="AQ111" s="916">
        <f t="shared" si="109"/>
        <v>0</v>
      </c>
      <c r="AR111" s="994">
        <f t="shared" si="110"/>
        <v>0</v>
      </c>
    </row>
    <row r="112" spans="2:44" hidden="1" outlineLevel="1" x14ac:dyDescent="0.25">
      <c r="B112" s="575">
        <v>2</v>
      </c>
      <c r="C112" s="575"/>
      <c r="D112" s="981">
        <v>6220002602</v>
      </c>
      <c r="E112" s="638" t="s">
        <v>455</v>
      </c>
      <c r="F112" s="638" t="s">
        <v>569</v>
      </c>
      <c r="G112" s="638" t="s">
        <v>455</v>
      </c>
      <c r="H112" s="981" t="s">
        <v>521</v>
      </c>
      <c r="I112" s="606" t="s">
        <v>612</v>
      </c>
      <c r="J112" s="916"/>
      <c r="K112" s="916"/>
      <c r="L112" s="916"/>
      <c r="M112" s="916"/>
      <c r="N112" s="916"/>
      <c r="O112" s="916"/>
      <c r="P112" s="916"/>
      <c r="Q112" s="916"/>
      <c r="R112" s="916"/>
      <c r="S112" s="916"/>
      <c r="T112" s="916"/>
      <c r="U112" s="916"/>
      <c r="V112" s="916"/>
      <c r="W112" s="982">
        <f t="shared" si="111"/>
        <v>0</v>
      </c>
      <c r="Y112" s="915"/>
      <c r="Z112" s="916"/>
      <c r="AA112" s="916"/>
      <c r="AB112" s="916"/>
      <c r="AC112" s="916"/>
      <c r="AD112" s="916"/>
      <c r="AE112" s="916"/>
      <c r="AF112" s="916"/>
      <c r="AG112" s="916"/>
      <c r="AH112" s="916"/>
      <c r="AI112" s="916"/>
      <c r="AJ112" s="916"/>
      <c r="AK112" s="982">
        <f>SUM(Y112:AJ112)</f>
        <v>0</v>
      </c>
      <c r="AM112" s="982"/>
      <c r="AO112" s="982"/>
      <c r="AQ112" s="916">
        <f t="shared" si="109"/>
        <v>0</v>
      </c>
      <c r="AR112" s="994">
        <f t="shared" si="110"/>
        <v>0</v>
      </c>
    </row>
    <row r="113" spans="2:44" hidden="1" outlineLevel="1" x14ac:dyDescent="0.25">
      <c r="B113" s="575">
        <v>3</v>
      </c>
      <c r="C113" s="575"/>
      <c r="D113" s="981">
        <v>6220002802</v>
      </c>
      <c r="E113" s="638" t="s">
        <v>458</v>
      </c>
      <c r="F113" s="638" t="s">
        <v>570</v>
      </c>
      <c r="G113" s="638" t="s">
        <v>458</v>
      </c>
      <c r="H113" s="981" t="s">
        <v>521</v>
      </c>
      <c r="I113" s="606" t="s">
        <v>612</v>
      </c>
      <c r="J113" s="916"/>
      <c r="K113" s="916"/>
      <c r="L113" s="916"/>
      <c r="M113" s="916"/>
      <c r="N113" s="916"/>
      <c r="O113" s="916"/>
      <c r="P113" s="916"/>
      <c r="Q113" s="916"/>
      <c r="R113" s="916"/>
      <c r="S113" s="916"/>
      <c r="T113" s="916"/>
      <c r="U113" s="916"/>
      <c r="V113" s="916"/>
      <c r="W113" s="982">
        <f t="shared" si="111"/>
        <v>0</v>
      </c>
      <c r="Y113" s="916"/>
      <c r="Z113" s="916"/>
      <c r="AA113" s="916"/>
      <c r="AB113" s="916"/>
      <c r="AC113" s="916"/>
      <c r="AD113" s="916"/>
      <c r="AE113" s="916"/>
      <c r="AF113" s="916"/>
      <c r="AG113" s="916"/>
      <c r="AH113" s="916"/>
      <c r="AI113" s="916"/>
      <c r="AJ113" s="916"/>
      <c r="AK113" s="982">
        <f t="shared" si="112"/>
        <v>0</v>
      </c>
      <c r="AM113" s="982"/>
      <c r="AO113" s="982"/>
      <c r="AQ113" s="916">
        <f t="shared" si="109"/>
        <v>0</v>
      </c>
      <c r="AR113" s="994">
        <f t="shared" si="110"/>
        <v>0</v>
      </c>
    </row>
    <row r="114" spans="2:44" hidden="1" outlineLevel="1" x14ac:dyDescent="0.25">
      <c r="B114" s="575">
        <v>4</v>
      </c>
      <c r="C114" s="575"/>
      <c r="D114" s="981">
        <v>6220002806</v>
      </c>
      <c r="E114" s="638" t="s">
        <v>471</v>
      </c>
      <c r="F114" s="638" t="s">
        <v>569</v>
      </c>
      <c r="G114" s="638" t="s">
        <v>471</v>
      </c>
      <c r="H114" s="981" t="s">
        <v>521</v>
      </c>
      <c r="I114" s="606" t="s">
        <v>612</v>
      </c>
      <c r="J114" s="916"/>
      <c r="K114" s="916"/>
      <c r="L114" s="916"/>
      <c r="M114" s="916"/>
      <c r="N114" s="916"/>
      <c r="O114" s="916"/>
      <c r="P114" s="916"/>
      <c r="Q114" s="916"/>
      <c r="R114" s="916"/>
      <c r="S114" s="916"/>
      <c r="T114" s="916"/>
      <c r="U114" s="916"/>
      <c r="V114" s="916"/>
      <c r="W114" s="982">
        <f t="shared" si="111"/>
        <v>0</v>
      </c>
      <c r="Y114" s="916"/>
      <c r="Z114" s="916"/>
      <c r="AA114" s="916"/>
      <c r="AB114" s="916"/>
      <c r="AC114" s="916"/>
      <c r="AD114" s="916"/>
      <c r="AE114" s="916"/>
      <c r="AF114" s="916"/>
      <c r="AG114" s="916"/>
      <c r="AH114" s="916"/>
      <c r="AI114" s="916"/>
      <c r="AJ114" s="916"/>
      <c r="AK114" s="982">
        <f t="shared" si="112"/>
        <v>0</v>
      </c>
      <c r="AM114" s="982"/>
      <c r="AO114" s="982"/>
      <c r="AQ114" s="916">
        <f t="shared" si="109"/>
        <v>0</v>
      </c>
      <c r="AR114" s="994">
        <f t="shared" si="110"/>
        <v>0</v>
      </c>
    </row>
    <row r="115" spans="2:44" hidden="1" outlineLevel="1" x14ac:dyDescent="0.25">
      <c r="B115" s="575">
        <v>5</v>
      </c>
      <c r="C115" s="575"/>
      <c r="D115" s="981">
        <v>6220007202</v>
      </c>
      <c r="E115" s="638" t="s">
        <v>431</v>
      </c>
      <c r="F115" s="638" t="s">
        <v>570</v>
      </c>
      <c r="G115" s="638" t="s">
        <v>431</v>
      </c>
      <c r="H115" s="981" t="s">
        <v>521</v>
      </c>
      <c r="I115" s="606" t="s">
        <v>612</v>
      </c>
      <c r="J115" s="916"/>
      <c r="K115" s="916"/>
      <c r="L115" s="916"/>
      <c r="M115" s="916"/>
      <c r="N115" s="916"/>
      <c r="O115" s="916"/>
      <c r="P115" s="916"/>
      <c r="Q115" s="916"/>
      <c r="R115" s="916"/>
      <c r="S115" s="916"/>
      <c r="T115" s="916"/>
      <c r="U115" s="916"/>
      <c r="V115" s="916"/>
      <c r="W115" s="982">
        <f t="shared" si="111"/>
        <v>0</v>
      </c>
      <c r="Y115" s="916"/>
      <c r="Z115" s="916"/>
      <c r="AA115" s="916"/>
      <c r="AB115" s="916"/>
      <c r="AC115" s="916"/>
      <c r="AD115" s="916"/>
      <c r="AE115" s="916"/>
      <c r="AF115" s="916"/>
      <c r="AG115" s="916"/>
      <c r="AH115" s="916"/>
      <c r="AI115" s="916"/>
      <c r="AJ115" s="916"/>
      <c r="AK115" s="982">
        <f t="shared" si="112"/>
        <v>0</v>
      </c>
      <c r="AM115" s="982"/>
      <c r="AO115" s="982"/>
      <c r="AQ115" s="916">
        <f t="shared" si="109"/>
        <v>0</v>
      </c>
      <c r="AR115" s="994">
        <f t="shared" si="110"/>
        <v>0</v>
      </c>
    </row>
    <row r="116" spans="2:44" hidden="1" outlineLevel="1" x14ac:dyDescent="0.25">
      <c r="B116" s="575">
        <v>6</v>
      </c>
      <c r="C116" s="575"/>
      <c r="D116" s="981">
        <v>6220003201</v>
      </c>
      <c r="E116" s="638" t="s">
        <v>460</v>
      </c>
      <c r="F116" s="638" t="s">
        <v>570</v>
      </c>
      <c r="G116" s="638" t="s">
        <v>460</v>
      </c>
      <c r="H116" s="981" t="s">
        <v>521</v>
      </c>
      <c r="I116" s="606" t="s">
        <v>612</v>
      </c>
      <c r="J116" s="916"/>
      <c r="K116" s="916"/>
      <c r="L116" s="916"/>
      <c r="M116" s="916"/>
      <c r="N116" s="916"/>
      <c r="O116" s="916"/>
      <c r="P116" s="916"/>
      <c r="Q116" s="916"/>
      <c r="R116" s="916"/>
      <c r="S116" s="916"/>
      <c r="T116" s="916"/>
      <c r="U116" s="916"/>
      <c r="V116" s="916"/>
      <c r="W116" s="982">
        <f t="shared" si="111"/>
        <v>0</v>
      </c>
      <c r="Y116" s="916"/>
      <c r="Z116" s="916"/>
      <c r="AA116" s="916"/>
      <c r="AB116" s="916"/>
      <c r="AC116" s="916"/>
      <c r="AD116" s="916"/>
      <c r="AE116" s="916"/>
      <c r="AF116" s="916"/>
      <c r="AG116" s="916"/>
      <c r="AH116" s="916"/>
      <c r="AI116" s="916"/>
      <c r="AJ116" s="916"/>
      <c r="AK116" s="982">
        <f t="shared" si="112"/>
        <v>0</v>
      </c>
      <c r="AM116" s="982"/>
      <c r="AO116" s="982"/>
      <c r="AQ116" s="916">
        <f t="shared" si="109"/>
        <v>0</v>
      </c>
      <c r="AR116" s="994">
        <f t="shared" si="110"/>
        <v>0</v>
      </c>
    </row>
    <row r="117" spans="2:44" hidden="1" outlineLevel="1" x14ac:dyDescent="0.25">
      <c r="B117" s="575">
        <v>7</v>
      </c>
      <c r="C117" s="575"/>
      <c r="D117" s="981">
        <v>6220002603</v>
      </c>
      <c r="E117" s="638" t="s">
        <v>459</v>
      </c>
      <c r="F117" s="638" t="s">
        <v>569</v>
      </c>
      <c r="G117" s="638" t="s">
        <v>459</v>
      </c>
      <c r="H117" s="981" t="s">
        <v>521</v>
      </c>
      <c r="I117" s="606" t="s">
        <v>612</v>
      </c>
      <c r="J117" s="916"/>
      <c r="K117" s="916"/>
      <c r="L117" s="916"/>
      <c r="M117" s="916"/>
      <c r="N117" s="916"/>
      <c r="O117" s="916"/>
      <c r="P117" s="916"/>
      <c r="Q117" s="916"/>
      <c r="R117" s="916"/>
      <c r="S117" s="916"/>
      <c r="T117" s="916"/>
      <c r="U117" s="916"/>
      <c r="V117" s="916"/>
      <c r="W117" s="982">
        <f t="shared" si="111"/>
        <v>0</v>
      </c>
      <c r="Y117" s="916"/>
      <c r="Z117" s="916"/>
      <c r="AA117" s="916"/>
      <c r="AB117" s="916"/>
      <c r="AC117" s="916"/>
      <c r="AD117" s="916"/>
      <c r="AE117" s="916"/>
      <c r="AF117" s="916"/>
      <c r="AG117" s="916"/>
      <c r="AH117" s="916"/>
      <c r="AI117" s="916"/>
      <c r="AJ117" s="916"/>
      <c r="AK117" s="982">
        <f t="shared" si="112"/>
        <v>0</v>
      </c>
      <c r="AM117" s="982"/>
      <c r="AO117" s="982"/>
      <c r="AQ117" s="916">
        <f t="shared" si="109"/>
        <v>0</v>
      </c>
      <c r="AR117" s="994">
        <f t="shared" si="110"/>
        <v>0</v>
      </c>
    </row>
    <row r="118" spans="2:44" hidden="1" outlineLevel="1" x14ac:dyDescent="0.25">
      <c r="B118" s="575">
        <v>8</v>
      </c>
      <c r="C118" s="575"/>
      <c r="D118" s="981">
        <v>6220003401</v>
      </c>
      <c r="E118" s="638" t="s">
        <v>456</v>
      </c>
      <c r="F118" s="638" t="s">
        <v>570</v>
      </c>
      <c r="G118" s="638" t="s">
        <v>456</v>
      </c>
      <c r="H118" s="981" t="s">
        <v>521</v>
      </c>
      <c r="I118" s="606" t="s">
        <v>612</v>
      </c>
      <c r="J118" s="916"/>
      <c r="K118" s="916"/>
      <c r="L118" s="916"/>
      <c r="M118" s="916"/>
      <c r="N118" s="916"/>
      <c r="O118" s="916"/>
      <c r="P118" s="916"/>
      <c r="Q118" s="916"/>
      <c r="R118" s="916"/>
      <c r="S118" s="916"/>
      <c r="T118" s="916"/>
      <c r="U118" s="916"/>
      <c r="V118" s="916"/>
      <c r="W118" s="982">
        <f t="shared" si="111"/>
        <v>0</v>
      </c>
      <c r="Y118" s="916"/>
      <c r="Z118" s="916"/>
      <c r="AA118" s="916"/>
      <c r="AB118" s="916"/>
      <c r="AC118" s="916"/>
      <c r="AD118" s="916"/>
      <c r="AE118" s="916"/>
      <c r="AF118" s="916"/>
      <c r="AG118" s="916"/>
      <c r="AH118" s="916"/>
      <c r="AI118" s="916"/>
      <c r="AJ118" s="916"/>
      <c r="AK118" s="982">
        <f t="shared" si="112"/>
        <v>0</v>
      </c>
      <c r="AM118" s="982"/>
      <c r="AO118" s="982"/>
      <c r="AQ118" s="916">
        <f t="shared" si="109"/>
        <v>0</v>
      </c>
      <c r="AR118" s="994">
        <f t="shared" si="110"/>
        <v>0</v>
      </c>
    </row>
    <row r="119" spans="2:44" hidden="1" outlineLevel="1" x14ac:dyDescent="0.25">
      <c r="B119" s="575">
        <v>9</v>
      </c>
      <c r="C119" s="575"/>
      <c r="D119" s="981">
        <v>6220002701</v>
      </c>
      <c r="E119" s="638" t="s">
        <v>457</v>
      </c>
      <c r="F119" s="638" t="s">
        <v>569</v>
      </c>
      <c r="G119" s="638" t="s">
        <v>457</v>
      </c>
      <c r="H119" s="981" t="s">
        <v>521</v>
      </c>
      <c r="I119" s="606" t="s">
        <v>612</v>
      </c>
      <c r="J119" s="916"/>
      <c r="K119" s="916"/>
      <c r="L119" s="916"/>
      <c r="M119" s="916"/>
      <c r="N119" s="916"/>
      <c r="O119" s="916"/>
      <c r="P119" s="916"/>
      <c r="Q119" s="916"/>
      <c r="R119" s="916"/>
      <c r="S119" s="916"/>
      <c r="T119" s="916"/>
      <c r="U119" s="916"/>
      <c r="V119" s="916"/>
      <c r="W119" s="982">
        <f t="shared" si="111"/>
        <v>0</v>
      </c>
      <c r="Y119" s="916"/>
      <c r="Z119" s="916"/>
      <c r="AA119" s="916"/>
      <c r="AB119" s="916"/>
      <c r="AC119" s="916"/>
      <c r="AD119" s="916"/>
      <c r="AE119" s="916"/>
      <c r="AF119" s="916"/>
      <c r="AG119" s="916"/>
      <c r="AH119" s="916"/>
      <c r="AI119" s="916"/>
      <c r="AJ119" s="916"/>
      <c r="AK119" s="982">
        <f t="shared" si="112"/>
        <v>0</v>
      </c>
      <c r="AM119" s="982"/>
      <c r="AO119" s="982"/>
      <c r="AQ119" s="916">
        <f t="shared" si="109"/>
        <v>0</v>
      </c>
      <c r="AR119" s="994">
        <f t="shared" si="110"/>
        <v>0</v>
      </c>
    </row>
    <row r="120" spans="2:44" hidden="1" outlineLevel="1" x14ac:dyDescent="0.25">
      <c r="B120" s="575">
        <v>10</v>
      </c>
      <c r="C120" s="575"/>
      <c r="D120" s="981" t="s">
        <v>809</v>
      </c>
      <c r="E120" s="638" t="s">
        <v>810</v>
      </c>
      <c r="F120" s="638" t="s">
        <v>811</v>
      </c>
      <c r="G120" s="638" t="s">
        <v>810</v>
      </c>
      <c r="H120" s="981" t="s">
        <v>521</v>
      </c>
      <c r="I120" s="606" t="s">
        <v>623</v>
      </c>
      <c r="J120" s="916"/>
      <c r="K120" s="916"/>
      <c r="L120" s="916"/>
      <c r="M120" s="916"/>
      <c r="N120" s="916"/>
      <c r="O120" s="916"/>
      <c r="P120" s="916"/>
      <c r="Q120" s="916"/>
      <c r="R120" s="916"/>
      <c r="S120" s="916"/>
      <c r="T120" s="916"/>
      <c r="U120" s="916"/>
      <c r="V120" s="916"/>
      <c r="W120" s="982">
        <f t="shared" ref="W120" si="113">SUM(K120:V120)</f>
        <v>0</v>
      </c>
      <c r="Y120" s="916"/>
      <c r="Z120" s="916"/>
      <c r="AA120" s="916"/>
      <c r="AB120" s="916"/>
      <c r="AC120" s="916"/>
      <c r="AD120" s="916"/>
      <c r="AE120" s="916"/>
      <c r="AF120" s="916"/>
      <c r="AG120" s="916"/>
      <c r="AH120" s="916"/>
      <c r="AI120" s="916"/>
      <c r="AJ120" s="916"/>
      <c r="AK120" s="982"/>
      <c r="AM120" s="982"/>
      <c r="AO120" s="982"/>
      <c r="AQ120" s="916">
        <f t="shared" si="109"/>
        <v>0</v>
      </c>
      <c r="AR120" s="994">
        <f t="shared" si="110"/>
        <v>0</v>
      </c>
    </row>
    <row r="121" spans="2:44" hidden="1" outlineLevel="1" x14ac:dyDescent="0.25">
      <c r="B121" s="575">
        <v>11</v>
      </c>
      <c r="C121" s="575"/>
      <c r="D121" s="981">
        <v>6220003001</v>
      </c>
      <c r="E121" s="638" t="s">
        <v>430</v>
      </c>
      <c r="F121" s="638" t="s">
        <v>570</v>
      </c>
      <c r="G121" s="638" t="s">
        <v>430</v>
      </c>
      <c r="H121" s="981" t="s">
        <v>521</v>
      </c>
      <c r="I121" s="606" t="s">
        <v>622</v>
      </c>
      <c r="J121" s="916"/>
      <c r="K121" s="916"/>
      <c r="L121" s="916"/>
      <c r="M121" s="916"/>
      <c r="N121" s="916"/>
      <c r="O121" s="916"/>
      <c r="P121" s="916"/>
      <c r="Q121" s="916"/>
      <c r="R121" s="916"/>
      <c r="S121" s="916"/>
      <c r="T121" s="916"/>
      <c r="U121" s="916"/>
      <c r="V121" s="916"/>
      <c r="W121" s="982">
        <f t="shared" si="111"/>
        <v>0</v>
      </c>
      <c r="Y121" s="916"/>
      <c r="Z121" s="916"/>
      <c r="AA121" s="916"/>
      <c r="AB121" s="916"/>
      <c r="AC121" s="916"/>
      <c r="AD121" s="916"/>
      <c r="AE121" s="916"/>
      <c r="AF121" s="916"/>
      <c r="AG121" s="916"/>
      <c r="AH121" s="916"/>
      <c r="AI121" s="916"/>
      <c r="AJ121" s="916"/>
      <c r="AK121" s="982">
        <f t="shared" si="112"/>
        <v>0</v>
      </c>
      <c r="AM121" s="982"/>
      <c r="AO121" s="982"/>
      <c r="AQ121" s="916">
        <f t="shared" si="109"/>
        <v>0</v>
      </c>
      <c r="AR121" s="994">
        <f t="shared" si="110"/>
        <v>0</v>
      </c>
    </row>
    <row r="122" spans="2:44" hidden="1" outlineLevel="1" x14ac:dyDescent="0.25">
      <c r="B122" s="575">
        <v>12</v>
      </c>
      <c r="C122" s="575"/>
      <c r="D122" s="981" t="s">
        <v>1004</v>
      </c>
      <c r="E122" s="638" t="s">
        <v>441</v>
      </c>
      <c r="F122" s="638" t="s">
        <v>570</v>
      </c>
      <c r="G122" s="638" t="s">
        <v>1946</v>
      </c>
      <c r="H122" s="981" t="s">
        <v>521</v>
      </c>
      <c r="I122" s="606" t="s">
        <v>622</v>
      </c>
      <c r="J122" s="916"/>
      <c r="K122" s="916"/>
      <c r="L122" s="916"/>
      <c r="M122" s="916"/>
      <c r="N122" s="916"/>
      <c r="O122" s="916"/>
      <c r="P122" s="916"/>
      <c r="Q122" s="916"/>
      <c r="R122" s="916"/>
      <c r="S122" s="916"/>
      <c r="T122" s="916"/>
      <c r="U122" s="916"/>
      <c r="V122" s="916"/>
      <c r="W122" s="982">
        <f t="shared" ref="W122" si="114">SUM(K122:V122)</f>
        <v>0</v>
      </c>
      <c r="Y122" s="916"/>
      <c r="Z122" s="916"/>
      <c r="AA122" s="916"/>
      <c r="AB122" s="916"/>
      <c r="AC122" s="916"/>
      <c r="AD122" s="916"/>
      <c r="AE122" s="916"/>
      <c r="AF122" s="916"/>
      <c r="AG122" s="916"/>
      <c r="AH122" s="916"/>
      <c r="AI122" s="916"/>
      <c r="AJ122" s="916"/>
      <c r="AK122" s="982"/>
      <c r="AM122" s="982"/>
      <c r="AO122" s="982"/>
      <c r="AQ122" s="916">
        <f t="shared" si="109"/>
        <v>0</v>
      </c>
      <c r="AR122" s="994">
        <f t="shared" si="110"/>
        <v>0</v>
      </c>
    </row>
    <row r="123" spans="2:44" hidden="1" outlineLevel="1" x14ac:dyDescent="0.25">
      <c r="B123" s="575">
        <v>13</v>
      </c>
      <c r="C123" s="575"/>
      <c r="D123" s="981">
        <v>6275001801</v>
      </c>
      <c r="E123" s="638" t="s">
        <v>428</v>
      </c>
      <c r="F123" s="638" t="s">
        <v>571</v>
      </c>
      <c r="G123" s="638" t="s">
        <v>428</v>
      </c>
      <c r="H123" s="981" t="s">
        <v>518</v>
      </c>
      <c r="I123" s="606" t="s">
        <v>621</v>
      </c>
      <c r="J123" s="916"/>
      <c r="K123" s="916"/>
      <c r="L123" s="916"/>
      <c r="M123" s="916"/>
      <c r="N123" s="916"/>
      <c r="O123" s="916"/>
      <c r="P123" s="916"/>
      <c r="Q123" s="916"/>
      <c r="R123" s="916"/>
      <c r="S123" s="916"/>
      <c r="T123" s="916"/>
      <c r="U123" s="916"/>
      <c r="V123" s="916"/>
      <c r="W123" s="982">
        <f t="shared" si="111"/>
        <v>0</v>
      </c>
      <c r="Y123" s="916"/>
      <c r="Z123" s="916"/>
      <c r="AA123" s="916"/>
      <c r="AB123" s="916"/>
      <c r="AC123" s="916"/>
      <c r="AD123" s="916"/>
      <c r="AE123" s="916"/>
      <c r="AF123" s="916"/>
      <c r="AG123" s="916"/>
      <c r="AH123" s="916"/>
      <c r="AI123" s="916"/>
      <c r="AJ123" s="916"/>
      <c r="AK123" s="982">
        <f t="shared" si="112"/>
        <v>0</v>
      </c>
      <c r="AM123" s="982"/>
      <c r="AO123" s="982"/>
      <c r="AQ123" s="916">
        <f t="shared" si="109"/>
        <v>0</v>
      </c>
      <c r="AR123" s="994">
        <f t="shared" si="110"/>
        <v>0</v>
      </c>
    </row>
    <row r="124" spans="2:44" hidden="1" outlineLevel="1" x14ac:dyDescent="0.25">
      <c r="B124" s="575">
        <v>14</v>
      </c>
      <c r="C124" s="575"/>
      <c r="D124" s="981">
        <v>6272000100</v>
      </c>
      <c r="E124" s="638" t="s">
        <v>429</v>
      </c>
      <c r="F124" s="638" t="s">
        <v>572</v>
      </c>
      <c r="G124" s="638" t="s">
        <v>697</v>
      </c>
      <c r="H124" s="981" t="s">
        <v>518</v>
      </c>
      <c r="I124" s="606" t="s">
        <v>621</v>
      </c>
      <c r="J124" s="916"/>
      <c r="K124" s="916"/>
      <c r="L124" s="916"/>
      <c r="M124" s="916"/>
      <c r="N124" s="916"/>
      <c r="O124" s="916"/>
      <c r="P124" s="916"/>
      <c r="Q124" s="916"/>
      <c r="R124" s="916"/>
      <c r="S124" s="916"/>
      <c r="T124" s="916"/>
      <c r="U124" s="916"/>
      <c r="V124" s="916"/>
      <c r="W124" s="982"/>
      <c r="Y124" s="916"/>
      <c r="Z124" s="916"/>
      <c r="AA124" s="916"/>
      <c r="AB124" s="916"/>
      <c r="AC124" s="916"/>
      <c r="AD124" s="916"/>
      <c r="AE124" s="916"/>
      <c r="AF124" s="916"/>
      <c r="AG124" s="916"/>
      <c r="AH124" s="916"/>
      <c r="AI124" s="916"/>
      <c r="AJ124" s="916"/>
      <c r="AK124" s="982"/>
      <c r="AM124" s="982"/>
      <c r="AO124" s="982"/>
      <c r="AQ124" s="916">
        <f t="shared" si="109"/>
        <v>0</v>
      </c>
      <c r="AR124" s="994">
        <f t="shared" si="110"/>
        <v>0</v>
      </c>
    </row>
    <row r="125" spans="2:44" hidden="1" outlineLevel="1" x14ac:dyDescent="0.25">
      <c r="B125" s="575">
        <v>15</v>
      </c>
      <c r="C125" s="575"/>
      <c r="D125" s="981">
        <v>6272000100</v>
      </c>
      <c r="E125" s="638" t="s">
        <v>429</v>
      </c>
      <c r="F125" s="638" t="s">
        <v>572</v>
      </c>
      <c r="G125" s="638" t="s">
        <v>14</v>
      </c>
      <c r="H125" s="981" t="s">
        <v>516</v>
      </c>
      <c r="I125" s="606" t="s">
        <v>621</v>
      </c>
      <c r="J125" s="916"/>
      <c r="K125" s="916"/>
      <c r="L125" s="916"/>
      <c r="M125" s="916"/>
      <c r="N125" s="916"/>
      <c r="O125" s="916"/>
      <c r="P125" s="916"/>
      <c r="Q125" s="916"/>
      <c r="R125" s="916"/>
      <c r="S125" s="916"/>
      <c r="T125" s="916"/>
      <c r="U125" s="916"/>
      <c r="V125" s="916"/>
      <c r="W125" s="982">
        <f t="shared" si="111"/>
        <v>0</v>
      </c>
      <c r="Y125" s="916"/>
      <c r="Z125" s="916"/>
      <c r="AA125" s="916"/>
      <c r="AB125" s="916"/>
      <c r="AC125" s="916"/>
      <c r="AD125" s="916"/>
      <c r="AE125" s="916"/>
      <c r="AF125" s="916"/>
      <c r="AG125" s="916"/>
      <c r="AH125" s="916"/>
      <c r="AI125" s="916"/>
      <c r="AJ125" s="916"/>
      <c r="AK125" s="982">
        <f t="shared" ref="AK125:AK130" si="115">SUM(Y125:AJ125)</f>
        <v>0</v>
      </c>
      <c r="AM125" s="982"/>
      <c r="AO125" s="982"/>
      <c r="AQ125" s="916">
        <f t="shared" si="109"/>
        <v>0</v>
      </c>
      <c r="AR125" s="994">
        <f t="shared" si="110"/>
        <v>0</v>
      </c>
    </row>
    <row r="126" spans="2:44" hidden="1" outlineLevel="1" x14ac:dyDescent="0.25">
      <c r="B126" s="575">
        <v>16</v>
      </c>
      <c r="C126" s="575"/>
      <c r="D126" s="981">
        <v>6272000100</v>
      </c>
      <c r="E126" s="638" t="s">
        <v>429</v>
      </c>
      <c r="F126" s="638" t="s">
        <v>572</v>
      </c>
      <c r="G126" s="638" t="s">
        <v>309</v>
      </c>
      <c r="H126" s="981" t="s">
        <v>516</v>
      </c>
      <c r="I126" s="606" t="s">
        <v>621</v>
      </c>
      <c r="J126" s="916"/>
      <c r="K126" s="916"/>
      <c r="L126" s="916"/>
      <c r="M126" s="916"/>
      <c r="N126" s="916"/>
      <c r="O126" s="916"/>
      <c r="P126" s="916"/>
      <c r="Q126" s="916"/>
      <c r="R126" s="916"/>
      <c r="S126" s="916"/>
      <c r="T126" s="916"/>
      <c r="U126" s="916"/>
      <c r="V126" s="916"/>
      <c r="W126" s="982">
        <f t="shared" si="111"/>
        <v>0</v>
      </c>
      <c r="Y126" s="916"/>
      <c r="Z126" s="916"/>
      <c r="AA126" s="916"/>
      <c r="AB126" s="916"/>
      <c r="AC126" s="916"/>
      <c r="AD126" s="916"/>
      <c r="AE126" s="916"/>
      <c r="AF126" s="916"/>
      <c r="AG126" s="916"/>
      <c r="AH126" s="916"/>
      <c r="AI126" s="916"/>
      <c r="AJ126" s="916"/>
      <c r="AK126" s="982">
        <f t="shared" si="115"/>
        <v>0</v>
      </c>
      <c r="AM126" s="982"/>
      <c r="AO126" s="982"/>
      <c r="AQ126" s="916">
        <f t="shared" si="109"/>
        <v>0</v>
      </c>
      <c r="AR126" s="994">
        <f t="shared" si="110"/>
        <v>0</v>
      </c>
    </row>
    <row r="127" spans="2:44" hidden="1" outlineLevel="1" x14ac:dyDescent="0.25">
      <c r="B127" s="575">
        <v>17</v>
      </c>
      <c r="C127" s="575"/>
      <c r="D127" s="981">
        <v>6272000100</v>
      </c>
      <c r="E127" s="638" t="s">
        <v>429</v>
      </c>
      <c r="F127" s="638" t="s">
        <v>572</v>
      </c>
      <c r="G127" s="638" t="s">
        <v>254</v>
      </c>
      <c r="H127" s="981" t="s">
        <v>516</v>
      </c>
      <c r="I127" s="606" t="s">
        <v>621</v>
      </c>
      <c r="J127" s="916"/>
      <c r="K127" s="916"/>
      <c r="L127" s="916"/>
      <c r="M127" s="916"/>
      <c r="N127" s="916"/>
      <c r="O127" s="916"/>
      <c r="P127" s="916"/>
      <c r="Q127" s="916"/>
      <c r="R127" s="916"/>
      <c r="S127" s="916"/>
      <c r="T127" s="916"/>
      <c r="U127" s="916"/>
      <c r="V127" s="916"/>
      <c r="W127" s="982">
        <f t="shared" si="111"/>
        <v>0</v>
      </c>
      <c r="Y127" s="916"/>
      <c r="Z127" s="916"/>
      <c r="AA127" s="916"/>
      <c r="AB127" s="916"/>
      <c r="AC127" s="916"/>
      <c r="AD127" s="916"/>
      <c r="AE127" s="916"/>
      <c r="AF127" s="916"/>
      <c r="AG127" s="916"/>
      <c r="AH127" s="916"/>
      <c r="AI127" s="916"/>
      <c r="AJ127" s="916"/>
      <c r="AK127" s="982">
        <f t="shared" si="115"/>
        <v>0</v>
      </c>
      <c r="AM127" s="982"/>
      <c r="AO127" s="982"/>
      <c r="AQ127" s="916">
        <f t="shared" si="109"/>
        <v>0</v>
      </c>
      <c r="AR127" s="994">
        <f t="shared" si="110"/>
        <v>0</v>
      </c>
    </row>
    <row r="128" spans="2:44" hidden="1" outlineLevel="1" x14ac:dyDescent="0.25">
      <c r="B128" s="575">
        <v>18</v>
      </c>
      <c r="C128" s="575"/>
      <c r="D128" s="981">
        <v>6272000100</v>
      </c>
      <c r="E128" s="638" t="s">
        <v>429</v>
      </c>
      <c r="F128" s="638" t="s">
        <v>572</v>
      </c>
      <c r="G128" s="638" t="s">
        <v>389</v>
      </c>
      <c r="H128" s="981" t="s">
        <v>516</v>
      </c>
      <c r="I128" s="606" t="s">
        <v>621</v>
      </c>
      <c r="J128" s="916"/>
      <c r="K128" s="916"/>
      <c r="L128" s="916"/>
      <c r="M128" s="916"/>
      <c r="N128" s="916"/>
      <c r="O128" s="916"/>
      <c r="P128" s="916"/>
      <c r="Q128" s="916"/>
      <c r="R128" s="916"/>
      <c r="S128" s="916"/>
      <c r="T128" s="916"/>
      <c r="U128" s="916"/>
      <c r="V128" s="916"/>
      <c r="W128" s="982">
        <f t="shared" si="111"/>
        <v>0</v>
      </c>
      <c r="Y128" s="916"/>
      <c r="Z128" s="916"/>
      <c r="AA128" s="916"/>
      <c r="AB128" s="916"/>
      <c r="AC128" s="916"/>
      <c r="AD128" s="916"/>
      <c r="AE128" s="916"/>
      <c r="AF128" s="916"/>
      <c r="AG128" s="916"/>
      <c r="AH128" s="916"/>
      <c r="AI128" s="916"/>
      <c r="AJ128" s="916"/>
      <c r="AK128" s="982">
        <f t="shared" si="115"/>
        <v>0</v>
      </c>
      <c r="AM128" s="982"/>
      <c r="AO128" s="982"/>
      <c r="AQ128" s="916">
        <f t="shared" si="109"/>
        <v>0</v>
      </c>
      <c r="AR128" s="994">
        <f t="shared" si="110"/>
        <v>0</v>
      </c>
    </row>
    <row r="129" spans="2:44" hidden="1" outlineLevel="1" x14ac:dyDescent="0.25">
      <c r="B129" s="575">
        <v>19</v>
      </c>
      <c r="C129" s="575"/>
      <c r="D129" s="981" t="s">
        <v>901</v>
      </c>
      <c r="E129" s="638" t="s">
        <v>902</v>
      </c>
      <c r="F129" s="638" t="s">
        <v>572</v>
      </c>
      <c r="G129" s="638" t="s">
        <v>1948</v>
      </c>
      <c r="H129" s="981" t="s">
        <v>516</v>
      </c>
      <c r="I129" s="606" t="s">
        <v>623</v>
      </c>
      <c r="J129" s="916"/>
      <c r="K129" s="916"/>
      <c r="L129" s="916"/>
      <c r="M129" s="916"/>
      <c r="N129" s="916"/>
      <c r="O129" s="916"/>
      <c r="P129" s="916"/>
      <c r="Q129" s="916"/>
      <c r="R129" s="916"/>
      <c r="S129" s="916"/>
      <c r="T129" s="916"/>
      <c r="U129" s="916"/>
      <c r="V129" s="916"/>
      <c r="W129" s="982">
        <f t="shared" ref="W129" si="116">SUM(K129:V129)</f>
        <v>0</v>
      </c>
      <c r="Y129" s="916"/>
      <c r="Z129" s="916"/>
      <c r="AA129" s="916"/>
      <c r="AB129" s="916"/>
      <c r="AC129" s="916"/>
      <c r="AD129" s="916"/>
      <c r="AE129" s="916"/>
      <c r="AF129" s="916"/>
      <c r="AG129" s="916"/>
      <c r="AH129" s="916"/>
      <c r="AI129" s="916"/>
      <c r="AJ129" s="916"/>
      <c r="AK129" s="982"/>
      <c r="AM129" s="982"/>
      <c r="AO129" s="982"/>
      <c r="AQ129" s="916">
        <f t="shared" si="109"/>
        <v>0</v>
      </c>
      <c r="AR129" s="994">
        <f t="shared" si="110"/>
        <v>0</v>
      </c>
    </row>
    <row r="130" spans="2:44" hidden="1" outlineLevel="1" x14ac:dyDescent="0.25">
      <c r="B130" s="575">
        <v>20</v>
      </c>
      <c r="C130" s="575"/>
      <c r="D130" s="981">
        <v>6272003502</v>
      </c>
      <c r="E130" s="638" t="s">
        <v>450</v>
      </c>
      <c r="F130" s="638" t="s">
        <v>573</v>
      </c>
      <c r="G130" s="638" t="s">
        <v>87</v>
      </c>
      <c r="H130" s="981" t="s">
        <v>517</v>
      </c>
      <c r="I130" s="606" t="s">
        <v>621</v>
      </c>
      <c r="J130" s="916"/>
      <c r="K130" s="916"/>
      <c r="L130" s="916"/>
      <c r="M130" s="916"/>
      <c r="N130" s="916"/>
      <c r="O130" s="916"/>
      <c r="P130" s="916"/>
      <c r="Q130" s="916"/>
      <c r="R130" s="916"/>
      <c r="S130" s="916"/>
      <c r="T130" s="916"/>
      <c r="U130" s="916"/>
      <c r="V130" s="916"/>
      <c r="W130" s="982">
        <f t="shared" si="111"/>
        <v>0</v>
      </c>
      <c r="Y130" s="916"/>
      <c r="Z130" s="916"/>
      <c r="AA130" s="916"/>
      <c r="AB130" s="916"/>
      <c r="AC130" s="916"/>
      <c r="AD130" s="916"/>
      <c r="AE130" s="916"/>
      <c r="AF130" s="916"/>
      <c r="AG130" s="916"/>
      <c r="AH130" s="916"/>
      <c r="AI130" s="916"/>
      <c r="AJ130" s="916"/>
      <c r="AK130" s="982">
        <f t="shared" si="115"/>
        <v>0</v>
      </c>
      <c r="AM130" s="982"/>
      <c r="AO130" s="982"/>
      <c r="AQ130" s="916">
        <f t="shared" si="109"/>
        <v>0</v>
      </c>
      <c r="AR130" s="994">
        <f t="shared" si="110"/>
        <v>0</v>
      </c>
    </row>
    <row r="131" spans="2:44" hidden="1" outlineLevel="1" x14ac:dyDescent="0.25">
      <c r="B131" s="580"/>
      <c r="C131" s="580"/>
      <c r="D131" s="1000"/>
      <c r="E131" s="586"/>
      <c r="F131" s="586"/>
      <c r="G131" s="586"/>
      <c r="H131" s="1000"/>
      <c r="I131" s="607"/>
      <c r="J131" s="1001"/>
      <c r="K131" s="1001"/>
      <c r="L131" s="1001"/>
      <c r="M131" s="1001"/>
      <c r="N131" s="1001"/>
      <c r="O131" s="1001"/>
      <c r="P131" s="1001"/>
      <c r="Q131" s="1001"/>
      <c r="R131" s="1001"/>
      <c r="S131" s="1001"/>
      <c r="T131" s="1001"/>
      <c r="U131" s="1001"/>
      <c r="V131" s="1001"/>
      <c r="W131" s="1002"/>
      <c r="Y131" s="1001"/>
      <c r="Z131" s="1001"/>
      <c r="AA131" s="1001"/>
      <c r="AB131" s="1001"/>
      <c r="AC131" s="1001"/>
      <c r="AD131" s="1001"/>
      <c r="AE131" s="1001"/>
      <c r="AF131" s="1001"/>
      <c r="AG131" s="1001"/>
      <c r="AH131" s="1001"/>
      <c r="AI131" s="1001"/>
      <c r="AJ131" s="1001"/>
      <c r="AK131" s="1002"/>
      <c r="AM131" s="1002"/>
      <c r="AO131" s="1002"/>
      <c r="AQ131" s="916">
        <f t="shared" si="109"/>
        <v>0</v>
      </c>
      <c r="AR131" s="994">
        <f t="shared" si="110"/>
        <v>0</v>
      </c>
    </row>
    <row r="132" spans="2:44" s="37" customFormat="1" ht="18" hidden="1" customHeight="1" outlineLevel="1" x14ac:dyDescent="0.35">
      <c r="B132" s="1003" t="s">
        <v>4</v>
      </c>
      <c r="C132" s="1004"/>
      <c r="D132" s="372"/>
      <c r="E132" s="1005" t="s">
        <v>86</v>
      </c>
      <c r="F132" s="36"/>
      <c r="G132" s="1005"/>
      <c r="H132" s="1005"/>
      <c r="J132" s="1006">
        <f t="shared" ref="J132:W132" si="117">SUM(J133:J161)</f>
        <v>0</v>
      </c>
      <c r="K132" s="1006">
        <f t="shared" si="117"/>
        <v>0</v>
      </c>
      <c r="L132" s="1007">
        <f t="shared" si="117"/>
        <v>0</v>
      </c>
      <c r="M132" s="1007">
        <f t="shared" si="117"/>
        <v>0</v>
      </c>
      <c r="N132" s="1007">
        <f t="shared" si="117"/>
        <v>0</v>
      </c>
      <c r="O132" s="1007">
        <f t="shared" si="117"/>
        <v>0</v>
      </c>
      <c r="P132" s="1007">
        <f t="shared" si="117"/>
        <v>0</v>
      </c>
      <c r="Q132" s="1007">
        <f t="shared" si="117"/>
        <v>0</v>
      </c>
      <c r="R132" s="1007">
        <f t="shared" si="117"/>
        <v>0</v>
      </c>
      <c r="S132" s="1007">
        <f t="shared" si="117"/>
        <v>0</v>
      </c>
      <c r="T132" s="1007">
        <f t="shared" si="117"/>
        <v>0</v>
      </c>
      <c r="U132" s="1007">
        <f t="shared" si="117"/>
        <v>0</v>
      </c>
      <c r="V132" s="1007">
        <f t="shared" si="117"/>
        <v>0</v>
      </c>
      <c r="W132" s="1007">
        <f t="shared" si="117"/>
        <v>0</v>
      </c>
      <c r="Y132" s="1006">
        <f t="shared" ref="Y132:AK132" si="118">SUM(Y133:Y161)</f>
        <v>0</v>
      </c>
      <c r="Z132" s="1007">
        <f t="shared" si="118"/>
        <v>0</v>
      </c>
      <c r="AA132" s="1007">
        <f t="shared" si="118"/>
        <v>0</v>
      </c>
      <c r="AB132" s="1007">
        <f t="shared" si="118"/>
        <v>0</v>
      </c>
      <c r="AC132" s="1007">
        <f t="shared" si="118"/>
        <v>0</v>
      </c>
      <c r="AD132" s="1007">
        <f t="shared" si="118"/>
        <v>0</v>
      </c>
      <c r="AE132" s="1007">
        <f t="shared" si="118"/>
        <v>0</v>
      </c>
      <c r="AF132" s="1007">
        <f t="shared" si="118"/>
        <v>0</v>
      </c>
      <c r="AG132" s="1007">
        <f t="shared" si="118"/>
        <v>0</v>
      </c>
      <c r="AH132" s="1007">
        <f t="shared" si="118"/>
        <v>0</v>
      </c>
      <c r="AI132" s="1007">
        <f t="shared" si="118"/>
        <v>0</v>
      </c>
      <c r="AJ132" s="1007">
        <f t="shared" si="118"/>
        <v>0</v>
      </c>
      <c r="AK132" s="1007">
        <f t="shared" si="118"/>
        <v>0</v>
      </c>
      <c r="AM132" s="1006">
        <f>SUM(AM133:AM161)</f>
        <v>0</v>
      </c>
      <c r="AO132" s="1006">
        <f>SUM(AO133:AO161)</f>
        <v>0</v>
      </c>
      <c r="AQ132" s="1006">
        <f t="shared" si="109"/>
        <v>0</v>
      </c>
      <c r="AR132" s="1008">
        <f t="shared" si="110"/>
        <v>0</v>
      </c>
    </row>
    <row r="133" spans="2:44" hidden="1" outlineLevel="1" x14ac:dyDescent="0.25">
      <c r="B133" s="570">
        <v>1</v>
      </c>
      <c r="C133" s="570"/>
      <c r="D133" s="997">
        <v>6271002604</v>
      </c>
      <c r="E133" s="584" t="s">
        <v>461</v>
      </c>
      <c r="F133" s="584" t="s">
        <v>574</v>
      </c>
      <c r="G133" s="584" t="s">
        <v>461</v>
      </c>
      <c r="H133" s="997" t="s">
        <v>521</v>
      </c>
      <c r="I133" s="605" t="s">
        <v>612</v>
      </c>
      <c r="J133" s="915"/>
      <c r="K133" s="915"/>
      <c r="L133" s="915"/>
      <c r="M133" s="915"/>
      <c r="N133" s="915"/>
      <c r="O133" s="915"/>
      <c r="P133" s="915"/>
      <c r="Q133" s="915"/>
      <c r="R133" s="915"/>
      <c r="S133" s="915"/>
      <c r="T133" s="915"/>
      <c r="U133" s="915"/>
      <c r="V133" s="915"/>
      <c r="W133" s="998">
        <f t="shared" ref="W133:W160" si="119">SUM(K133:V133)</f>
        <v>0</v>
      </c>
      <c r="Y133" s="915"/>
      <c r="Z133" s="915"/>
      <c r="AA133" s="915"/>
      <c r="AB133" s="915"/>
      <c r="AC133" s="915"/>
      <c r="AD133" s="915"/>
      <c r="AE133" s="915"/>
      <c r="AF133" s="915"/>
      <c r="AG133" s="915"/>
      <c r="AH133" s="915"/>
      <c r="AI133" s="915"/>
      <c r="AJ133" s="915"/>
      <c r="AK133" s="998">
        <f t="shared" ref="AK133:AK160" si="120">SUM(Y133:AJ133)</f>
        <v>0</v>
      </c>
      <c r="AM133" s="998"/>
      <c r="AO133" s="998"/>
      <c r="AQ133" s="916">
        <f t="shared" si="109"/>
        <v>0</v>
      </c>
      <c r="AR133" s="994">
        <f t="shared" si="110"/>
        <v>0</v>
      </c>
    </row>
    <row r="134" spans="2:44" hidden="1" outlineLevel="1" x14ac:dyDescent="0.25">
      <c r="B134" s="575">
        <v>2</v>
      </c>
      <c r="C134" s="575"/>
      <c r="D134" s="981">
        <v>6271002605</v>
      </c>
      <c r="E134" s="638" t="s">
        <v>462</v>
      </c>
      <c r="F134" s="638" t="s">
        <v>574</v>
      </c>
      <c r="G134" s="638" t="s">
        <v>462</v>
      </c>
      <c r="H134" s="981" t="s">
        <v>521</v>
      </c>
      <c r="I134" s="606" t="s">
        <v>612</v>
      </c>
      <c r="J134" s="916"/>
      <c r="K134" s="916"/>
      <c r="L134" s="916"/>
      <c r="M134" s="916"/>
      <c r="N134" s="916"/>
      <c r="O134" s="916"/>
      <c r="P134" s="916"/>
      <c r="Q134" s="916"/>
      <c r="R134" s="916"/>
      <c r="S134" s="916"/>
      <c r="T134" s="916"/>
      <c r="U134" s="916"/>
      <c r="V134" s="916"/>
      <c r="W134" s="982">
        <f t="shared" si="119"/>
        <v>0</v>
      </c>
      <c r="Y134" s="916"/>
      <c r="Z134" s="916"/>
      <c r="AA134" s="916"/>
      <c r="AB134" s="916"/>
      <c r="AC134" s="916"/>
      <c r="AD134" s="916"/>
      <c r="AE134" s="916"/>
      <c r="AF134" s="916"/>
      <c r="AG134" s="916"/>
      <c r="AH134" s="916"/>
      <c r="AI134" s="916"/>
      <c r="AJ134" s="916"/>
      <c r="AK134" s="982">
        <f t="shared" si="120"/>
        <v>0</v>
      </c>
      <c r="AM134" s="982"/>
      <c r="AO134" s="982"/>
      <c r="AQ134" s="916">
        <f t="shared" si="109"/>
        <v>0</v>
      </c>
      <c r="AR134" s="994">
        <f t="shared" si="110"/>
        <v>0</v>
      </c>
    </row>
    <row r="135" spans="2:44" hidden="1" outlineLevel="1" x14ac:dyDescent="0.25">
      <c r="B135" s="575">
        <v>3</v>
      </c>
      <c r="C135" s="575"/>
      <c r="D135" s="981">
        <v>6271002802</v>
      </c>
      <c r="E135" s="638" t="s">
        <v>465</v>
      </c>
      <c r="F135" s="638" t="s">
        <v>570</v>
      </c>
      <c r="G135" s="638" t="s">
        <v>465</v>
      </c>
      <c r="H135" s="981" t="s">
        <v>521</v>
      </c>
      <c r="I135" s="606" t="s">
        <v>612</v>
      </c>
      <c r="J135" s="916"/>
      <c r="K135" s="916"/>
      <c r="L135" s="916"/>
      <c r="M135" s="916"/>
      <c r="N135" s="916"/>
      <c r="O135" s="916"/>
      <c r="P135" s="916"/>
      <c r="Q135" s="916"/>
      <c r="R135" s="916"/>
      <c r="S135" s="916"/>
      <c r="T135" s="916"/>
      <c r="U135" s="916"/>
      <c r="V135" s="916"/>
      <c r="W135" s="982">
        <f t="shared" si="119"/>
        <v>0</v>
      </c>
      <c r="Y135" s="916"/>
      <c r="Z135" s="916"/>
      <c r="AA135" s="916"/>
      <c r="AB135" s="916"/>
      <c r="AC135" s="916"/>
      <c r="AD135" s="916"/>
      <c r="AE135" s="916"/>
      <c r="AF135" s="916"/>
      <c r="AG135" s="916"/>
      <c r="AH135" s="916"/>
      <c r="AI135" s="916"/>
      <c r="AJ135" s="916"/>
      <c r="AK135" s="982">
        <f t="shared" si="120"/>
        <v>0</v>
      </c>
      <c r="AM135" s="982"/>
      <c r="AO135" s="982"/>
      <c r="AQ135" s="916">
        <f t="shared" si="109"/>
        <v>0</v>
      </c>
      <c r="AR135" s="994">
        <f t="shared" si="110"/>
        <v>0</v>
      </c>
    </row>
    <row r="136" spans="2:44" hidden="1" outlineLevel="1" x14ac:dyDescent="0.25">
      <c r="B136" s="575">
        <v>4</v>
      </c>
      <c r="C136" s="575"/>
      <c r="D136" s="981">
        <v>6271002806</v>
      </c>
      <c r="E136" s="638" t="s">
        <v>472</v>
      </c>
      <c r="F136" s="638" t="s">
        <v>574</v>
      </c>
      <c r="G136" s="638" t="s">
        <v>472</v>
      </c>
      <c r="H136" s="981" t="s">
        <v>521</v>
      </c>
      <c r="I136" s="606" t="s">
        <v>612</v>
      </c>
      <c r="J136" s="916"/>
      <c r="K136" s="916"/>
      <c r="L136" s="916"/>
      <c r="M136" s="916"/>
      <c r="N136" s="916"/>
      <c r="O136" s="916"/>
      <c r="P136" s="916"/>
      <c r="Q136" s="916"/>
      <c r="R136" s="916"/>
      <c r="S136" s="916"/>
      <c r="T136" s="916"/>
      <c r="U136" s="916"/>
      <c r="V136" s="916"/>
      <c r="W136" s="982">
        <f t="shared" si="119"/>
        <v>0</v>
      </c>
      <c r="Y136" s="916"/>
      <c r="Z136" s="916"/>
      <c r="AA136" s="916"/>
      <c r="AB136" s="916"/>
      <c r="AC136" s="916"/>
      <c r="AD136" s="916"/>
      <c r="AE136" s="916"/>
      <c r="AF136" s="916"/>
      <c r="AG136" s="916"/>
      <c r="AH136" s="916"/>
      <c r="AI136" s="916"/>
      <c r="AJ136" s="916"/>
      <c r="AK136" s="982">
        <f t="shared" si="120"/>
        <v>0</v>
      </c>
      <c r="AM136" s="982"/>
      <c r="AO136" s="982"/>
      <c r="AQ136" s="916">
        <f t="shared" si="109"/>
        <v>0</v>
      </c>
      <c r="AR136" s="994">
        <f t="shared" si="110"/>
        <v>0</v>
      </c>
    </row>
    <row r="137" spans="2:44" hidden="1" outlineLevel="1" x14ac:dyDescent="0.25">
      <c r="B137" s="575">
        <v>5</v>
      </c>
      <c r="C137" s="575"/>
      <c r="D137" s="981">
        <v>6271007202</v>
      </c>
      <c r="E137" s="638" t="s">
        <v>431</v>
      </c>
      <c r="F137" s="638" t="s">
        <v>570</v>
      </c>
      <c r="G137" s="638" t="s">
        <v>431</v>
      </c>
      <c r="H137" s="981" t="s">
        <v>521</v>
      </c>
      <c r="I137" s="606" t="s">
        <v>612</v>
      </c>
      <c r="J137" s="916"/>
      <c r="K137" s="916"/>
      <c r="L137" s="916"/>
      <c r="M137" s="916"/>
      <c r="N137" s="916"/>
      <c r="O137" s="916"/>
      <c r="P137" s="916"/>
      <c r="Q137" s="916"/>
      <c r="R137" s="916"/>
      <c r="S137" s="916"/>
      <c r="T137" s="916"/>
      <c r="U137" s="916"/>
      <c r="V137" s="916"/>
      <c r="W137" s="982">
        <f t="shared" si="119"/>
        <v>0</v>
      </c>
      <c r="Y137" s="916"/>
      <c r="Z137" s="916"/>
      <c r="AA137" s="916"/>
      <c r="AB137" s="916"/>
      <c r="AC137" s="916"/>
      <c r="AD137" s="916"/>
      <c r="AE137" s="916"/>
      <c r="AF137" s="916"/>
      <c r="AG137" s="916"/>
      <c r="AH137" s="916"/>
      <c r="AI137" s="916"/>
      <c r="AJ137" s="916"/>
      <c r="AK137" s="982">
        <f t="shared" si="120"/>
        <v>0</v>
      </c>
      <c r="AM137" s="982"/>
      <c r="AO137" s="982"/>
      <c r="AQ137" s="916">
        <f t="shared" si="109"/>
        <v>0</v>
      </c>
      <c r="AR137" s="994">
        <f t="shared" si="110"/>
        <v>0</v>
      </c>
    </row>
    <row r="138" spans="2:44" hidden="1" outlineLevel="1" x14ac:dyDescent="0.25">
      <c r="B138" s="575">
        <v>6</v>
      </c>
      <c r="C138" s="575"/>
      <c r="D138" s="981">
        <v>6271003202</v>
      </c>
      <c r="E138" s="638" t="s">
        <v>467</v>
      </c>
      <c r="F138" s="638" t="s">
        <v>570</v>
      </c>
      <c r="G138" s="638" t="s">
        <v>467</v>
      </c>
      <c r="H138" s="981" t="s">
        <v>521</v>
      </c>
      <c r="I138" s="606" t="s">
        <v>612</v>
      </c>
      <c r="J138" s="916"/>
      <c r="K138" s="916"/>
      <c r="L138" s="916"/>
      <c r="M138" s="916"/>
      <c r="N138" s="916"/>
      <c r="O138" s="916"/>
      <c r="P138" s="916"/>
      <c r="Q138" s="916"/>
      <c r="R138" s="916"/>
      <c r="S138" s="916"/>
      <c r="T138" s="916"/>
      <c r="U138" s="916"/>
      <c r="V138" s="916"/>
      <c r="W138" s="982">
        <f t="shared" si="119"/>
        <v>0</v>
      </c>
      <c r="Y138" s="916"/>
      <c r="Z138" s="916"/>
      <c r="AA138" s="916"/>
      <c r="AB138" s="916"/>
      <c r="AC138" s="916"/>
      <c r="AD138" s="916"/>
      <c r="AE138" s="916"/>
      <c r="AF138" s="916"/>
      <c r="AG138" s="916"/>
      <c r="AH138" s="916"/>
      <c r="AI138" s="916"/>
      <c r="AJ138" s="916"/>
      <c r="AK138" s="982">
        <f t="shared" si="120"/>
        <v>0</v>
      </c>
      <c r="AM138" s="982"/>
      <c r="AO138" s="982"/>
      <c r="AQ138" s="916">
        <f t="shared" si="109"/>
        <v>0</v>
      </c>
      <c r="AR138" s="994">
        <f t="shared" si="110"/>
        <v>0</v>
      </c>
    </row>
    <row r="139" spans="2:44" hidden="1" outlineLevel="1" x14ac:dyDescent="0.25">
      <c r="B139" s="575">
        <v>7</v>
      </c>
      <c r="C139" s="575"/>
      <c r="D139" s="981">
        <v>6271002603</v>
      </c>
      <c r="E139" s="638" t="s">
        <v>466</v>
      </c>
      <c r="F139" s="638" t="s">
        <v>574</v>
      </c>
      <c r="G139" s="638" t="s">
        <v>466</v>
      </c>
      <c r="H139" s="981" t="s">
        <v>521</v>
      </c>
      <c r="I139" s="606" t="s">
        <v>612</v>
      </c>
      <c r="J139" s="916"/>
      <c r="K139" s="916"/>
      <c r="L139" s="916"/>
      <c r="M139" s="916"/>
      <c r="N139" s="916"/>
      <c r="O139" s="916"/>
      <c r="P139" s="916"/>
      <c r="Q139" s="916"/>
      <c r="R139" s="916"/>
      <c r="S139" s="916"/>
      <c r="T139" s="916"/>
      <c r="U139" s="916"/>
      <c r="V139" s="916"/>
      <c r="W139" s="982">
        <f t="shared" si="119"/>
        <v>0</v>
      </c>
      <c r="Y139" s="916"/>
      <c r="Z139" s="916"/>
      <c r="AA139" s="916"/>
      <c r="AB139" s="916"/>
      <c r="AC139" s="916"/>
      <c r="AD139" s="916"/>
      <c r="AE139" s="916"/>
      <c r="AF139" s="916"/>
      <c r="AG139" s="916"/>
      <c r="AH139" s="916"/>
      <c r="AI139" s="916"/>
      <c r="AJ139" s="916"/>
      <c r="AK139" s="982">
        <f t="shared" si="120"/>
        <v>0</v>
      </c>
      <c r="AM139" s="982"/>
      <c r="AO139" s="982"/>
      <c r="AQ139" s="916">
        <f t="shared" si="109"/>
        <v>0</v>
      </c>
      <c r="AR139" s="994">
        <f t="shared" si="110"/>
        <v>0</v>
      </c>
    </row>
    <row r="140" spans="2:44" hidden="1" outlineLevel="1" x14ac:dyDescent="0.25">
      <c r="B140" s="575">
        <v>8</v>
      </c>
      <c r="C140" s="575"/>
      <c r="D140" s="981">
        <v>6271003401</v>
      </c>
      <c r="E140" s="638" t="s">
        <v>463</v>
      </c>
      <c r="F140" s="638" t="s">
        <v>570</v>
      </c>
      <c r="G140" s="638" t="s">
        <v>463</v>
      </c>
      <c r="H140" s="981" t="s">
        <v>521</v>
      </c>
      <c r="I140" s="606" t="s">
        <v>612</v>
      </c>
      <c r="J140" s="916"/>
      <c r="K140" s="916"/>
      <c r="L140" s="916"/>
      <c r="M140" s="916"/>
      <c r="N140" s="916"/>
      <c r="O140" s="916"/>
      <c r="P140" s="916"/>
      <c r="Q140" s="916"/>
      <c r="R140" s="916"/>
      <c r="S140" s="916"/>
      <c r="T140" s="916"/>
      <c r="U140" s="916"/>
      <c r="V140" s="916"/>
      <c r="W140" s="982">
        <f t="shared" si="119"/>
        <v>0</v>
      </c>
      <c r="Y140" s="916"/>
      <c r="Z140" s="916"/>
      <c r="AA140" s="916"/>
      <c r="AB140" s="916"/>
      <c r="AC140" s="916"/>
      <c r="AD140" s="916"/>
      <c r="AE140" s="916"/>
      <c r="AF140" s="916"/>
      <c r="AG140" s="916"/>
      <c r="AH140" s="916"/>
      <c r="AI140" s="916"/>
      <c r="AJ140" s="916"/>
      <c r="AK140" s="982">
        <f t="shared" si="120"/>
        <v>0</v>
      </c>
      <c r="AM140" s="982"/>
      <c r="AO140" s="982"/>
      <c r="AQ140" s="916">
        <f t="shared" si="109"/>
        <v>0</v>
      </c>
      <c r="AR140" s="994">
        <f t="shared" si="110"/>
        <v>0</v>
      </c>
    </row>
    <row r="141" spans="2:44" hidden="1" outlineLevel="1" x14ac:dyDescent="0.25">
      <c r="B141" s="575">
        <v>9</v>
      </c>
      <c r="C141" s="575"/>
      <c r="D141" s="981">
        <v>6271002703</v>
      </c>
      <c r="E141" s="638" t="s">
        <v>464</v>
      </c>
      <c r="F141" s="638" t="s">
        <v>574</v>
      </c>
      <c r="G141" s="638" t="s">
        <v>464</v>
      </c>
      <c r="H141" s="981" t="s">
        <v>521</v>
      </c>
      <c r="I141" s="606" t="s">
        <v>612</v>
      </c>
      <c r="J141" s="916"/>
      <c r="K141" s="916"/>
      <c r="L141" s="916"/>
      <c r="M141" s="916"/>
      <c r="N141" s="916"/>
      <c r="O141" s="916"/>
      <c r="P141" s="916"/>
      <c r="Q141" s="916"/>
      <c r="R141" s="916"/>
      <c r="S141" s="916"/>
      <c r="T141" s="916"/>
      <c r="U141" s="916"/>
      <c r="V141" s="916"/>
      <c r="W141" s="982">
        <f t="shared" si="119"/>
        <v>0</v>
      </c>
      <c r="Y141" s="916"/>
      <c r="Z141" s="916"/>
      <c r="AA141" s="916"/>
      <c r="AB141" s="916"/>
      <c r="AC141" s="916"/>
      <c r="AD141" s="916"/>
      <c r="AE141" s="916"/>
      <c r="AF141" s="916"/>
      <c r="AG141" s="916"/>
      <c r="AH141" s="916"/>
      <c r="AI141" s="916"/>
      <c r="AJ141" s="916"/>
      <c r="AK141" s="982">
        <f t="shared" si="120"/>
        <v>0</v>
      </c>
      <c r="AM141" s="982"/>
      <c r="AO141" s="982"/>
      <c r="AQ141" s="916">
        <f t="shared" si="109"/>
        <v>0</v>
      </c>
      <c r="AR141" s="994">
        <f t="shared" si="110"/>
        <v>0</v>
      </c>
    </row>
    <row r="142" spans="2:44" hidden="1" outlineLevel="1" x14ac:dyDescent="0.25">
      <c r="B142" s="575">
        <v>10</v>
      </c>
      <c r="C142" s="575"/>
      <c r="D142" s="981" t="s">
        <v>854</v>
      </c>
      <c r="E142" s="638" t="s">
        <v>855</v>
      </c>
      <c r="F142" s="638" t="s">
        <v>811</v>
      </c>
      <c r="G142" s="638" t="s">
        <v>855</v>
      </c>
      <c r="H142" s="981" t="s">
        <v>521</v>
      </c>
      <c r="I142" s="606" t="s">
        <v>623</v>
      </c>
      <c r="J142" s="916"/>
      <c r="K142" s="916"/>
      <c r="L142" s="916"/>
      <c r="M142" s="916"/>
      <c r="N142" s="916"/>
      <c r="O142" s="916"/>
      <c r="P142" s="916"/>
      <c r="Q142" s="916"/>
      <c r="R142" s="916"/>
      <c r="S142" s="916"/>
      <c r="T142" s="916"/>
      <c r="U142" s="916"/>
      <c r="V142" s="916"/>
      <c r="W142" s="982">
        <f t="shared" si="119"/>
        <v>0</v>
      </c>
      <c r="Y142" s="916"/>
      <c r="Z142" s="916"/>
      <c r="AA142" s="916"/>
      <c r="AB142" s="916"/>
      <c r="AC142" s="916"/>
      <c r="AD142" s="916"/>
      <c r="AE142" s="916"/>
      <c r="AF142" s="916"/>
      <c r="AG142" s="916"/>
      <c r="AH142" s="916"/>
      <c r="AI142" s="916"/>
      <c r="AJ142" s="916"/>
      <c r="AK142" s="982"/>
      <c r="AM142" s="982"/>
      <c r="AO142" s="982"/>
      <c r="AQ142" s="916">
        <f t="shared" si="109"/>
        <v>0</v>
      </c>
      <c r="AR142" s="994">
        <f t="shared" si="110"/>
        <v>0</v>
      </c>
    </row>
    <row r="143" spans="2:44" hidden="1" outlineLevel="1" x14ac:dyDescent="0.25">
      <c r="B143" s="575">
        <v>11</v>
      </c>
      <c r="C143" s="575"/>
      <c r="D143" s="981">
        <v>6271003001</v>
      </c>
      <c r="E143" s="638" t="s">
        <v>430</v>
      </c>
      <c r="F143" s="638" t="s">
        <v>570</v>
      </c>
      <c r="G143" s="638" t="s">
        <v>430</v>
      </c>
      <c r="H143" s="981" t="s">
        <v>521</v>
      </c>
      <c r="I143" s="606" t="s">
        <v>622</v>
      </c>
      <c r="J143" s="916"/>
      <c r="K143" s="916"/>
      <c r="L143" s="916"/>
      <c r="M143" s="916"/>
      <c r="N143" s="916"/>
      <c r="O143" s="916"/>
      <c r="P143" s="916"/>
      <c r="Q143" s="916"/>
      <c r="R143" s="916"/>
      <c r="S143" s="916"/>
      <c r="T143" s="916"/>
      <c r="U143" s="916"/>
      <c r="V143" s="916"/>
      <c r="W143" s="982">
        <f t="shared" si="119"/>
        <v>0</v>
      </c>
      <c r="Y143" s="916"/>
      <c r="Z143" s="916"/>
      <c r="AA143" s="916"/>
      <c r="AB143" s="916"/>
      <c r="AC143" s="916"/>
      <c r="AD143" s="916"/>
      <c r="AE143" s="916"/>
      <c r="AF143" s="916"/>
      <c r="AG143" s="916"/>
      <c r="AH143" s="916"/>
      <c r="AI143" s="916"/>
      <c r="AJ143" s="916"/>
      <c r="AK143" s="982">
        <f t="shared" si="120"/>
        <v>0</v>
      </c>
      <c r="AM143" s="982"/>
      <c r="AO143" s="982"/>
      <c r="AQ143" s="916">
        <f t="shared" si="109"/>
        <v>0</v>
      </c>
      <c r="AR143" s="994">
        <f t="shared" si="110"/>
        <v>0</v>
      </c>
    </row>
    <row r="144" spans="2:44" hidden="1" outlineLevel="1" x14ac:dyDescent="0.25">
      <c r="B144" s="575">
        <v>12</v>
      </c>
      <c r="C144" s="575"/>
      <c r="D144" s="981" t="s">
        <v>1004</v>
      </c>
      <c r="E144" s="638" t="s">
        <v>441</v>
      </c>
      <c r="F144" s="638" t="s">
        <v>570</v>
      </c>
      <c r="G144" s="638" t="s">
        <v>1946</v>
      </c>
      <c r="H144" s="981" t="s">
        <v>521</v>
      </c>
      <c r="I144" s="606" t="s">
        <v>622</v>
      </c>
      <c r="J144" s="916"/>
      <c r="K144" s="916"/>
      <c r="L144" s="916"/>
      <c r="M144" s="916"/>
      <c r="N144" s="916"/>
      <c r="O144" s="916"/>
      <c r="P144" s="916"/>
      <c r="Q144" s="916"/>
      <c r="R144" s="916"/>
      <c r="S144" s="916"/>
      <c r="T144" s="916"/>
      <c r="U144" s="916"/>
      <c r="V144" s="916"/>
      <c r="W144" s="982">
        <f t="shared" si="119"/>
        <v>0</v>
      </c>
      <c r="Y144" s="916"/>
      <c r="Z144" s="916"/>
      <c r="AA144" s="916"/>
      <c r="AB144" s="916"/>
      <c r="AC144" s="916"/>
      <c r="AD144" s="916"/>
      <c r="AE144" s="916"/>
      <c r="AF144" s="916"/>
      <c r="AG144" s="916"/>
      <c r="AH144" s="916"/>
      <c r="AI144" s="916"/>
      <c r="AJ144" s="916"/>
      <c r="AK144" s="982"/>
      <c r="AM144" s="982"/>
      <c r="AO144" s="982"/>
      <c r="AQ144" s="916">
        <f t="shared" si="109"/>
        <v>0</v>
      </c>
      <c r="AR144" s="994">
        <f t="shared" si="110"/>
        <v>0</v>
      </c>
    </row>
    <row r="145" spans="2:44" hidden="1" outlineLevel="1" x14ac:dyDescent="0.25">
      <c r="B145" s="575">
        <v>13</v>
      </c>
      <c r="C145" s="575"/>
      <c r="D145" s="981">
        <v>6273000100</v>
      </c>
      <c r="E145" s="638" t="s">
        <v>432</v>
      </c>
      <c r="F145" s="638" t="s">
        <v>580</v>
      </c>
      <c r="G145" s="638" t="s">
        <v>432</v>
      </c>
      <c r="H145" s="981" t="s">
        <v>516</v>
      </c>
      <c r="I145" s="606" t="s">
        <v>623</v>
      </c>
      <c r="J145" s="916"/>
      <c r="K145" s="916"/>
      <c r="L145" s="916"/>
      <c r="M145" s="916"/>
      <c r="N145" s="916"/>
      <c r="O145" s="916"/>
      <c r="P145" s="916"/>
      <c r="Q145" s="916"/>
      <c r="R145" s="916"/>
      <c r="S145" s="916"/>
      <c r="T145" s="916"/>
      <c r="U145" s="916"/>
      <c r="V145" s="916"/>
      <c r="W145" s="982">
        <f t="shared" si="119"/>
        <v>0</v>
      </c>
      <c r="Y145" s="916"/>
      <c r="Z145" s="916"/>
      <c r="AA145" s="916"/>
      <c r="AB145" s="916"/>
      <c r="AC145" s="916"/>
      <c r="AD145" s="916"/>
      <c r="AE145" s="916"/>
      <c r="AF145" s="916"/>
      <c r="AG145" s="916"/>
      <c r="AH145" s="916"/>
      <c r="AI145" s="916"/>
      <c r="AJ145" s="916"/>
      <c r="AK145" s="982">
        <f t="shared" si="120"/>
        <v>0</v>
      </c>
      <c r="AM145" s="982"/>
      <c r="AO145" s="982"/>
      <c r="AQ145" s="916">
        <f t="shared" si="109"/>
        <v>0</v>
      </c>
      <c r="AR145" s="994">
        <f t="shared" si="110"/>
        <v>0</v>
      </c>
    </row>
    <row r="146" spans="2:44" hidden="1" outlineLevel="1" x14ac:dyDescent="0.25">
      <c r="B146" s="575">
        <v>14</v>
      </c>
      <c r="C146" s="575"/>
      <c r="D146" s="981">
        <v>6275001803</v>
      </c>
      <c r="E146" s="638" t="s">
        <v>15</v>
      </c>
      <c r="F146" s="638" t="s">
        <v>573</v>
      </c>
      <c r="G146" s="638" t="s">
        <v>15</v>
      </c>
      <c r="H146" s="981" t="s">
        <v>516</v>
      </c>
      <c r="I146" s="606" t="s">
        <v>623</v>
      </c>
      <c r="J146" s="916"/>
      <c r="K146" s="916"/>
      <c r="L146" s="916"/>
      <c r="M146" s="916"/>
      <c r="N146" s="916"/>
      <c r="O146" s="916"/>
      <c r="P146" s="916"/>
      <c r="Q146" s="916"/>
      <c r="R146" s="916"/>
      <c r="S146" s="916"/>
      <c r="T146" s="916"/>
      <c r="U146" s="916"/>
      <c r="V146" s="916"/>
      <c r="W146" s="982">
        <f t="shared" si="119"/>
        <v>0</v>
      </c>
      <c r="Y146" s="916"/>
      <c r="Z146" s="916"/>
      <c r="AA146" s="916"/>
      <c r="AB146" s="916"/>
      <c r="AC146" s="916"/>
      <c r="AD146" s="916"/>
      <c r="AE146" s="916"/>
      <c r="AF146" s="916"/>
      <c r="AG146" s="916"/>
      <c r="AH146" s="916"/>
      <c r="AI146" s="916"/>
      <c r="AJ146" s="916"/>
      <c r="AK146" s="982">
        <f t="shared" si="120"/>
        <v>0</v>
      </c>
      <c r="AM146" s="982"/>
      <c r="AO146" s="982"/>
      <c r="AQ146" s="916">
        <f t="shared" si="109"/>
        <v>0</v>
      </c>
      <c r="AR146" s="994">
        <f t="shared" si="110"/>
        <v>0</v>
      </c>
    </row>
    <row r="147" spans="2:44" hidden="1" outlineLevel="1" x14ac:dyDescent="0.25">
      <c r="B147" s="575">
        <v>15</v>
      </c>
      <c r="C147" s="575"/>
      <c r="D147" s="981">
        <v>6277002804</v>
      </c>
      <c r="E147" s="638" t="s">
        <v>451</v>
      </c>
      <c r="F147" s="638" t="s">
        <v>575</v>
      </c>
      <c r="G147" s="638" t="s">
        <v>451</v>
      </c>
      <c r="H147" s="981" t="s">
        <v>521</v>
      </c>
      <c r="I147" s="606" t="s">
        <v>623</v>
      </c>
      <c r="J147" s="916"/>
      <c r="K147" s="916"/>
      <c r="L147" s="916"/>
      <c r="M147" s="916"/>
      <c r="N147" s="916"/>
      <c r="O147" s="916"/>
      <c r="P147" s="916"/>
      <c r="Q147" s="916"/>
      <c r="R147" s="916"/>
      <c r="S147" s="916"/>
      <c r="T147" s="916"/>
      <c r="U147" s="916"/>
      <c r="V147" s="916"/>
      <c r="W147" s="982">
        <f t="shared" si="119"/>
        <v>0</v>
      </c>
      <c r="Y147" s="916"/>
      <c r="Z147" s="916"/>
      <c r="AA147" s="916"/>
      <c r="AB147" s="916"/>
      <c r="AC147" s="916"/>
      <c r="AD147" s="916"/>
      <c r="AE147" s="916"/>
      <c r="AF147" s="916"/>
      <c r="AG147" s="916"/>
      <c r="AH147" s="916"/>
      <c r="AI147" s="916"/>
      <c r="AJ147" s="916"/>
      <c r="AK147" s="982">
        <f t="shared" si="120"/>
        <v>0</v>
      </c>
      <c r="AM147" s="982"/>
      <c r="AO147" s="982"/>
      <c r="AQ147" s="916">
        <f t="shared" si="109"/>
        <v>0</v>
      </c>
      <c r="AR147" s="994">
        <f t="shared" si="110"/>
        <v>0</v>
      </c>
    </row>
    <row r="148" spans="2:44" hidden="1" outlineLevel="1" x14ac:dyDescent="0.25">
      <c r="B148" s="575">
        <v>16</v>
      </c>
      <c r="C148" s="575"/>
      <c r="D148" s="981">
        <v>6277003702</v>
      </c>
      <c r="E148" s="638" t="s">
        <v>84</v>
      </c>
      <c r="F148" s="638" t="s">
        <v>576</v>
      </c>
      <c r="G148" s="638" t="s">
        <v>84</v>
      </c>
      <c r="H148" s="981" t="s">
        <v>513</v>
      </c>
      <c r="I148" s="606" t="s">
        <v>622</v>
      </c>
      <c r="J148" s="916"/>
      <c r="K148" s="916"/>
      <c r="L148" s="916"/>
      <c r="M148" s="916"/>
      <c r="N148" s="916"/>
      <c r="O148" s="916"/>
      <c r="P148" s="916"/>
      <c r="Q148" s="916"/>
      <c r="R148" s="916"/>
      <c r="S148" s="916"/>
      <c r="T148" s="916"/>
      <c r="U148" s="916"/>
      <c r="V148" s="916"/>
      <c r="W148" s="982">
        <f t="shared" si="119"/>
        <v>0</v>
      </c>
      <c r="Y148" s="916"/>
      <c r="Z148" s="916"/>
      <c r="AA148" s="916"/>
      <c r="AB148" s="916"/>
      <c r="AC148" s="916"/>
      <c r="AD148" s="916"/>
      <c r="AE148" s="916"/>
      <c r="AF148" s="916"/>
      <c r="AG148" s="916"/>
      <c r="AH148" s="916"/>
      <c r="AI148" s="916"/>
      <c r="AJ148" s="916"/>
      <c r="AK148" s="982">
        <f t="shared" si="120"/>
        <v>0</v>
      </c>
      <c r="AM148" s="982"/>
      <c r="AO148" s="982"/>
      <c r="AQ148" s="916">
        <f t="shared" si="109"/>
        <v>0</v>
      </c>
      <c r="AR148" s="994">
        <f t="shared" si="110"/>
        <v>0</v>
      </c>
    </row>
    <row r="149" spans="2:44" hidden="1" outlineLevel="1" x14ac:dyDescent="0.25">
      <c r="B149" s="575">
        <v>17</v>
      </c>
      <c r="C149" s="575"/>
      <c r="D149" s="981">
        <v>6277005001</v>
      </c>
      <c r="E149" s="638" t="s">
        <v>433</v>
      </c>
      <c r="F149" s="638" t="s">
        <v>578</v>
      </c>
      <c r="G149" s="638" t="s">
        <v>433</v>
      </c>
      <c r="H149" s="981" t="s">
        <v>513</v>
      </c>
      <c r="I149" s="606" t="s">
        <v>621</v>
      </c>
      <c r="J149" s="916"/>
      <c r="K149" s="916"/>
      <c r="L149" s="916"/>
      <c r="M149" s="916"/>
      <c r="N149" s="916"/>
      <c r="O149" s="916"/>
      <c r="P149" s="916"/>
      <c r="Q149" s="916"/>
      <c r="R149" s="916"/>
      <c r="S149" s="916"/>
      <c r="T149" s="916"/>
      <c r="U149" s="916"/>
      <c r="V149" s="916"/>
      <c r="W149" s="982">
        <f t="shared" si="119"/>
        <v>0</v>
      </c>
      <c r="Y149" s="916"/>
      <c r="Z149" s="916"/>
      <c r="AA149" s="916"/>
      <c r="AB149" s="916"/>
      <c r="AC149" s="916"/>
      <c r="AD149" s="916"/>
      <c r="AE149" s="916"/>
      <c r="AF149" s="916"/>
      <c r="AG149" s="916"/>
      <c r="AH149" s="916"/>
      <c r="AI149" s="916"/>
      <c r="AJ149" s="916"/>
      <c r="AK149" s="982">
        <f t="shared" si="120"/>
        <v>0</v>
      </c>
      <c r="AM149" s="982"/>
      <c r="AO149" s="982"/>
      <c r="AQ149" s="916">
        <f t="shared" si="109"/>
        <v>0</v>
      </c>
      <c r="AR149" s="994">
        <f t="shared" si="110"/>
        <v>0</v>
      </c>
    </row>
    <row r="150" spans="2:44" hidden="1" outlineLevel="1" x14ac:dyDescent="0.25">
      <c r="B150" s="575">
        <v>18</v>
      </c>
      <c r="C150" s="575"/>
      <c r="D150" s="981">
        <v>6278007201</v>
      </c>
      <c r="E150" s="638" t="s">
        <v>96</v>
      </c>
      <c r="F150" s="638" t="s">
        <v>575</v>
      </c>
      <c r="G150" s="638" t="s">
        <v>96</v>
      </c>
      <c r="H150" s="981" t="s">
        <v>516</v>
      </c>
      <c r="I150" s="606" t="s">
        <v>623</v>
      </c>
      <c r="J150" s="916"/>
      <c r="K150" s="916"/>
      <c r="L150" s="916"/>
      <c r="M150" s="916"/>
      <c r="N150" s="916"/>
      <c r="O150" s="916"/>
      <c r="P150" s="916"/>
      <c r="Q150" s="916"/>
      <c r="R150" s="916"/>
      <c r="S150" s="916"/>
      <c r="T150" s="916"/>
      <c r="U150" s="916"/>
      <c r="V150" s="916"/>
      <c r="W150" s="982">
        <f t="shared" si="119"/>
        <v>0</v>
      </c>
      <c r="Y150" s="916"/>
      <c r="Z150" s="916"/>
      <c r="AA150" s="916"/>
      <c r="AB150" s="916"/>
      <c r="AC150" s="916"/>
      <c r="AD150" s="916"/>
      <c r="AE150" s="916"/>
      <c r="AF150" s="916"/>
      <c r="AG150" s="916"/>
      <c r="AH150" s="916"/>
      <c r="AI150" s="916"/>
      <c r="AJ150" s="916"/>
      <c r="AK150" s="982">
        <f t="shared" si="120"/>
        <v>0</v>
      </c>
      <c r="AM150" s="982"/>
      <c r="AO150" s="982"/>
      <c r="AQ150" s="916">
        <f t="shared" si="109"/>
        <v>0</v>
      </c>
      <c r="AR150" s="994">
        <f t="shared" si="110"/>
        <v>0</v>
      </c>
    </row>
    <row r="151" spans="2:44" hidden="1" outlineLevel="1" x14ac:dyDescent="0.25">
      <c r="B151" s="575">
        <v>19</v>
      </c>
      <c r="C151" s="575"/>
      <c r="D151" s="981" t="s">
        <v>981</v>
      </c>
      <c r="E151" s="638" t="s">
        <v>982</v>
      </c>
      <c r="F151" s="638" t="s">
        <v>579</v>
      </c>
      <c r="G151" s="638" t="s">
        <v>1949</v>
      </c>
      <c r="H151" s="981" t="s">
        <v>518</v>
      </c>
      <c r="I151" s="606" t="s">
        <v>623</v>
      </c>
      <c r="J151" s="916"/>
      <c r="K151" s="983"/>
      <c r="L151" s="983"/>
      <c r="M151" s="983"/>
      <c r="N151" s="983"/>
      <c r="O151" s="983"/>
      <c r="P151" s="983"/>
      <c r="Q151" s="983"/>
      <c r="R151" s="983"/>
      <c r="S151" s="983"/>
      <c r="T151" s="983"/>
      <c r="U151" s="983"/>
      <c r="V151" s="983"/>
      <c r="W151" s="982">
        <f t="shared" si="119"/>
        <v>0</v>
      </c>
      <c r="Y151" s="983"/>
      <c r="Z151" s="983"/>
      <c r="AA151" s="983"/>
      <c r="AB151" s="983"/>
      <c r="AC151" s="983"/>
      <c r="AD151" s="983"/>
      <c r="AE151" s="983"/>
      <c r="AF151" s="983"/>
      <c r="AG151" s="983"/>
      <c r="AH151" s="983"/>
      <c r="AI151" s="983"/>
      <c r="AJ151" s="983"/>
      <c r="AK151" s="982"/>
      <c r="AM151" s="982"/>
      <c r="AO151" s="982"/>
      <c r="AQ151" s="916">
        <f t="shared" si="109"/>
        <v>0</v>
      </c>
      <c r="AR151" s="994">
        <f t="shared" si="110"/>
        <v>0</v>
      </c>
    </row>
    <row r="152" spans="2:44" hidden="1" outlineLevel="1" x14ac:dyDescent="0.25">
      <c r="B152" s="575">
        <v>20</v>
      </c>
      <c r="C152" s="575"/>
      <c r="D152" s="981">
        <v>6273006501</v>
      </c>
      <c r="E152" s="638" t="s">
        <v>469</v>
      </c>
      <c r="F152" s="638" t="s">
        <v>579</v>
      </c>
      <c r="G152" s="638" t="s">
        <v>602</v>
      </c>
      <c r="H152" s="981" t="s">
        <v>518</v>
      </c>
      <c r="I152" s="606" t="s">
        <v>622</v>
      </c>
      <c r="J152" s="916"/>
      <c r="K152" s="916"/>
      <c r="L152" s="916"/>
      <c r="M152" s="916"/>
      <c r="N152" s="916"/>
      <c r="O152" s="916"/>
      <c r="P152" s="916"/>
      <c r="Q152" s="916"/>
      <c r="R152" s="916"/>
      <c r="S152" s="916"/>
      <c r="T152" s="916"/>
      <c r="U152" s="916"/>
      <c r="V152" s="916"/>
      <c r="W152" s="982">
        <f t="shared" si="119"/>
        <v>0</v>
      </c>
      <c r="Y152" s="916"/>
      <c r="Z152" s="916"/>
      <c r="AA152" s="916"/>
      <c r="AB152" s="916"/>
      <c r="AC152" s="916"/>
      <c r="AD152" s="916"/>
      <c r="AE152" s="916"/>
      <c r="AF152" s="916"/>
      <c r="AG152" s="916"/>
      <c r="AH152" s="916"/>
      <c r="AI152" s="916"/>
      <c r="AJ152" s="916"/>
      <c r="AK152" s="982">
        <f t="shared" si="120"/>
        <v>0</v>
      </c>
      <c r="AM152" s="982"/>
      <c r="AO152" s="982"/>
      <c r="AQ152" s="916">
        <f t="shared" si="109"/>
        <v>0</v>
      </c>
      <c r="AR152" s="994">
        <f t="shared" si="110"/>
        <v>0</v>
      </c>
    </row>
    <row r="153" spans="2:44" hidden="1" outlineLevel="1" x14ac:dyDescent="0.25">
      <c r="B153" s="575">
        <v>21</v>
      </c>
      <c r="C153" s="575"/>
      <c r="D153" s="981" t="s">
        <v>1017</v>
      </c>
      <c r="E153" s="638" t="s">
        <v>1018</v>
      </c>
      <c r="F153" s="638" t="s">
        <v>1019</v>
      </c>
      <c r="G153" s="638" t="s">
        <v>1018</v>
      </c>
      <c r="H153" s="981" t="s">
        <v>513</v>
      </c>
      <c r="I153" s="606" t="s">
        <v>622</v>
      </c>
      <c r="J153" s="916"/>
      <c r="K153" s="983"/>
      <c r="L153" s="983"/>
      <c r="M153" s="983"/>
      <c r="N153" s="983"/>
      <c r="O153" s="983"/>
      <c r="P153" s="983"/>
      <c r="Q153" s="983"/>
      <c r="R153" s="983"/>
      <c r="S153" s="983"/>
      <c r="T153" s="983"/>
      <c r="U153" s="983"/>
      <c r="V153" s="983"/>
      <c r="W153" s="982">
        <f t="shared" ref="W153" si="121">SUM(K153:V153)</f>
        <v>0</v>
      </c>
      <c r="Y153" s="983"/>
      <c r="Z153" s="983"/>
      <c r="AA153" s="983"/>
      <c r="AB153" s="983"/>
      <c r="AC153" s="983"/>
      <c r="AD153" s="983"/>
      <c r="AE153" s="983"/>
      <c r="AF153" s="983"/>
      <c r="AG153" s="983"/>
      <c r="AH153" s="983"/>
      <c r="AI153" s="983"/>
      <c r="AJ153" s="983"/>
      <c r="AK153" s="982"/>
      <c r="AM153" s="982"/>
      <c r="AO153" s="982"/>
      <c r="AQ153" s="916">
        <f t="shared" si="109"/>
        <v>0</v>
      </c>
      <c r="AR153" s="994">
        <f t="shared" si="110"/>
        <v>0</v>
      </c>
    </row>
    <row r="154" spans="2:44" hidden="1" outlineLevel="1" x14ac:dyDescent="0.25">
      <c r="B154" s="575">
        <v>22</v>
      </c>
      <c r="C154" s="575"/>
      <c r="D154" s="981">
        <v>6277006501</v>
      </c>
      <c r="E154" s="638" t="s">
        <v>469</v>
      </c>
      <c r="F154" s="638" t="s">
        <v>579</v>
      </c>
      <c r="G154" s="638" t="s">
        <v>603</v>
      </c>
      <c r="H154" s="981" t="s">
        <v>518</v>
      </c>
      <c r="I154" s="606" t="s">
        <v>623</v>
      </c>
      <c r="J154" s="916"/>
      <c r="K154" s="916"/>
      <c r="L154" s="916"/>
      <c r="M154" s="916"/>
      <c r="N154" s="916"/>
      <c r="O154" s="916"/>
      <c r="P154" s="916"/>
      <c r="Q154" s="916"/>
      <c r="R154" s="916"/>
      <c r="S154" s="916"/>
      <c r="T154" s="916"/>
      <c r="U154" s="916"/>
      <c r="V154" s="916"/>
      <c r="W154" s="982">
        <f t="shared" si="119"/>
        <v>0</v>
      </c>
      <c r="Y154" s="916"/>
      <c r="Z154" s="916"/>
      <c r="AA154" s="916"/>
      <c r="AB154" s="916"/>
      <c r="AC154" s="916"/>
      <c r="AD154" s="916"/>
      <c r="AE154" s="916"/>
      <c r="AF154" s="916"/>
      <c r="AG154" s="916"/>
      <c r="AH154" s="916"/>
      <c r="AI154" s="916"/>
      <c r="AJ154" s="916"/>
      <c r="AK154" s="982">
        <f t="shared" si="120"/>
        <v>0</v>
      </c>
      <c r="AM154" s="982"/>
      <c r="AO154" s="982"/>
      <c r="AQ154" s="916">
        <f t="shared" si="109"/>
        <v>0</v>
      </c>
      <c r="AR154" s="994">
        <f t="shared" si="110"/>
        <v>0</v>
      </c>
    </row>
    <row r="155" spans="2:44" hidden="1" outlineLevel="1" x14ac:dyDescent="0.25">
      <c r="B155" s="575">
        <v>23</v>
      </c>
      <c r="C155" s="575"/>
      <c r="D155" s="981">
        <v>6273002001</v>
      </c>
      <c r="E155" s="638" t="s">
        <v>606</v>
      </c>
      <c r="F155" s="638" t="s">
        <v>579</v>
      </c>
      <c r="G155" s="638" t="s">
        <v>447</v>
      </c>
      <c r="H155" s="981" t="s">
        <v>514</v>
      </c>
      <c r="I155" s="606" t="s">
        <v>622</v>
      </c>
      <c r="J155" s="916"/>
      <c r="K155" s="916"/>
      <c r="L155" s="916"/>
      <c r="M155" s="916"/>
      <c r="N155" s="916"/>
      <c r="O155" s="916"/>
      <c r="P155" s="916"/>
      <c r="Q155" s="916"/>
      <c r="R155" s="916"/>
      <c r="S155" s="916"/>
      <c r="T155" s="916"/>
      <c r="U155" s="916"/>
      <c r="V155" s="916"/>
      <c r="W155" s="982">
        <f t="shared" si="119"/>
        <v>0</v>
      </c>
      <c r="Y155" s="916"/>
      <c r="Z155" s="916"/>
      <c r="AA155" s="916"/>
      <c r="AB155" s="916"/>
      <c r="AC155" s="916"/>
      <c r="AD155" s="916"/>
      <c r="AE155" s="916"/>
      <c r="AF155" s="916"/>
      <c r="AG155" s="916"/>
      <c r="AH155" s="916"/>
      <c r="AI155" s="916"/>
      <c r="AJ155" s="916"/>
      <c r="AK155" s="982">
        <f t="shared" si="120"/>
        <v>0</v>
      </c>
      <c r="AM155" s="982"/>
      <c r="AO155" s="982"/>
      <c r="AQ155" s="916">
        <f t="shared" si="109"/>
        <v>0</v>
      </c>
      <c r="AR155" s="994">
        <f t="shared" si="110"/>
        <v>0</v>
      </c>
    </row>
    <row r="156" spans="2:44" hidden="1" outlineLevel="1" x14ac:dyDescent="0.25">
      <c r="B156" s="575">
        <v>24</v>
      </c>
      <c r="C156" s="575"/>
      <c r="D156" s="981">
        <v>6277002204</v>
      </c>
      <c r="E156" s="638" t="s">
        <v>605</v>
      </c>
      <c r="F156" s="638" t="s">
        <v>579</v>
      </c>
      <c r="G156" s="638" t="s">
        <v>604</v>
      </c>
      <c r="H156" s="981" t="s">
        <v>517</v>
      </c>
      <c r="I156" s="606" t="s">
        <v>622</v>
      </c>
      <c r="J156" s="916"/>
      <c r="K156" s="916"/>
      <c r="L156" s="916"/>
      <c r="M156" s="916"/>
      <c r="N156" s="916"/>
      <c r="O156" s="916"/>
      <c r="P156" s="916"/>
      <c r="Q156" s="916"/>
      <c r="R156" s="916"/>
      <c r="S156" s="916"/>
      <c r="T156" s="916"/>
      <c r="U156" s="916"/>
      <c r="V156" s="916"/>
      <c r="W156" s="982">
        <f t="shared" si="119"/>
        <v>0</v>
      </c>
      <c r="Y156" s="916"/>
      <c r="Z156" s="916"/>
      <c r="AA156" s="916"/>
      <c r="AB156" s="916"/>
      <c r="AC156" s="916"/>
      <c r="AD156" s="916"/>
      <c r="AE156" s="916"/>
      <c r="AF156" s="916"/>
      <c r="AG156" s="916"/>
      <c r="AH156" s="916"/>
      <c r="AI156" s="916"/>
      <c r="AJ156" s="916"/>
      <c r="AK156" s="982">
        <f t="shared" si="120"/>
        <v>0</v>
      </c>
      <c r="AM156" s="982"/>
      <c r="AO156" s="982"/>
      <c r="AQ156" s="916">
        <f t="shared" si="109"/>
        <v>0</v>
      </c>
      <c r="AR156" s="994">
        <f t="shared" si="110"/>
        <v>0</v>
      </c>
    </row>
    <row r="157" spans="2:44" hidden="1" outlineLevel="1" x14ac:dyDescent="0.25">
      <c r="B157" s="575">
        <v>25</v>
      </c>
      <c r="C157" s="575"/>
      <c r="D157" s="981">
        <v>6277002301</v>
      </c>
      <c r="E157" s="638" t="s">
        <v>485</v>
      </c>
      <c r="F157" s="638" t="s">
        <v>577</v>
      </c>
      <c r="G157" s="638" t="s">
        <v>485</v>
      </c>
      <c r="H157" s="981" t="s">
        <v>522</v>
      </c>
      <c r="I157" s="606" t="s">
        <v>622</v>
      </c>
      <c r="J157" s="916"/>
      <c r="K157" s="916"/>
      <c r="L157" s="916"/>
      <c r="M157" s="916"/>
      <c r="N157" s="916"/>
      <c r="O157" s="916"/>
      <c r="P157" s="916"/>
      <c r="Q157" s="916"/>
      <c r="R157" s="916"/>
      <c r="S157" s="916"/>
      <c r="T157" s="916"/>
      <c r="U157" s="916"/>
      <c r="V157" s="916"/>
      <c r="W157" s="982">
        <f t="shared" si="119"/>
        <v>0</v>
      </c>
      <c r="Y157" s="916"/>
      <c r="Z157" s="916"/>
      <c r="AA157" s="916"/>
      <c r="AB157" s="916"/>
      <c r="AC157" s="916"/>
      <c r="AD157" s="916"/>
      <c r="AE157" s="916"/>
      <c r="AF157" s="916"/>
      <c r="AG157" s="916"/>
      <c r="AH157" s="916"/>
      <c r="AI157" s="916"/>
      <c r="AJ157" s="916"/>
      <c r="AK157" s="982">
        <f t="shared" si="120"/>
        <v>0</v>
      </c>
      <c r="AM157" s="982"/>
      <c r="AO157" s="982"/>
      <c r="AQ157" s="916">
        <f t="shared" si="109"/>
        <v>0</v>
      </c>
      <c r="AR157" s="994">
        <f t="shared" si="110"/>
        <v>0</v>
      </c>
    </row>
    <row r="158" spans="2:44" hidden="1" outlineLevel="1" x14ac:dyDescent="0.25">
      <c r="B158" s="575">
        <v>26</v>
      </c>
      <c r="C158" s="575"/>
      <c r="D158" s="981" t="s">
        <v>1070</v>
      </c>
      <c r="E158" s="638" t="s">
        <v>1071</v>
      </c>
      <c r="F158" s="638" t="s">
        <v>594</v>
      </c>
      <c r="G158" s="638" t="s">
        <v>1950</v>
      </c>
      <c r="H158" s="981" t="s">
        <v>518</v>
      </c>
      <c r="I158" s="606" t="s">
        <v>622</v>
      </c>
      <c r="J158" s="916"/>
      <c r="K158" s="983"/>
      <c r="L158" s="983"/>
      <c r="M158" s="983"/>
      <c r="N158" s="983"/>
      <c r="O158" s="983"/>
      <c r="P158" s="983"/>
      <c r="Q158" s="983"/>
      <c r="R158" s="983"/>
      <c r="S158" s="983"/>
      <c r="T158" s="983"/>
      <c r="U158" s="983"/>
      <c r="V158" s="983"/>
      <c r="W158" s="982">
        <f t="shared" si="119"/>
        <v>0</v>
      </c>
      <c r="Y158" s="983"/>
      <c r="Z158" s="983"/>
      <c r="AA158" s="983"/>
      <c r="AB158" s="983"/>
      <c r="AC158" s="983"/>
      <c r="AD158" s="983"/>
      <c r="AE158" s="983"/>
      <c r="AF158" s="983"/>
      <c r="AG158" s="983"/>
      <c r="AH158" s="983"/>
      <c r="AI158" s="983"/>
      <c r="AJ158" s="983"/>
      <c r="AK158" s="982"/>
      <c r="AM158" s="982"/>
      <c r="AO158" s="982"/>
      <c r="AQ158" s="916">
        <f t="shared" si="109"/>
        <v>0</v>
      </c>
      <c r="AR158" s="994">
        <f t="shared" si="110"/>
        <v>0</v>
      </c>
    </row>
    <row r="159" spans="2:44" hidden="1" outlineLevel="1" x14ac:dyDescent="0.25">
      <c r="B159" s="575">
        <v>27</v>
      </c>
      <c r="C159" s="575"/>
      <c r="D159" s="981">
        <v>6273001908</v>
      </c>
      <c r="E159" s="638" t="s">
        <v>435</v>
      </c>
      <c r="F159" s="638" t="s">
        <v>580</v>
      </c>
      <c r="G159" s="638" t="s">
        <v>435</v>
      </c>
      <c r="H159" s="981" t="s">
        <v>522</v>
      </c>
      <c r="I159" s="606" t="s">
        <v>622</v>
      </c>
      <c r="J159" s="916"/>
      <c r="K159" s="916"/>
      <c r="L159" s="916"/>
      <c r="M159" s="916"/>
      <c r="N159" s="916"/>
      <c r="O159" s="916"/>
      <c r="P159" s="916"/>
      <c r="Q159" s="916"/>
      <c r="R159" s="916"/>
      <c r="S159" s="916"/>
      <c r="T159" s="916"/>
      <c r="U159" s="916"/>
      <c r="V159" s="916"/>
      <c r="W159" s="982">
        <f t="shared" si="119"/>
        <v>0</v>
      </c>
      <c r="Y159" s="916"/>
      <c r="Z159" s="916"/>
      <c r="AA159" s="916"/>
      <c r="AB159" s="916"/>
      <c r="AC159" s="916"/>
      <c r="AD159" s="916"/>
      <c r="AE159" s="916"/>
      <c r="AF159" s="916"/>
      <c r="AG159" s="916"/>
      <c r="AH159" s="916"/>
      <c r="AI159" s="916"/>
      <c r="AJ159" s="916"/>
      <c r="AK159" s="982">
        <f t="shared" si="120"/>
        <v>0</v>
      </c>
      <c r="AM159" s="982"/>
      <c r="AO159" s="982"/>
      <c r="AQ159" s="916">
        <f t="shared" si="109"/>
        <v>0</v>
      </c>
      <c r="AR159" s="994">
        <f t="shared" si="110"/>
        <v>0</v>
      </c>
    </row>
    <row r="160" spans="2:44" hidden="1" outlineLevel="1" x14ac:dyDescent="0.25">
      <c r="B160" s="575">
        <v>28</v>
      </c>
      <c r="C160" s="575"/>
      <c r="D160" s="981"/>
      <c r="E160" s="638" t="s">
        <v>468</v>
      </c>
      <c r="F160" s="638" t="s">
        <v>617</v>
      </c>
      <c r="G160" s="638" t="s">
        <v>468</v>
      </c>
      <c r="H160" s="981" t="s">
        <v>522</v>
      </c>
      <c r="I160" s="606" t="s">
        <v>624</v>
      </c>
      <c r="J160" s="916"/>
      <c r="K160" s="916"/>
      <c r="L160" s="916"/>
      <c r="M160" s="916"/>
      <c r="N160" s="916"/>
      <c r="O160" s="916"/>
      <c r="P160" s="916"/>
      <c r="Q160" s="916"/>
      <c r="R160" s="916"/>
      <c r="S160" s="916"/>
      <c r="T160" s="916"/>
      <c r="U160" s="916"/>
      <c r="V160" s="916"/>
      <c r="W160" s="982">
        <f t="shared" si="119"/>
        <v>0</v>
      </c>
      <c r="Y160" s="916"/>
      <c r="Z160" s="916"/>
      <c r="AA160" s="916"/>
      <c r="AB160" s="916"/>
      <c r="AC160" s="916"/>
      <c r="AD160" s="916"/>
      <c r="AE160" s="916"/>
      <c r="AF160" s="916"/>
      <c r="AG160" s="916"/>
      <c r="AH160" s="916"/>
      <c r="AI160" s="916"/>
      <c r="AJ160" s="916"/>
      <c r="AK160" s="982">
        <f t="shared" si="120"/>
        <v>0</v>
      </c>
      <c r="AM160" s="982"/>
      <c r="AO160" s="982"/>
      <c r="AQ160" s="916">
        <f t="shared" si="109"/>
        <v>0</v>
      </c>
      <c r="AR160" s="994">
        <f t="shared" si="110"/>
        <v>0</v>
      </c>
    </row>
    <row r="161" spans="2:44" hidden="1" outlineLevel="1" x14ac:dyDescent="0.25">
      <c r="B161" s="580"/>
      <c r="C161" s="580"/>
      <c r="D161" s="581"/>
      <c r="E161" s="582"/>
      <c r="F161" s="582"/>
      <c r="G161" s="582"/>
      <c r="H161" s="581"/>
      <c r="I161" s="607"/>
      <c r="J161" s="583"/>
      <c r="K161" s="583"/>
      <c r="L161" s="583"/>
      <c r="M161" s="583"/>
      <c r="N161" s="583"/>
      <c r="O161" s="583"/>
      <c r="P161" s="583"/>
      <c r="Q161" s="583"/>
      <c r="R161" s="583"/>
      <c r="S161" s="583"/>
      <c r="T161" s="583"/>
      <c r="U161" s="583"/>
      <c r="V161" s="583"/>
      <c r="W161" s="595"/>
      <c r="Y161" s="583"/>
      <c r="Z161" s="583"/>
      <c r="AA161" s="583"/>
      <c r="AB161" s="583"/>
      <c r="AC161" s="583"/>
      <c r="AD161" s="583"/>
      <c r="AE161" s="583"/>
      <c r="AF161" s="583"/>
      <c r="AG161" s="583"/>
      <c r="AH161" s="583"/>
      <c r="AI161" s="583"/>
      <c r="AJ161" s="583"/>
      <c r="AK161" s="595"/>
      <c r="AM161" s="595"/>
      <c r="AO161" s="595"/>
      <c r="AQ161" s="579">
        <f t="shared" si="109"/>
        <v>0</v>
      </c>
      <c r="AR161" s="986">
        <f t="shared" si="110"/>
        <v>0</v>
      </c>
    </row>
    <row r="162" spans="2:44" s="37" customFormat="1" hidden="1" outlineLevel="1" x14ac:dyDescent="0.35">
      <c r="B162" s="389" t="s">
        <v>1613</v>
      </c>
      <c r="C162" s="389"/>
      <c r="D162" s="388"/>
      <c r="E162" s="650" t="s">
        <v>1610</v>
      </c>
      <c r="F162" s="651"/>
      <c r="G162" s="652"/>
      <c r="H162" s="652"/>
      <c r="I162" s="653"/>
      <c r="J162" s="568">
        <f t="shared" ref="J162:W162" si="122">J132+J110</f>
        <v>0</v>
      </c>
      <c r="K162" s="1196">
        <f t="shared" si="122"/>
        <v>0</v>
      </c>
      <c r="L162" s="1196">
        <f t="shared" si="122"/>
        <v>0</v>
      </c>
      <c r="M162" s="1196">
        <f t="shared" si="122"/>
        <v>0</v>
      </c>
      <c r="N162" s="1196">
        <f t="shared" si="122"/>
        <v>0</v>
      </c>
      <c r="O162" s="1196">
        <f t="shared" si="122"/>
        <v>0</v>
      </c>
      <c r="P162" s="1196">
        <f t="shared" si="122"/>
        <v>0</v>
      </c>
      <c r="Q162" s="1196">
        <f t="shared" si="122"/>
        <v>0</v>
      </c>
      <c r="R162" s="1196">
        <f t="shared" si="122"/>
        <v>0</v>
      </c>
      <c r="S162" s="1196">
        <f t="shared" si="122"/>
        <v>0</v>
      </c>
      <c r="T162" s="1196">
        <f t="shared" si="122"/>
        <v>0</v>
      </c>
      <c r="U162" s="1196">
        <f t="shared" si="122"/>
        <v>0</v>
      </c>
      <c r="V162" s="1196">
        <f t="shared" si="122"/>
        <v>0</v>
      </c>
      <c r="W162" s="568">
        <f t="shared" si="122"/>
        <v>0</v>
      </c>
      <c r="Y162" s="1196">
        <f t="shared" ref="Y162:AK162" si="123">Y132+Y110</f>
        <v>0</v>
      </c>
      <c r="Z162" s="1196">
        <f t="shared" si="123"/>
        <v>0</v>
      </c>
      <c r="AA162" s="1196">
        <f t="shared" si="123"/>
        <v>0</v>
      </c>
      <c r="AB162" s="1196">
        <f t="shared" si="123"/>
        <v>0</v>
      </c>
      <c r="AC162" s="1196">
        <f t="shared" si="123"/>
        <v>0</v>
      </c>
      <c r="AD162" s="1196">
        <f t="shared" si="123"/>
        <v>0</v>
      </c>
      <c r="AE162" s="1196">
        <f t="shared" si="123"/>
        <v>0</v>
      </c>
      <c r="AF162" s="1196">
        <f t="shared" si="123"/>
        <v>0</v>
      </c>
      <c r="AG162" s="1196">
        <f t="shared" si="123"/>
        <v>0</v>
      </c>
      <c r="AH162" s="568">
        <f t="shared" si="123"/>
        <v>0</v>
      </c>
      <c r="AI162" s="568">
        <f t="shared" si="123"/>
        <v>0</v>
      </c>
      <c r="AJ162" s="568">
        <f t="shared" si="123"/>
        <v>0</v>
      </c>
      <c r="AK162" s="568">
        <f t="shared" si="123"/>
        <v>0</v>
      </c>
      <c r="AM162" s="568">
        <f>AM132+AM110</f>
        <v>0</v>
      </c>
      <c r="AO162" s="568">
        <f>AO132+AO110</f>
        <v>0</v>
      </c>
      <c r="AQ162" s="568">
        <f t="shared" si="109"/>
        <v>0</v>
      </c>
      <c r="AR162" s="988">
        <f t="shared" si="110"/>
        <v>0</v>
      </c>
    </row>
    <row r="163" spans="2:44" collapsed="1" x14ac:dyDescent="0.35">
      <c r="K163" s="1197">
        <f ca="1">K106-K99</f>
        <v>1109475223.1906633</v>
      </c>
      <c r="L163" s="1197"/>
      <c r="M163" s="1197"/>
      <c r="N163" s="1197"/>
      <c r="O163" s="1197"/>
      <c r="P163" s="1197"/>
      <c r="Q163" s="1197"/>
      <c r="R163" s="1197"/>
      <c r="S163" s="1197"/>
      <c r="T163" s="1197"/>
      <c r="U163" s="1197"/>
      <c r="V163" s="1197"/>
      <c r="Y163" s="1200"/>
      <c r="Z163" s="1200"/>
      <c r="AA163" s="1200"/>
      <c r="AB163" s="1200"/>
      <c r="AC163" s="1200"/>
      <c r="AD163" s="1200"/>
      <c r="AE163" s="1200"/>
      <c r="AF163" s="1200"/>
      <c r="AG163" s="1200"/>
      <c r="AH163" s="1200"/>
      <c r="AI163" s="1200"/>
      <c r="AJ163" s="1200"/>
      <c r="AK163" s="1201"/>
      <c r="AM163" s="1201">
        <f>SUM(AM100:AM104)-AM99</f>
        <v>0</v>
      </c>
    </row>
    <row r="164" spans="2:44" x14ac:dyDescent="0.35">
      <c r="K164" s="1197"/>
      <c r="L164" s="1197"/>
      <c r="M164" s="1197"/>
      <c r="N164" s="1197"/>
      <c r="O164" s="1197"/>
      <c r="P164" s="1197"/>
      <c r="Q164" s="1197"/>
      <c r="R164" s="1197"/>
      <c r="S164" s="1197"/>
      <c r="T164" s="1197"/>
      <c r="U164" s="1197"/>
      <c r="V164" s="1197"/>
      <c r="Y164" s="1201"/>
      <c r="Z164" s="1201"/>
      <c r="AA164" s="1201"/>
      <c r="AB164" s="1201"/>
      <c r="AC164" s="1201"/>
      <c r="AD164" s="1201"/>
      <c r="AE164" s="1201"/>
      <c r="AF164" s="1201"/>
      <c r="AG164" s="1201"/>
      <c r="AH164" s="1201"/>
      <c r="AI164" s="1201"/>
      <c r="AJ164" s="1201"/>
      <c r="AM164" s="1201"/>
    </row>
    <row r="165" spans="2:44" x14ac:dyDescent="0.35">
      <c r="K165" s="1197"/>
      <c r="L165" s="1197"/>
      <c r="M165" s="1197"/>
      <c r="N165" s="1197"/>
      <c r="O165" s="1197"/>
      <c r="P165" s="1197"/>
      <c r="Q165" s="1197"/>
      <c r="R165" s="1197"/>
      <c r="S165" s="1197"/>
      <c r="T165" s="1197"/>
      <c r="U165" s="1197"/>
      <c r="V165" s="1197"/>
      <c r="Y165" s="1201"/>
      <c r="Z165" s="1201"/>
      <c r="AA165" s="1201"/>
      <c r="AB165" s="1201"/>
      <c r="AC165" s="1201"/>
      <c r="AD165" s="1201"/>
      <c r="AE165" s="1201"/>
      <c r="AF165" s="1201"/>
      <c r="AG165" s="1201"/>
      <c r="AM165" s="1201"/>
    </row>
    <row r="166" spans="2:44" x14ac:dyDescent="0.35">
      <c r="K166" s="1197"/>
      <c r="L166" s="1197"/>
      <c r="M166" s="1197"/>
      <c r="N166" s="1197"/>
      <c r="O166" s="1197"/>
      <c r="P166" s="1197"/>
      <c r="Q166" s="1197"/>
      <c r="R166" s="1197"/>
      <c r="S166" s="1197"/>
      <c r="T166" s="1197"/>
      <c r="U166" s="1197"/>
      <c r="V166" s="1197"/>
      <c r="Y166" s="1201"/>
      <c r="Z166" s="1201"/>
      <c r="AA166" s="1201"/>
      <c r="AB166" s="1201"/>
      <c r="AC166" s="1201"/>
      <c r="AD166" s="1201"/>
      <c r="AE166" s="1201"/>
      <c r="AF166" s="1201"/>
      <c r="AG166" s="1201"/>
    </row>
    <row r="167" spans="2:44" x14ac:dyDescent="0.35">
      <c r="K167" s="1197"/>
      <c r="L167" s="1197"/>
      <c r="M167" s="1197"/>
      <c r="N167" s="1197"/>
      <c r="O167" s="1197"/>
      <c r="P167" s="1197"/>
      <c r="Q167" s="1197"/>
      <c r="R167" s="1197"/>
      <c r="S167" s="1197"/>
      <c r="T167" s="1197"/>
      <c r="U167" s="1197"/>
      <c r="V167" s="1197"/>
      <c r="Y167" s="1201"/>
      <c r="Z167" s="1201"/>
      <c r="AA167" s="1201"/>
      <c r="AB167" s="1201"/>
      <c r="AC167" s="1201"/>
      <c r="AD167" s="1201"/>
      <c r="AE167" s="1201"/>
      <c r="AF167" s="1201"/>
      <c r="AG167" s="1201"/>
    </row>
    <row r="168" spans="2:44" x14ac:dyDescent="0.35"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Y168" s="1200"/>
      <c r="Z168" s="1200"/>
      <c r="AA168" s="1200"/>
      <c r="AB168" s="1200"/>
      <c r="AC168" s="1200"/>
      <c r="AD168" s="1200"/>
      <c r="AE168" s="1200"/>
      <c r="AF168" s="1200"/>
      <c r="AG168" s="1200"/>
    </row>
    <row r="169" spans="2:44" x14ac:dyDescent="0.35"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Y169" s="1200"/>
      <c r="Z169" s="1200"/>
      <c r="AA169" s="1200"/>
      <c r="AB169" s="1200"/>
      <c r="AC169" s="1200"/>
      <c r="AD169" s="1200"/>
      <c r="AE169" s="1200"/>
      <c r="AF169" s="1200"/>
      <c r="AG169" s="1200"/>
    </row>
    <row r="170" spans="2:44" x14ac:dyDescent="0.35">
      <c r="Y170" s="1201"/>
      <c r="Z170" s="1201"/>
      <c r="AA170" s="1201"/>
      <c r="AB170" s="1201"/>
      <c r="AC170" s="1201"/>
      <c r="AD170" s="1201"/>
      <c r="AE170" s="1201"/>
      <c r="AF170" s="1201"/>
      <c r="AG170" s="1201"/>
    </row>
    <row r="171" spans="2:44" x14ac:dyDescent="0.35">
      <c r="Y171" s="1200"/>
      <c r="Z171" s="1200"/>
      <c r="AA171" s="1200"/>
      <c r="AB171" s="1200"/>
      <c r="AC171" s="1200"/>
      <c r="AD171" s="1200"/>
      <c r="AE171" s="1200"/>
      <c r="AF171" s="1200"/>
      <c r="AG171" s="1200"/>
    </row>
    <row r="172" spans="2:44" x14ac:dyDescent="0.35">
      <c r="Y172" s="424"/>
      <c r="Z172" s="424"/>
      <c r="AA172" s="424"/>
      <c r="AB172" s="424"/>
      <c r="AC172" s="424"/>
      <c r="AD172" s="424"/>
      <c r="AE172" s="424"/>
      <c r="AF172" s="424"/>
      <c r="AG172" s="424"/>
    </row>
  </sheetData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A3E5-D930-4D26-BA7E-9C0B5B3F1418}">
  <sheetPr>
    <tabColor theme="9"/>
  </sheetPr>
  <dimension ref="B1:AR16"/>
  <sheetViews>
    <sheetView showGridLines="0" workbookViewId="0">
      <selection activeCell="L15" sqref="L15"/>
    </sheetView>
  </sheetViews>
  <sheetFormatPr defaultRowHeight="14.5" outlineLevelCol="1" x14ac:dyDescent="0.35"/>
  <cols>
    <col min="1" max="1" width="3.54296875" customWidth="1"/>
    <col min="2" max="2" width="5.81640625" customWidth="1"/>
    <col min="3" max="3" width="10.81640625" hidden="1" customWidth="1"/>
    <col min="4" max="4" width="15.81640625" customWidth="1"/>
    <col min="5" max="5" width="16.81640625" customWidth="1"/>
    <col min="6" max="6" width="32.54296875" hidden="1" customWidth="1"/>
    <col min="7" max="7" width="29.54296875" hidden="1" customWidth="1" outlineLevel="1"/>
    <col min="8" max="8" width="13.453125" hidden="1" customWidth="1" outlineLevel="1"/>
    <col min="9" max="9" width="10.1796875" hidden="1" customWidth="1" outlineLevel="1"/>
    <col min="10" max="10" width="7" hidden="1" customWidth="1" collapsed="1"/>
    <col min="11" max="11" width="5.81640625" customWidth="1"/>
    <col min="12" max="22" width="6.1796875" bestFit="1" customWidth="1"/>
    <col min="23" max="23" width="8.453125" style="598" customWidth="1"/>
    <col min="24" max="24" width="2.26953125" customWidth="1"/>
    <col min="25" max="36" width="5.54296875" hidden="1" customWidth="1"/>
    <col min="37" max="37" width="6.453125" customWidth="1"/>
    <col min="38" max="38" width="1.81640625" customWidth="1"/>
    <col min="39" max="39" width="6.54296875" customWidth="1"/>
    <col min="40" max="40" width="2" customWidth="1"/>
    <col min="41" max="41" width="7.1796875" customWidth="1"/>
    <col min="42" max="42" width="2.1796875" customWidth="1"/>
    <col min="43" max="43" width="7.7265625" customWidth="1"/>
    <col min="44" max="44" width="4.81640625" customWidth="1"/>
  </cols>
  <sheetData>
    <row r="1" spans="2:44" s="36" customFormat="1" ht="13" x14ac:dyDescent="0.35">
      <c r="B1" s="371"/>
      <c r="C1" s="371"/>
      <c r="D1" s="371"/>
      <c r="E1" s="371"/>
      <c r="F1" s="371"/>
      <c r="G1" s="372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1"/>
      <c r="Z1" s="372"/>
    </row>
    <row r="2" spans="2:44" s="36" customFormat="1" ht="13" x14ac:dyDescent="0.35">
      <c r="B2" s="40"/>
      <c r="C2" s="40"/>
      <c r="D2" s="40"/>
      <c r="E2" s="1"/>
      <c r="F2" s="1"/>
      <c r="G2" s="1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1"/>
      <c r="Z2" s="372"/>
    </row>
    <row r="3" spans="2:44" s="36" customFormat="1" ht="13" x14ac:dyDescent="0.35">
      <c r="B3" s="138" t="s">
        <v>1616</v>
      </c>
      <c r="C3" s="138"/>
      <c r="D3" s="138"/>
      <c r="E3" s="138"/>
      <c r="F3" s="138"/>
      <c r="G3" s="138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592" t="s">
        <v>233</v>
      </c>
      <c r="Z3" s="372"/>
    </row>
    <row r="4" spans="2:44" s="36" customFormat="1" ht="39" x14ac:dyDescent="0.35">
      <c r="B4" s="377" t="s">
        <v>0</v>
      </c>
      <c r="C4" s="377" t="s">
        <v>703</v>
      </c>
      <c r="D4" s="378" t="s">
        <v>568</v>
      </c>
      <c r="E4" s="692" t="s">
        <v>470</v>
      </c>
      <c r="F4" s="399" t="s">
        <v>701</v>
      </c>
      <c r="G4" s="377" t="s">
        <v>702</v>
      </c>
      <c r="H4" s="377" t="s">
        <v>132</v>
      </c>
      <c r="I4" s="381" t="s">
        <v>232</v>
      </c>
      <c r="J4" s="269" t="s">
        <v>1947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2" t="s">
        <v>56</v>
      </c>
      <c r="Z4" s="942" t="s">
        <v>57</v>
      </c>
      <c r="AA4" s="942" t="s">
        <v>58</v>
      </c>
      <c r="AB4" s="942" t="s">
        <v>59</v>
      </c>
      <c r="AC4" s="942" t="s">
        <v>60</v>
      </c>
      <c r="AD4" s="942" t="s">
        <v>61</v>
      </c>
      <c r="AE4" s="942" t="s">
        <v>62</v>
      </c>
      <c r="AF4" s="942" t="s">
        <v>63</v>
      </c>
      <c r="AG4" s="942" t="s">
        <v>64</v>
      </c>
      <c r="AH4" s="942" t="s">
        <v>65</v>
      </c>
      <c r="AI4" s="942" t="s">
        <v>66</v>
      </c>
      <c r="AJ4" s="942" t="s">
        <v>67</v>
      </c>
      <c r="AK4" s="942" t="s">
        <v>405</v>
      </c>
      <c r="AM4" s="942" t="s">
        <v>1942</v>
      </c>
      <c r="AO4" s="942" t="s">
        <v>1943</v>
      </c>
      <c r="AQ4" s="943" t="s">
        <v>749</v>
      </c>
      <c r="AR4" s="944" t="s">
        <v>750</v>
      </c>
    </row>
    <row r="5" spans="2:44" s="36" customFormat="1" ht="13" x14ac:dyDescent="0.35">
      <c r="B5" s="570">
        <v>1</v>
      </c>
      <c r="C5" s="570"/>
      <c r="D5" s="572" t="s">
        <v>583</v>
      </c>
      <c r="E5" s="571" t="s">
        <v>581</v>
      </c>
      <c r="F5" s="572" t="s">
        <v>582</v>
      </c>
      <c r="G5" s="584" t="s">
        <v>1643</v>
      </c>
      <c r="H5" s="584" t="s">
        <v>517</v>
      </c>
      <c r="I5" s="585" t="s">
        <v>621</v>
      </c>
      <c r="J5" s="993">
        <f>W5/'4.Doanh thu'!$R$60</f>
        <v>1.5310733004569983E-2</v>
      </c>
      <c r="K5" s="574">
        <f>'Dinh muc'!$G$18*('3.Thanh pham'!H$97)</f>
        <v>114364285.71428572</v>
      </c>
      <c r="L5" s="574">
        <f>'Dinh muc'!$G$18*('3.Thanh pham'!I$97)</f>
        <v>85773214.285714284</v>
      </c>
      <c r="M5" s="574">
        <f>'Dinh muc'!$G$18*('3.Thanh pham'!J$97)</f>
        <v>123894642.85714285</v>
      </c>
      <c r="N5" s="574">
        <f>'Dinh muc'!$G$18*('3.Thanh pham'!K$97)</f>
        <v>133425000</v>
      </c>
      <c r="O5" s="574">
        <f>'Dinh muc'!$G$18*('3.Thanh pham'!L$97)</f>
        <v>133425000</v>
      </c>
      <c r="P5" s="574">
        <f>'Dinh muc'!$G$18*('3.Thanh pham'!M$97)</f>
        <v>133425000</v>
      </c>
      <c r="Q5" s="574">
        <f>'Dinh muc'!$G$18*('3.Thanh pham'!N$97)</f>
        <v>133425000</v>
      </c>
      <c r="R5" s="574">
        <f>'Dinh muc'!$G$18*('3.Thanh pham'!O$97)</f>
        <v>133425000</v>
      </c>
      <c r="S5" s="574">
        <f>'Dinh muc'!$G$18*('3.Thanh pham'!P$97)</f>
        <v>133425000</v>
      </c>
      <c r="T5" s="574">
        <f>'Dinh muc'!$G$18*('3.Thanh pham'!Q$97)</f>
        <v>133425000</v>
      </c>
      <c r="U5" s="574">
        <f>'Dinh muc'!$G$18*('3.Thanh pham'!R$97)</f>
        <v>133425000</v>
      </c>
      <c r="V5" s="574">
        <f>'Dinh muc'!$G$18*('3.Thanh pham'!S$97)</f>
        <v>133425000</v>
      </c>
      <c r="W5" s="596">
        <f>SUM(K5:V5)</f>
        <v>1524857142.8571429</v>
      </c>
      <c r="Y5" s="574">
        <v>37500000</v>
      </c>
      <c r="Z5" s="574">
        <v>70500000</v>
      </c>
      <c r="AA5" s="574">
        <v>103500000</v>
      </c>
      <c r="AB5" s="574">
        <v>129000000</v>
      </c>
      <c r="AC5" s="574">
        <v>111000000</v>
      </c>
      <c r="AD5" s="574">
        <v>116500000</v>
      </c>
      <c r="AE5" s="574">
        <v>172500000</v>
      </c>
      <c r="AF5" s="574">
        <v>164700000</v>
      </c>
      <c r="AG5" s="574">
        <v>127600000</v>
      </c>
      <c r="AH5" s="574">
        <v>94607142.857142851</v>
      </c>
      <c r="AI5" s="574">
        <v>94607142.857142851</v>
      </c>
      <c r="AJ5" s="574">
        <v>94607142.857142851</v>
      </c>
      <c r="AK5" s="596">
        <f>SUM(Y5:AJ5)</f>
        <v>1316621428.5714288</v>
      </c>
      <c r="AM5" s="596">
        <f>25920000+29246075+1235185753+3700000</f>
        <v>1294051828</v>
      </c>
      <c r="AO5" s="596">
        <f>180030000+322298034+180000000+700920000+30524000+46933000+6954000+10940000</f>
        <v>1478599034</v>
      </c>
      <c r="AQ5" s="574">
        <f>IFERROR(W5-AK5,0)</f>
        <v>208235714.28571415</v>
      </c>
      <c r="AR5" s="946">
        <f>IFERROR((W5/AK5)-1,0)</f>
        <v>0.15815914109164675</v>
      </c>
    </row>
    <row r="6" spans="2:44" s="36" customFormat="1" ht="13" hidden="1" x14ac:dyDescent="0.35">
      <c r="B6" s="580">
        <v>2</v>
      </c>
      <c r="C6" s="580"/>
      <c r="D6" s="582" t="s">
        <v>583</v>
      </c>
      <c r="E6" s="581" t="s">
        <v>581</v>
      </c>
      <c r="F6" s="582" t="s">
        <v>582</v>
      </c>
      <c r="G6" s="586" t="s">
        <v>1642</v>
      </c>
      <c r="H6" s="586" t="s">
        <v>517</v>
      </c>
      <c r="I6" s="587" t="s">
        <v>621</v>
      </c>
      <c r="J6" s="993">
        <f>W6/'4.Doanh thu'!$R$60</f>
        <v>0</v>
      </c>
      <c r="K6" s="583">
        <f>'Dinh muc'!$G$34*'3.Thanh pham'!H$136</f>
        <v>0</v>
      </c>
      <c r="L6" s="583">
        <f>'Dinh muc'!$G$34*'3.Thanh pham'!I$136</f>
        <v>0</v>
      </c>
      <c r="M6" s="583">
        <f>'Dinh muc'!$G$34*'3.Thanh pham'!J$136</f>
        <v>0</v>
      </c>
      <c r="N6" s="583">
        <f>'Dinh muc'!$G$34*'3.Thanh pham'!K$136</f>
        <v>0</v>
      </c>
      <c r="O6" s="583">
        <f>'Dinh muc'!$G$34*'3.Thanh pham'!L$136</f>
        <v>0</v>
      </c>
      <c r="P6" s="583">
        <f>'Dinh muc'!$G$34*'3.Thanh pham'!M$136</f>
        <v>0</v>
      </c>
      <c r="Q6" s="583">
        <f>'Dinh muc'!$G$34*'3.Thanh pham'!N$136</f>
        <v>0</v>
      </c>
      <c r="R6" s="583">
        <f>'Dinh muc'!$G$34*'3.Thanh pham'!O$136</f>
        <v>0</v>
      </c>
      <c r="S6" s="583">
        <f>'Dinh muc'!$G$34*'3.Thanh pham'!P$136</f>
        <v>0</v>
      </c>
      <c r="T6" s="583">
        <f>'Dinh muc'!$G$34*'3.Thanh pham'!Q$136</f>
        <v>0</v>
      </c>
      <c r="U6" s="583">
        <f>'Dinh muc'!$G$34*'3.Thanh pham'!R$136</f>
        <v>0</v>
      </c>
      <c r="V6" s="583">
        <f>'Dinh muc'!$G$34*'3.Thanh pham'!S$136</f>
        <v>0</v>
      </c>
      <c r="W6" s="597">
        <f>SUM(K6:V6)</f>
        <v>0</v>
      </c>
      <c r="Y6" s="583"/>
      <c r="Z6" s="583"/>
      <c r="AA6" s="583"/>
      <c r="AB6" s="583"/>
      <c r="AC6" s="583"/>
      <c r="AD6" s="583"/>
      <c r="AE6" s="583"/>
      <c r="AF6" s="583"/>
      <c r="AG6" s="583"/>
      <c r="AH6" s="583"/>
      <c r="AI6" s="583"/>
      <c r="AJ6" s="583"/>
      <c r="AK6" s="597">
        <f>SUM(Y6:AJ6)</f>
        <v>0</v>
      </c>
      <c r="AM6" s="597"/>
      <c r="AO6" s="597"/>
      <c r="AQ6" s="574">
        <f>IFERROR(W6-AK6,0)</f>
        <v>0</v>
      </c>
      <c r="AR6" s="946">
        <f>IFERROR((W6/AK6)-1,0)</f>
        <v>0</v>
      </c>
    </row>
    <row r="7" spans="2:44" s="36" customFormat="1" ht="13" x14ac:dyDescent="0.35">
      <c r="B7" s="480"/>
      <c r="C7" s="480"/>
      <c r="D7" s="475"/>
      <c r="E7" s="474"/>
      <c r="F7" s="475"/>
      <c r="G7" s="672"/>
      <c r="H7" s="672"/>
      <c r="I7" s="673"/>
      <c r="J7" s="673"/>
      <c r="K7" s="481"/>
      <c r="L7" s="481"/>
      <c r="M7" s="481"/>
      <c r="N7" s="481"/>
      <c r="O7" s="481"/>
      <c r="P7" s="481"/>
      <c r="Q7" s="481"/>
      <c r="R7" s="481"/>
      <c r="S7" s="481"/>
      <c r="T7" s="481"/>
      <c r="U7" s="481"/>
      <c r="V7" s="481"/>
      <c r="W7" s="674"/>
      <c r="Y7" s="481"/>
      <c r="Z7" s="481"/>
      <c r="AA7" s="481"/>
      <c r="AB7" s="481"/>
      <c r="AC7" s="481"/>
      <c r="AD7" s="481"/>
      <c r="AE7" s="481"/>
      <c r="AF7" s="481"/>
      <c r="AG7" s="481"/>
      <c r="AH7" s="481"/>
      <c r="AI7" s="481"/>
      <c r="AJ7" s="481"/>
      <c r="AK7" s="674"/>
      <c r="AM7" s="674"/>
      <c r="AO7" s="674"/>
      <c r="AQ7" s="574">
        <f>IFERROR(W7-AK7,0)</f>
        <v>0</v>
      </c>
      <c r="AR7" s="946">
        <f>IFERROR((W7/AK7)-1,0)</f>
        <v>0</v>
      </c>
    </row>
    <row r="8" spans="2:44" s="37" customFormat="1" ht="13" x14ac:dyDescent="0.35">
      <c r="B8" s="387"/>
      <c r="C8" s="389"/>
      <c r="D8" s="388"/>
      <c r="E8" s="389"/>
      <c r="F8" s="389"/>
      <c r="G8" s="390" t="s">
        <v>616</v>
      </c>
      <c r="H8" s="390"/>
      <c r="I8" s="391"/>
      <c r="J8" s="392">
        <f>SUM(J5:J6)</f>
        <v>1.5310733004569983E-2</v>
      </c>
      <c r="K8" s="392">
        <f>SUM(K5:K7)</f>
        <v>114364285.71428572</v>
      </c>
      <c r="L8" s="392">
        <f t="shared" ref="L8:W8" si="0">SUM(L5:L7)</f>
        <v>85773214.285714284</v>
      </c>
      <c r="M8" s="392">
        <f t="shared" si="0"/>
        <v>123894642.85714285</v>
      </c>
      <c r="N8" s="392">
        <f t="shared" si="0"/>
        <v>133425000</v>
      </c>
      <c r="O8" s="392">
        <f t="shared" si="0"/>
        <v>133425000</v>
      </c>
      <c r="P8" s="392">
        <f t="shared" si="0"/>
        <v>133425000</v>
      </c>
      <c r="Q8" s="392">
        <f t="shared" si="0"/>
        <v>133425000</v>
      </c>
      <c r="R8" s="392">
        <f t="shared" si="0"/>
        <v>133425000</v>
      </c>
      <c r="S8" s="392">
        <f t="shared" si="0"/>
        <v>133425000</v>
      </c>
      <c r="T8" s="392">
        <f t="shared" si="0"/>
        <v>133425000</v>
      </c>
      <c r="U8" s="392">
        <f t="shared" si="0"/>
        <v>133425000</v>
      </c>
      <c r="V8" s="392">
        <f t="shared" si="0"/>
        <v>133425000</v>
      </c>
      <c r="W8" s="392">
        <f t="shared" si="0"/>
        <v>1524857142.8571429</v>
      </c>
      <c r="Y8" s="568">
        <f>SUM(Y5:Y7)</f>
        <v>37500000</v>
      </c>
      <c r="Z8" s="568">
        <f t="shared" ref="Z8:AK8" si="1">SUM(Z5:Z7)</f>
        <v>70500000</v>
      </c>
      <c r="AA8" s="568">
        <f t="shared" si="1"/>
        <v>103500000</v>
      </c>
      <c r="AB8" s="568">
        <f t="shared" si="1"/>
        <v>129000000</v>
      </c>
      <c r="AC8" s="568">
        <f t="shared" si="1"/>
        <v>111000000</v>
      </c>
      <c r="AD8" s="568">
        <f t="shared" si="1"/>
        <v>116500000</v>
      </c>
      <c r="AE8" s="568">
        <f t="shared" si="1"/>
        <v>172500000</v>
      </c>
      <c r="AF8" s="568">
        <f t="shared" si="1"/>
        <v>164700000</v>
      </c>
      <c r="AG8" s="568">
        <f t="shared" si="1"/>
        <v>127600000</v>
      </c>
      <c r="AH8" s="568">
        <f t="shared" si="1"/>
        <v>94607142.857142851</v>
      </c>
      <c r="AI8" s="568">
        <f t="shared" si="1"/>
        <v>94607142.857142851</v>
      </c>
      <c r="AJ8" s="568">
        <f t="shared" si="1"/>
        <v>94607142.857142851</v>
      </c>
      <c r="AK8" s="568">
        <f t="shared" si="1"/>
        <v>1316621428.5714288</v>
      </c>
      <c r="AM8" s="568">
        <f t="shared" ref="AM8" si="2">SUM(AM5:AM7)</f>
        <v>1294051828</v>
      </c>
      <c r="AO8" s="568">
        <f t="shared" ref="AO8" si="3">SUM(AO5:AO7)</f>
        <v>1478599034</v>
      </c>
      <c r="AQ8" s="568">
        <f>IFERROR(W8-AK8,0)</f>
        <v>208235714.28571415</v>
      </c>
      <c r="AR8" s="988">
        <f>IFERROR((W8/AK8)-1,0)</f>
        <v>0.15815914109164675</v>
      </c>
    </row>
    <row r="9" spans="2:44" x14ac:dyDescent="0.35">
      <c r="X9" s="36"/>
      <c r="Y9" s="1322"/>
      <c r="Z9" s="1322"/>
      <c r="AA9" s="1322"/>
      <c r="AB9" s="1322"/>
      <c r="AC9" s="1322"/>
      <c r="AD9" s="1322"/>
      <c r="AE9" s="1322"/>
      <c r="AF9" s="1322"/>
      <c r="AG9" s="1322"/>
      <c r="AH9" s="1322"/>
      <c r="AI9" s="1322"/>
      <c r="AJ9" s="1322"/>
      <c r="AK9" s="598"/>
      <c r="AM9" s="598"/>
      <c r="AO9" s="598"/>
    </row>
    <row r="10" spans="2:44" s="36" customFormat="1" ht="13" x14ac:dyDescent="0.35">
      <c r="B10" s="138" t="s">
        <v>1783</v>
      </c>
      <c r="C10" s="138"/>
      <c r="D10" s="138"/>
      <c r="E10" s="138"/>
      <c r="F10" s="138"/>
      <c r="G10" s="138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592" t="s">
        <v>233</v>
      </c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592"/>
      <c r="AM10" s="592"/>
      <c r="AO10" s="592"/>
    </row>
    <row r="11" spans="2:44" s="36" customFormat="1" ht="39" x14ac:dyDescent="0.35">
      <c r="B11" s="377" t="s">
        <v>0</v>
      </c>
      <c r="C11" s="377" t="s">
        <v>703</v>
      </c>
      <c r="D11" s="378" t="s">
        <v>568</v>
      </c>
      <c r="E11" s="379" t="s">
        <v>470</v>
      </c>
      <c r="F11" s="399" t="s">
        <v>701</v>
      </c>
      <c r="G11" s="377" t="s">
        <v>702</v>
      </c>
      <c r="H11" s="377" t="s">
        <v>132</v>
      </c>
      <c r="I11" s="381" t="s">
        <v>232</v>
      </c>
      <c r="J11" s="269" t="s">
        <v>1947</v>
      </c>
      <c r="K11" s="269" t="s">
        <v>56</v>
      </c>
      <c r="L11" s="269" t="s">
        <v>57</v>
      </c>
      <c r="M11" s="269" t="s">
        <v>58</v>
      </c>
      <c r="N11" s="269" t="s">
        <v>59</v>
      </c>
      <c r="O11" s="269" t="s">
        <v>60</v>
      </c>
      <c r="P11" s="269" t="s">
        <v>61</v>
      </c>
      <c r="Q11" s="269" t="s">
        <v>62</v>
      </c>
      <c r="R11" s="269" t="s">
        <v>63</v>
      </c>
      <c r="S11" s="269" t="s">
        <v>64</v>
      </c>
      <c r="T11" s="269" t="s">
        <v>65</v>
      </c>
      <c r="U11" s="269" t="s">
        <v>66</v>
      </c>
      <c r="V11" s="269" t="s">
        <v>67</v>
      </c>
      <c r="W11" s="7" t="s">
        <v>2246</v>
      </c>
      <c r="Y11" s="942" t="s">
        <v>56</v>
      </c>
      <c r="Z11" s="942" t="s">
        <v>57</v>
      </c>
      <c r="AA11" s="942" t="s">
        <v>58</v>
      </c>
      <c r="AB11" s="942" t="s">
        <v>59</v>
      </c>
      <c r="AC11" s="942" t="s">
        <v>60</v>
      </c>
      <c r="AD11" s="942" t="s">
        <v>61</v>
      </c>
      <c r="AE11" s="942" t="s">
        <v>62</v>
      </c>
      <c r="AF11" s="942" t="s">
        <v>63</v>
      </c>
      <c r="AG11" s="942" t="s">
        <v>64</v>
      </c>
      <c r="AH11" s="942" t="s">
        <v>65</v>
      </c>
      <c r="AI11" s="942" t="s">
        <v>66</v>
      </c>
      <c r="AJ11" s="942" t="s">
        <v>67</v>
      </c>
      <c r="AK11" s="942" t="s">
        <v>405</v>
      </c>
      <c r="AM11" s="942" t="s">
        <v>1942</v>
      </c>
      <c r="AO11" s="942" t="s">
        <v>1943</v>
      </c>
      <c r="AQ11" s="943" t="s">
        <v>749</v>
      </c>
      <c r="AR11" s="944" t="s">
        <v>750</v>
      </c>
    </row>
    <row r="12" spans="2:44" s="36" customFormat="1" ht="13" x14ac:dyDescent="0.35">
      <c r="B12" s="570">
        <v>1</v>
      </c>
      <c r="C12" s="570"/>
      <c r="D12" s="572" t="s">
        <v>583</v>
      </c>
      <c r="E12" s="571" t="s">
        <v>581</v>
      </c>
      <c r="F12" s="572" t="s">
        <v>582</v>
      </c>
      <c r="G12" s="584" t="s">
        <v>1640</v>
      </c>
      <c r="H12" s="584" t="s">
        <v>517</v>
      </c>
      <c r="I12" s="585" t="s">
        <v>621</v>
      </c>
      <c r="J12" s="585"/>
      <c r="K12" s="574"/>
      <c r="L12" s="574"/>
      <c r="M12" s="574"/>
      <c r="N12" s="574"/>
      <c r="O12" s="574"/>
      <c r="P12" s="574"/>
      <c r="Q12" s="574"/>
      <c r="R12" s="574"/>
      <c r="S12" s="574"/>
      <c r="T12" s="574"/>
      <c r="U12" s="574"/>
      <c r="V12" s="574"/>
      <c r="W12" s="596"/>
      <c r="Y12" s="574"/>
      <c r="Z12" s="574"/>
      <c r="AA12" s="574"/>
      <c r="AB12" s="574"/>
      <c r="AC12" s="574"/>
      <c r="AD12" s="574"/>
      <c r="AE12" s="574"/>
      <c r="AF12" s="574"/>
      <c r="AG12" s="574"/>
      <c r="AH12" s="574"/>
      <c r="AI12" s="574"/>
      <c r="AJ12" s="574"/>
      <c r="AK12" s="596">
        <f t="shared" ref="AK12:AK13" si="4">SUM(Y12:AJ12)</f>
        <v>0</v>
      </c>
      <c r="AM12" s="596"/>
      <c r="AO12" s="596"/>
      <c r="AQ12" s="574">
        <f t="shared" ref="AQ12:AQ13" si="5">IFERROR(W12-AK12,0)</f>
        <v>0</v>
      </c>
      <c r="AR12" s="946">
        <f t="shared" ref="AR12:AR13" si="6">IFERROR((W12/AK12)-1,0)</f>
        <v>0</v>
      </c>
    </row>
    <row r="13" spans="2:44" s="36" customFormat="1" ht="13" x14ac:dyDescent="0.35">
      <c r="B13" s="580"/>
      <c r="C13" s="580"/>
      <c r="D13" s="582"/>
      <c r="E13" s="581"/>
      <c r="F13" s="582"/>
      <c r="G13" s="586"/>
      <c r="H13" s="586"/>
      <c r="I13" s="587"/>
      <c r="J13" s="587"/>
      <c r="K13" s="583"/>
      <c r="L13" s="583"/>
      <c r="M13" s="583"/>
      <c r="N13" s="583"/>
      <c r="O13" s="583"/>
      <c r="P13" s="583"/>
      <c r="Q13" s="583"/>
      <c r="R13" s="583"/>
      <c r="S13" s="583"/>
      <c r="T13" s="583"/>
      <c r="U13" s="583"/>
      <c r="V13" s="583"/>
      <c r="W13" s="597"/>
      <c r="Y13" s="583"/>
      <c r="Z13" s="583"/>
      <c r="AA13" s="583"/>
      <c r="AB13" s="583"/>
      <c r="AC13" s="583"/>
      <c r="AD13" s="583"/>
      <c r="AE13" s="583"/>
      <c r="AF13" s="583"/>
      <c r="AG13" s="583"/>
      <c r="AH13" s="583"/>
      <c r="AI13" s="583"/>
      <c r="AJ13" s="583"/>
      <c r="AK13" s="596">
        <f t="shared" si="4"/>
        <v>0</v>
      </c>
      <c r="AM13" s="597"/>
      <c r="AO13" s="597"/>
      <c r="AQ13" s="574">
        <f t="shared" si="5"/>
        <v>0</v>
      </c>
      <c r="AR13" s="946">
        <f t="shared" si="6"/>
        <v>0</v>
      </c>
    </row>
    <row r="14" spans="2:44" s="37" customFormat="1" ht="13" x14ac:dyDescent="0.35">
      <c r="B14" s="387"/>
      <c r="C14" s="389"/>
      <c r="D14" s="388"/>
      <c r="E14" s="389"/>
      <c r="F14" s="389"/>
      <c r="G14" s="390" t="s">
        <v>616</v>
      </c>
      <c r="H14" s="390"/>
      <c r="I14" s="391"/>
      <c r="J14" s="392">
        <f>SUM(J12:J13)</f>
        <v>0</v>
      </c>
      <c r="K14" s="392">
        <f t="shared" ref="K14:W14" si="7">SUM(K12:K13)</f>
        <v>0</v>
      </c>
      <c r="L14" s="392">
        <f>SUM(L12:L13)</f>
        <v>0</v>
      </c>
      <c r="M14" s="392">
        <f t="shared" si="7"/>
        <v>0</v>
      </c>
      <c r="N14" s="392">
        <f t="shared" si="7"/>
        <v>0</v>
      </c>
      <c r="O14" s="392">
        <f t="shared" si="7"/>
        <v>0</v>
      </c>
      <c r="P14" s="392">
        <f t="shared" si="7"/>
        <v>0</v>
      </c>
      <c r="Q14" s="392">
        <f t="shared" si="7"/>
        <v>0</v>
      </c>
      <c r="R14" s="392">
        <f t="shared" si="7"/>
        <v>0</v>
      </c>
      <c r="S14" s="392">
        <f t="shared" si="7"/>
        <v>0</v>
      </c>
      <c r="T14" s="392">
        <f t="shared" si="7"/>
        <v>0</v>
      </c>
      <c r="U14" s="392">
        <f t="shared" si="7"/>
        <v>0</v>
      </c>
      <c r="V14" s="392">
        <f t="shared" si="7"/>
        <v>0</v>
      </c>
      <c r="W14" s="392">
        <f t="shared" si="7"/>
        <v>0</v>
      </c>
      <c r="Y14" s="568">
        <f t="shared" ref="Y14" si="8">SUM(Y12:Y13)</f>
        <v>0</v>
      </c>
      <c r="Z14" s="568">
        <f>SUM(Z12:Z13)</f>
        <v>0</v>
      </c>
      <c r="AA14" s="568">
        <f t="shared" ref="AA14:AK14" si="9">SUM(AA12:AA13)</f>
        <v>0</v>
      </c>
      <c r="AB14" s="568">
        <f t="shared" si="9"/>
        <v>0</v>
      </c>
      <c r="AC14" s="568">
        <f t="shared" si="9"/>
        <v>0</v>
      </c>
      <c r="AD14" s="568">
        <f t="shared" si="9"/>
        <v>0</v>
      </c>
      <c r="AE14" s="568">
        <f t="shared" si="9"/>
        <v>0</v>
      </c>
      <c r="AF14" s="568">
        <f t="shared" si="9"/>
        <v>0</v>
      </c>
      <c r="AG14" s="568">
        <f t="shared" si="9"/>
        <v>0</v>
      </c>
      <c r="AH14" s="568">
        <f t="shared" si="9"/>
        <v>0</v>
      </c>
      <c r="AI14" s="568">
        <f t="shared" si="9"/>
        <v>0</v>
      </c>
      <c r="AJ14" s="568">
        <f t="shared" si="9"/>
        <v>0</v>
      </c>
      <c r="AK14" s="568">
        <f t="shared" si="9"/>
        <v>0</v>
      </c>
      <c r="AM14" s="568">
        <f t="shared" ref="AM14" si="10">SUM(AM12:AM13)</f>
        <v>0</v>
      </c>
      <c r="AO14" s="568">
        <f t="shared" ref="AO14" si="11">SUM(AO12:AO13)</f>
        <v>0</v>
      </c>
      <c r="AQ14" s="568">
        <f>IFERROR(W14-AK14,0)</f>
        <v>0</v>
      </c>
      <c r="AR14" s="988">
        <f>IFERROR((W14/AK14)-1,0)</f>
        <v>0</v>
      </c>
    </row>
    <row r="15" spans="2:44" x14ac:dyDescent="0.35">
      <c r="X15" s="36"/>
    </row>
    <row r="16" spans="2:44" x14ac:dyDescent="0.35">
      <c r="X16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51F7-E093-420E-9C5F-9D14F66B5141}">
  <sheetPr>
    <tabColor theme="9"/>
  </sheetPr>
  <dimension ref="B1:AU109"/>
  <sheetViews>
    <sheetView showGridLines="0" topLeftCell="A43" zoomScaleNormal="100" workbookViewId="0">
      <selection activeCell="W5" sqref="W5:W12"/>
    </sheetView>
  </sheetViews>
  <sheetFormatPr defaultColWidth="8.54296875" defaultRowHeight="14.5" outlineLevelCol="2" x14ac:dyDescent="0.35"/>
  <cols>
    <col min="1" max="1" width="1.81640625" style="6" customWidth="1"/>
    <col min="2" max="2" width="6" style="6" customWidth="1"/>
    <col min="3" max="3" width="8.54296875" style="6" hidden="1" customWidth="1"/>
    <col min="4" max="4" width="18.1796875" style="6" customWidth="1"/>
    <col min="5" max="5" width="35.453125" style="713" bestFit="1" customWidth="1"/>
    <col min="6" max="6" width="22" style="6" hidden="1" customWidth="1"/>
    <col min="7" max="7" width="29.7265625" style="713" hidden="1" customWidth="1" outlineLevel="1"/>
    <col min="8" max="8" width="22.453125" style="6" hidden="1" customWidth="1" outlineLevel="1"/>
    <col min="9" max="9" width="11.54296875" style="600" hidden="1" customWidth="1" outlineLevel="1"/>
    <col min="10" max="10" width="0" style="6" hidden="1" customWidth="1" collapsed="1"/>
    <col min="11" max="22" width="5.7265625" style="6" customWidth="1" outlineLevel="2"/>
    <col min="23" max="23" width="9.81640625" style="5" customWidth="1"/>
    <col min="24" max="24" width="2.7265625" customWidth="1"/>
    <col min="25" max="33" width="6.1796875" style="6" hidden="1" customWidth="1" outlineLevel="1"/>
    <col min="34" max="36" width="6.54296875" style="6" hidden="1" customWidth="1" outlineLevel="1"/>
    <col min="37" max="37" width="6.81640625" style="6" customWidth="1" collapsed="1"/>
    <col min="38" max="38" width="2" style="6" customWidth="1"/>
    <col min="39" max="39" width="6.453125" style="6" customWidth="1"/>
    <col min="40" max="40" width="2.26953125" style="6" customWidth="1"/>
    <col min="41" max="41" width="6.453125" style="6" customWidth="1"/>
    <col min="42" max="42" width="3" style="6" customWidth="1"/>
    <col min="43" max="43" width="8.54296875" style="6" customWidth="1"/>
    <col min="44" max="44" width="6.453125" style="6" customWidth="1"/>
    <col min="45" max="16384" width="8.54296875" style="6"/>
  </cols>
  <sheetData>
    <row r="1" spans="2:47" ht="15.5" x14ac:dyDescent="0.35">
      <c r="B1" s="223"/>
      <c r="C1" s="223"/>
      <c r="D1" s="223"/>
      <c r="E1" s="1378"/>
      <c r="F1" s="223"/>
    </row>
    <row r="3" spans="2:47" x14ac:dyDescent="0.35">
      <c r="B3" s="139" t="s">
        <v>1609</v>
      </c>
      <c r="C3" s="139"/>
      <c r="D3" s="139"/>
      <c r="E3" s="1379"/>
      <c r="F3" s="139"/>
      <c r="W3" s="204" t="s">
        <v>233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</row>
    <row r="4" spans="2:47" s="36" customFormat="1" ht="36.65" customHeight="1" x14ac:dyDescent="0.35">
      <c r="B4" s="377" t="s">
        <v>0</v>
      </c>
      <c r="C4" s="377" t="s">
        <v>703</v>
      </c>
      <c r="D4" s="378" t="s">
        <v>568</v>
      </c>
      <c r="E4" s="692" t="s">
        <v>470</v>
      </c>
      <c r="F4" s="399" t="s">
        <v>701</v>
      </c>
      <c r="G4" s="377" t="s">
        <v>702</v>
      </c>
      <c r="H4" s="377" t="s">
        <v>132</v>
      </c>
      <c r="I4" s="601" t="s">
        <v>232</v>
      </c>
      <c r="J4" s="269" t="s">
        <v>1947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2" t="s">
        <v>56</v>
      </c>
      <c r="Z4" s="942" t="s">
        <v>57</v>
      </c>
      <c r="AA4" s="942" t="s">
        <v>58</v>
      </c>
      <c r="AB4" s="942" t="s">
        <v>59</v>
      </c>
      <c r="AC4" s="942" t="s">
        <v>60</v>
      </c>
      <c r="AD4" s="942" t="s">
        <v>61</v>
      </c>
      <c r="AE4" s="942" t="s">
        <v>62</v>
      </c>
      <c r="AF4" s="942" t="s">
        <v>63</v>
      </c>
      <c r="AG4" s="942" t="s">
        <v>64</v>
      </c>
      <c r="AH4" s="942" t="s">
        <v>65</v>
      </c>
      <c r="AI4" s="942" t="s">
        <v>66</v>
      </c>
      <c r="AJ4" s="942" t="s">
        <v>67</v>
      </c>
      <c r="AK4" s="942" t="s">
        <v>405</v>
      </c>
      <c r="AM4" s="942" t="s">
        <v>1942</v>
      </c>
      <c r="AO4" s="942" t="s">
        <v>1943</v>
      </c>
      <c r="AQ4" s="943" t="s">
        <v>749</v>
      </c>
      <c r="AR4" s="944" t="s">
        <v>750</v>
      </c>
    </row>
    <row r="5" spans="2:47" x14ac:dyDescent="0.35">
      <c r="B5" s="588">
        <v>1</v>
      </c>
      <c r="C5" s="588"/>
      <c r="D5" s="997">
        <v>6421002604</v>
      </c>
      <c r="E5" s="623" t="s">
        <v>461</v>
      </c>
      <c r="F5" s="584" t="s">
        <v>569</v>
      </c>
      <c r="G5" s="623" t="s">
        <v>461</v>
      </c>
      <c r="H5" s="584" t="s">
        <v>521</v>
      </c>
      <c r="I5" s="573" t="s">
        <v>612</v>
      </c>
      <c r="J5" s="1010">
        <f>W5/'4.Doanh thu'!$R$60</f>
        <v>2.7981696839167017E-2</v>
      </c>
      <c r="K5" s="1245">
        <f>SUMIFS(LUONG!F:F,LUONG!$C:$C,CPQL!$D5)</f>
        <v>231983584</v>
      </c>
      <c r="L5" s="1245">
        <f>SUMIFS(LUONG!G:G,LUONG!$C:$C,CPQL!$D5)</f>
        <v>233617224</v>
      </c>
      <c r="M5" s="1245">
        <f>SUMIFS(LUONG!H:H,LUONG!$C:$C,CPQL!$D5)</f>
        <v>226794841</v>
      </c>
      <c r="N5" s="1245">
        <f>SUMIFS(LUONG!I:I,LUONG!$C:$C,CPQL!$D5)</f>
        <v>234989696</v>
      </c>
      <c r="O5" s="1245">
        <f>SUMIFS(LUONG!J:J,LUONG!$C:$C,CPQL!$D5)</f>
        <v>228702976</v>
      </c>
      <c r="P5" s="1245">
        <f>SUMIFS(LUONG!K:K,LUONG!$C:$C,CPQL!$D5)</f>
        <v>234989696</v>
      </c>
      <c r="Q5" s="1245">
        <f>SUMIFS(LUONG!L:L,LUONG!$C:$C,CPQL!$D5)</f>
        <v>232258078</v>
      </c>
      <c r="R5" s="1245">
        <f>SUMIFS(LUONG!M:M,LUONG!$C:$C,CPQL!$D5)</f>
        <v>232258078</v>
      </c>
      <c r="S5" s="1245">
        <f>SUMIFS(LUONG!N:N,LUONG!$C:$C,CPQL!$D5)</f>
        <v>234440708</v>
      </c>
      <c r="T5" s="1245">
        <f>SUMIFS(LUONG!O:O,LUONG!$C:$C,CPQL!$D5)</f>
        <v>229526460</v>
      </c>
      <c r="U5" s="1245">
        <f>SUMIFS(LUONG!P:P,LUONG!$C:$C,CPQL!$D5)</f>
        <v>234989696</v>
      </c>
      <c r="V5" s="1245">
        <f>SUMIFS(LUONG!Q:Q,LUONG!$C:$C,CPQL!$D5)</f>
        <v>232258078</v>
      </c>
      <c r="W5" s="1246">
        <f>SUM(K5:V5)</f>
        <v>2786809115</v>
      </c>
      <c r="Y5" s="1245">
        <v>190705181</v>
      </c>
      <c r="Z5" s="1245">
        <v>193716888</v>
      </c>
      <c r="AA5" s="1245">
        <v>171808909</v>
      </c>
      <c r="AB5" s="1245">
        <v>209656919</v>
      </c>
      <c r="AC5" s="1245">
        <v>190102972</v>
      </c>
      <c r="AD5" s="1245">
        <v>165743660</v>
      </c>
      <c r="AE5" s="1245">
        <v>163581380</v>
      </c>
      <c r="AF5" s="1245">
        <v>177224222</v>
      </c>
      <c r="AG5" s="1245">
        <v>169296094</v>
      </c>
      <c r="AH5" s="1245">
        <v>190479156</v>
      </c>
      <c r="AI5" s="1245">
        <v>190479156</v>
      </c>
      <c r="AJ5" s="1245">
        <v>190479156</v>
      </c>
      <c r="AK5" s="1246">
        <f>SUM(Y5:AJ5)</f>
        <v>2203273693</v>
      </c>
      <c r="AM5" s="1246">
        <v>988310840</v>
      </c>
      <c r="AO5" s="1384">
        <v>750344536</v>
      </c>
      <c r="AQ5" s="915">
        <f>IFERROR(W5-AK5,0)</f>
        <v>583535422</v>
      </c>
      <c r="AR5" s="993">
        <f>IFERROR((W5/AK5)-1,0)</f>
        <v>0.26484926673156628</v>
      </c>
      <c r="AT5" s="1200"/>
      <c r="AU5" s="1200"/>
    </row>
    <row r="6" spans="2:47" ht="25" x14ac:dyDescent="0.35">
      <c r="B6" s="589">
        <v>2</v>
      </c>
      <c r="C6" s="589"/>
      <c r="D6" s="981">
        <v>6421002605</v>
      </c>
      <c r="E6" s="1247" t="s">
        <v>462</v>
      </c>
      <c r="F6" s="638" t="s">
        <v>574</v>
      </c>
      <c r="G6" s="1247" t="s">
        <v>462</v>
      </c>
      <c r="H6" s="638" t="s">
        <v>521</v>
      </c>
      <c r="I6" s="578" t="s">
        <v>612</v>
      </c>
      <c r="J6" s="1010">
        <f>W6/'4.Doanh thu'!$R$60</f>
        <v>2.1235232242906199E-3</v>
      </c>
      <c r="K6" s="1011">
        <f>SUMIFS(LUONG!F:F,LUONG!$C:$C,CPQL!$D6)</f>
        <v>17624181</v>
      </c>
      <c r="L6" s="1011">
        <f>SUMIFS(LUONG!G:G,LUONG!$C:$C,CPQL!$D6)</f>
        <v>17624181</v>
      </c>
      <c r="M6" s="1011">
        <f>SUMIFS(LUONG!H:H,LUONG!$C:$C,CPQL!$D6)</f>
        <v>17624181</v>
      </c>
      <c r="N6" s="1011">
        <f>SUMIFS(LUONG!I:I,LUONG!$C:$C,CPQL!$D6)</f>
        <v>17624181</v>
      </c>
      <c r="O6" s="1011">
        <f>SUMIFS(LUONG!J:J,LUONG!$C:$C,CPQL!$D6)</f>
        <v>17624181</v>
      </c>
      <c r="P6" s="1011">
        <f>SUMIFS(LUONG!K:K,LUONG!$C:$C,CPQL!$D6)</f>
        <v>17624181</v>
      </c>
      <c r="Q6" s="1011">
        <f>SUMIFS(LUONG!L:L,LUONG!$C:$C,CPQL!$D6)</f>
        <v>17624181</v>
      </c>
      <c r="R6" s="1011">
        <f>SUMIFS(LUONG!M:M,LUONG!$C:$C,CPQL!$D6)</f>
        <v>17624181</v>
      </c>
      <c r="S6" s="1011">
        <f>SUMIFS(LUONG!N:N,LUONG!$C:$C,CPQL!$D6)</f>
        <v>17624181</v>
      </c>
      <c r="T6" s="1011">
        <f>SUMIFS(LUONG!O:O,LUONG!$C:$C,CPQL!$D6)</f>
        <v>17624181</v>
      </c>
      <c r="U6" s="1011">
        <f>SUMIFS(LUONG!P:P,LUONG!$C:$C,CPQL!$D6)</f>
        <v>17624181</v>
      </c>
      <c r="V6" s="1011">
        <f>SUMIFS(LUONG!Q:Q,LUONG!$C:$C,CPQL!$D6)</f>
        <v>17624181</v>
      </c>
      <c r="W6" s="1012">
        <f t="shared" ref="W6:W65" si="0">SUM(K6:V6)</f>
        <v>211490172</v>
      </c>
      <c r="Y6" s="1011">
        <v>14840167</v>
      </c>
      <c r="Z6" s="1011">
        <v>14840167</v>
      </c>
      <c r="AA6" s="1011">
        <v>12756833</v>
      </c>
      <c r="AB6" s="1011">
        <v>14923500</v>
      </c>
      <c r="AC6" s="1011">
        <v>12756833</v>
      </c>
      <c r="AD6" s="1011">
        <v>14608685</v>
      </c>
      <c r="AE6" s="1011">
        <v>15525352</v>
      </c>
      <c r="AF6" s="1011">
        <v>15525352</v>
      </c>
      <c r="AG6" s="1011">
        <v>13460352</v>
      </c>
      <c r="AH6" s="1011">
        <v>15106184.944444457</v>
      </c>
      <c r="AI6" s="1011">
        <v>15106184.944444457</v>
      </c>
      <c r="AJ6" s="1011">
        <v>15106184.944444457</v>
      </c>
      <c r="AK6" s="1012">
        <f t="shared" ref="AK6:AK65" si="1">SUM(Y6:AJ6)</f>
        <v>174555795.83333334</v>
      </c>
      <c r="AM6" s="1012">
        <v>139133331</v>
      </c>
      <c r="AO6" s="1385">
        <v>57900000</v>
      </c>
      <c r="AQ6" s="1011">
        <f t="shared" ref="AQ6:AQ64" si="2">IFERROR(W6-AK6,0)</f>
        <v>36934376.166666657</v>
      </c>
      <c r="AR6" s="1013">
        <f t="shared" ref="AR6:AR68" si="3">IFERROR((W6/AK6)-1,0)</f>
        <v>0.21159066068440247</v>
      </c>
      <c r="AT6" s="1200"/>
      <c r="AU6" s="1200"/>
    </row>
    <row r="7" spans="2:47" x14ac:dyDescent="0.35">
      <c r="B7" s="589">
        <v>3</v>
      </c>
      <c r="C7" s="589"/>
      <c r="D7" s="981">
        <v>6421002802</v>
      </c>
      <c r="E7" s="626" t="s">
        <v>465</v>
      </c>
      <c r="F7" s="638" t="s">
        <v>570</v>
      </c>
      <c r="G7" s="626" t="s">
        <v>465</v>
      </c>
      <c r="H7" s="638" t="s">
        <v>521</v>
      </c>
      <c r="I7" s="578" t="s">
        <v>612</v>
      </c>
      <c r="J7" s="1010">
        <f>W7/'4.Doanh thu'!$R$60</f>
        <v>5.6228286844589034E-5</v>
      </c>
      <c r="K7" s="1011">
        <f>SUMIFS(LUONG!F:F,LUONG!$C:$C,CPQL!$D7)</f>
        <v>1400000</v>
      </c>
      <c r="L7" s="1011">
        <f>SUMIFS(LUONG!G:G,LUONG!$C:$C,CPQL!$D7)</f>
        <v>0</v>
      </c>
      <c r="M7" s="1011">
        <f>SUMIFS(LUONG!H:H,LUONG!$C:$C,CPQL!$D7)</f>
        <v>0</v>
      </c>
      <c r="N7" s="1011">
        <f>SUMIFS(LUONG!I:I,LUONG!$C:$C,CPQL!$D7)</f>
        <v>0</v>
      </c>
      <c r="O7" s="1011">
        <f>SUMIFS(LUONG!J:J,LUONG!$C:$C,CPQL!$D7)</f>
        <v>2800000</v>
      </c>
      <c r="P7" s="1011">
        <f>SUMIFS(LUONG!K:K,LUONG!$C:$C,CPQL!$D7)</f>
        <v>0</v>
      </c>
      <c r="Q7" s="1011">
        <f>SUMIFS(LUONG!L:L,LUONG!$C:$C,CPQL!$D7)</f>
        <v>0</v>
      </c>
      <c r="R7" s="1011">
        <f>SUMIFS(LUONG!M:M,LUONG!$C:$C,CPQL!$D7)</f>
        <v>0</v>
      </c>
      <c r="S7" s="1011">
        <f>SUMIFS(LUONG!N:N,LUONG!$C:$C,CPQL!$D7)</f>
        <v>1400000</v>
      </c>
      <c r="T7" s="1011">
        <f>SUMIFS(LUONG!O:O,LUONG!$C:$C,CPQL!$D7)</f>
        <v>0</v>
      </c>
      <c r="U7" s="1011">
        <f>SUMIFS(LUONG!P:P,LUONG!$C:$C,CPQL!$D7)</f>
        <v>0</v>
      </c>
      <c r="V7" s="1011">
        <f>SUMIFS(LUONG!Q:Q,LUONG!$C:$C,CPQL!$D7)</f>
        <v>0</v>
      </c>
      <c r="W7" s="1012">
        <f t="shared" si="0"/>
        <v>5600000</v>
      </c>
      <c r="Y7" s="1011">
        <v>13652835</v>
      </c>
      <c r="Z7" s="1011">
        <v>13652835</v>
      </c>
      <c r="AA7" s="1011">
        <v>11736185</v>
      </c>
      <c r="AB7" s="1011">
        <v>13729501</v>
      </c>
      <c r="AC7" s="1011">
        <v>11736185</v>
      </c>
      <c r="AD7" s="1011">
        <v>13439873</v>
      </c>
      <c r="AE7" s="1011">
        <v>14283199</v>
      </c>
      <c r="AF7" s="1011">
        <v>14283199</v>
      </c>
      <c r="AG7" s="1011">
        <v>12383416</v>
      </c>
      <c r="AH7" s="1011">
        <v>17368687.842321347</v>
      </c>
      <c r="AI7" s="1011">
        <v>17368687.842321347</v>
      </c>
      <c r="AJ7" s="1011">
        <v>17368687.842321347</v>
      </c>
      <c r="AK7" s="1012">
        <f t="shared" si="1"/>
        <v>171003291.52696401</v>
      </c>
      <c r="AM7" s="1012">
        <v>78295387</v>
      </c>
      <c r="AO7" s="1385">
        <v>111750000</v>
      </c>
      <c r="AQ7" s="1011">
        <f t="shared" si="2"/>
        <v>-165403291.52696401</v>
      </c>
      <c r="AR7" s="1013">
        <f t="shared" si="3"/>
        <v>-0.96725209234281329</v>
      </c>
      <c r="AT7" s="1200"/>
      <c r="AU7" s="1200"/>
    </row>
    <row r="8" spans="2:47" x14ac:dyDescent="0.35">
      <c r="B8" s="589">
        <v>4</v>
      </c>
      <c r="C8" s="589"/>
      <c r="D8" s="981">
        <v>6421002806</v>
      </c>
      <c r="E8" s="1247" t="s">
        <v>584</v>
      </c>
      <c r="F8" s="638" t="s">
        <v>574</v>
      </c>
      <c r="G8" s="1247" t="s">
        <v>472</v>
      </c>
      <c r="H8" s="638" t="s">
        <v>521</v>
      </c>
      <c r="I8" s="578" t="s">
        <v>612</v>
      </c>
      <c r="J8" s="1010">
        <f>W8/'4.Doanh thu'!$R$60</f>
        <v>2.8835209349960841E-3</v>
      </c>
      <c r="K8" s="1011">
        <f>SUMIFS(LUONG!F:F,LUONG!$C:$C,CPQL!$D8)</f>
        <v>23931782</v>
      </c>
      <c r="L8" s="1011">
        <f>SUMIFS(LUONG!G:G,LUONG!$C:$C,CPQL!$D8)</f>
        <v>23931782</v>
      </c>
      <c r="M8" s="1011">
        <f>SUMIFS(LUONG!H:H,LUONG!$C:$C,CPQL!$D8)</f>
        <v>23931782</v>
      </c>
      <c r="N8" s="1011">
        <f>SUMIFS(LUONG!I:I,LUONG!$C:$C,CPQL!$D8)</f>
        <v>23931782</v>
      </c>
      <c r="O8" s="1011">
        <f>SUMIFS(LUONG!J:J,LUONG!$C:$C,CPQL!$D8)</f>
        <v>23931782</v>
      </c>
      <c r="P8" s="1011">
        <f>SUMIFS(LUONG!K:K,LUONG!$C:$C,CPQL!$D8)</f>
        <v>23931782</v>
      </c>
      <c r="Q8" s="1011">
        <f>SUMIFS(LUONG!L:L,LUONG!$C:$C,CPQL!$D8)</f>
        <v>23931782</v>
      </c>
      <c r="R8" s="1011">
        <f>SUMIFS(LUONG!M:M,LUONG!$C:$C,CPQL!$D8)</f>
        <v>23931782</v>
      </c>
      <c r="S8" s="1011">
        <f>SUMIFS(LUONG!N:N,LUONG!$C:$C,CPQL!$D8)</f>
        <v>23931782</v>
      </c>
      <c r="T8" s="1011">
        <f>SUMIFS(LUONG!O:O,LUONG!$C:$C,CPQL!$D8)</f>
        <v>23931782</v>
      </c>
      <c r="U8" s="1011">
        <f>SUMIFS(LUONG!P:P,LUONG!$C:$C,CPQL!$D8)</f>
        <v>23931782</v>
      </c>
      <c r="V8" s="1011">
        <f>SUMIFS(LUONG!Q:Q,LUONG!$C:$C,CPQL!$D8)</f>
        <v>23931782</v>
      </c>
      <c r="W8" s="1012">
        <f t="shared" si="0"/>
        <v>287181384</v>
      </c>
      <c r="Y8" s="1011"/>
      <c r="Z8" s="1011"/>
      <c r="AA8" s="1011"/>
      <c r="AB8" s="1011"/>
      <c r="AC8" s="1011"/>
      <c r="AD8" s="1011"/>
      <c r="AE8" s="1011"/>
      <c r="AF8" s="1011"/>
      <c r="AG8" s="1011"/>
      <c r="AH8" s="1011"/>
      <c r="AI8" s="1011"/>
      <c r="AJ8" s="1011"/>
      <c r="AK8" s="1012">
        <f t="shared" si="1"/>
        <v>0</v>
      </c>
      <c r="AM8" s="1012"/>
      <c r="AO8" s="1385"/>
      <c r="AQ8" s="1011">
        <f t="shared" si="2"/>
        <v>287181384</v>
      </c>
      <c r="AR8" s="1013">
        <f t="shared" si="3"/>
        <v>0</v>
      </c>
      <c r="AT8" s="1200"/>
      <c r="AU8" s="1200"/>
    </row>
    <row r="9" spans="2:47" ht="25" x14ac:dyDescent="0.35">
      <c r="B9" s="589">
        <v>5</v>
      </c>
      <c r="C9" s="589"/>
      <c r="D9" s="981">
        <v>6421007202</v>
      </c>
      <c r="E9" s="626" t="s">
        <v>431</v>
      </c>
      <c r="F9" s="638" t="s">
        <v>570</v>
      </c>
      <c r="G9" s="626" t="s">
        <v>431</v>
      </c>
      <c r="H9" s="638" t="s">
        <v>521</v>
      </c>
      <c r="I9" s="578" t="s">
        <v>612</v>
      </c>
      <c r="J9" s="1010">
        <f>W9/'4.Doanh thu'!$R$60</f>
        <v>3.8656947205654958E-4</v>
      </c>
      <c r="K9" s="1011">
        <f>SUMIFS(LUONG!F:F,LUONG!$C:$C,CPQL!$D9)</f>
        <v>0</v>
      </c>
      <c r="L9" s="1011">
        <f>SUMIFS(LUONG!G:G,LUONG!$C:$C,CPQL!$D9)</f>
        <v>38500000</v>
      </c>
      <c r="M9" s="1011">
        <f>SUMIFS(LUONG!H:H,LUONG!$C:$C,CPQL!$D9)</f>
        <v>0</v>
      </c>
      <c r="N9" s="1011">
        <f>SUMIFS(LUONG!I:I,LUONG!$C:$C,CPQL!$D9)</f>
        <v>0</v>
      </c>
      <c r="O9" s="1011">
        <f>SUMIFS(LUONG!J:J,LUONG!$C:$C,CPQL!$D9)</f>
        <v>0</v>
      </c>
      <c r="P9" s="1011">
        <f>SUMIFS(LUONG!K:K,LUONG!$C:$C,CPQL!$D9)</f>
        <v>0</v>
      </c>
      <c r="Q9" s="1011">
        <f>SUMIFS(LUONG!L:L,LUONG!$C:$C,CPQL!$D9)</f>
        <v>0</v>
      </c>
      <c r="R9" s="1011">
        <f>SUMIFS(LUONG!M:M,LUONG!$C:$C,CPQL!$D9)</f>
        <v>0</v>
      </c>
      <c r="S9" s="1011">
        <f>SUMIFS(LUONG!N:N,LUONG!$C:$C,CPQL!$D9)</f>
        <v>0</v>
      </c>
      <c r="T9" s="1011">
        <f>SUMIFS(LUONG!O:O,LUONG!$C:$C,CPQL!$D9)</f>
        <v>0</v>
      </c>
      <c r="U9" s="1011">
        <f>SUMIFS(LUONG!P:P,LUONG!$C:$C,CPQL!$D9)</f>
        <v>0</v>
      </c>
      <c r="V9" s="1011">
        <f>SUMIFS(LUONG!Q:Q,LUONG!$C:$C,CPQL!$D9)</f>
        <v>0</v>
      </c>
      <c r="W9" s="1012">
        <f t="shared" si="0"/>
        <v>38500000</v>
      </c>
      <c r="Y9" s="1011"/>
      <c r="Z9" s="1011"/>
      <c r="AA9" s="1011"/>
      <c r="AB9" s="1011"/>
      <c r="AC9" s="1011"/>
      <c r="AD9" s="1011"/>
      <c r="AE9" s="1011"/>
      <c r="AF9" s="1011"/>
      <c r="AG9" s="1011"/>
      <c r="AH9" s="1011"/>
      <c r="AI9" s="1011"/>
      <c r="AJ9" s="1011"/>
      <c r="AK9" s="1012">
        <f t="shared" si="1"/>
        <v>0</v>
      </c>
      <c r="AM9" s="1012"/>
      <c r="AO9" s="1385">
        <v>58000000</v>
      </c>
      <c r="AQ9" s="1011">
        <f t="shared" si="2"/>
        <v>38500000</v>
      </c>
      <c r="AR9" s="1013">
        <f t="shared" si="3"/>
        <v>0</v>
      </c>
      <c r="AT9" s="1200"/>
      <c r="AU9" s="1200"/>
    </row>
    <row r="10" spans="2:47" x14ac:dyDescent="0.35">
      <c r="B10" s="589">
        <v>6</v>
      </c>
      <c r="C10" s="589"/>
      <c r="D10" s="981">
        <v>6421003202</v>
      </c>
      <c r="E10" s="1247" t="s">
        <v>467</v>
      </c>
      <c r="F10" s="638" t="s">
        <v>570</v>
      </c>
      <c r="G10" s="1247" t="s">
        <v>467</v>
      </c>
      <c r="H10" s="638" t="s">
        <v>521</v>
      </c>
      <c r="I10" s="578" t="s">
        <v>612</v>
      </c>
      <c r="J10" s="1010">
        <f>W10/'4.Doanh thu'!$R$60</f>
        <v>6.7923770508263547E-4</v>
      </c>
      <c r="K10" s="1011">
        <f>SUMIFS(LUONG!F:F,LUONG!$C:$C,CPQL!$D10)</f>
        <v>5600000</v>
      </c>
      <c r="L10" s="1011">
        <f>SUMIFS(LUONG!G:G,LUONG!$C:$C,CPQL!$D10)</f>
        <v>4928000</v>
      </c>
      <c r="M10" s="1011">
        <f>SUMIFS(LUONG!H:H,LUONG!$C:$C,CPQL!$D10)</f>
        <v>5376000</v>
      </c>
      <c r="N10" s="1011">
        <f>SUMIFS(LUONG!I:I,LUONG!$C:$C,CPQL!$D10)</f>
        <v>6048000</v>
      </c>
      <c r="O10" s="1011">
        <f>SUMIFS(LUONG!J:J,LUONG!$C:$C,CPQL!$D10)</f>
        <v>4928000</v>
      </c>
      <c r="P10" s="1011">
        <f>SUMIFS(LUONG!K:K,LUONG!$C:$C,CPQL!$D10)</f>
        <v>6048000</v>
      </c>
      <c r="Q10" s="1011">
        <f>SUMIFS(LUONG!L:L,LUONG!$C:$C,CPQL!$D10)</f>
        <v>5824000</v>
      </c>
      <c r="R10" s="1011">
        <f>SUMIFS(LUONG!M:M,LUONG!$C:$C,CPQL!$D10)</f>
        <v>5824000</v>
      </c>
      <c r="S10" s="1011">
        <f>SUMIFS(LUONG!N:N,LUONG!$C:$C,CPQL!$D10)</f>
        <v>5600000</v>
      </c>
      <c r="T10" s="1011">
        <f>SUMIFS(LUONG!O:O,LUONG!$C:$C,CPQL!$D10)</f>
        <v>5600000</v>
      </c>
      <c r="U10" s="1011">
        <f>SUMIFS(LUONG!P:P,LUONG!$C:$C,CPQL!$D10)</f>
        <v>6048000</v>
      </c>
      <c r="V10" s="1011">
        <f>SUMIFS(LUONG!Q:Q,LUONG!$C:$C,CPQL!$D10)</f>
        <v>5824000</v>
      </c>
      <c r="W10" s="1012">
        <f>SUM(K10:V10)</f>
        <v>67648000</v>
      </c>
      <c r="Y10" s="1011">
        <v>2800000</v>
      </c>
      <c r="Z10" s="1011">
        <v>1900000</v>
      </c>
      <c r="AA10" s="1011">
        <v>2875000</v>
      </c>
      <c r="AB10" s="1011">
        <v>2975000</v>
      </c>
      <c r="AC10" s="1011">
        <v>2782500</v>
      </c>
      <c r="AD10" s="1011">
        <v>3648750</v>
      </c>
      <c r="AE10" s="1011">
        <v>5439160</v>
      </c>
      <c r="AF10" s="1011">
        <v>4632157</v>
      </c>
      <c r="AG10" s="1011">
        <v>4130560</v>
      </c>
      <c r="AH10" s="1011">
        <v>4632157</v>
      </c>
      <c r="AI10" s="1011">
        <v>4632157</v>
      </c>
      <c r="AJ10" s="1011">
        <v>4632157</v>
      </c>
      <c r="AK10" s="1012">
        <f t="shared" si="1"/>
        <v>45079598</v>
      </c>
      <c r="AM10" s="1012">
        <v>15800000</v>
      </c>
      <c r="AO10" s="1385"/>
      <c r="AQ10" s="1011">
        <f t="shared" si="2"/>
        <v>22568402</v>
      </c>
      <c r="AR10" s="1013">
        <f t="shared" si="3"/>
        <v>0.50063449989061581</v>
      </c>
      <c r="AT10" s="1200"/>
      <c r="AU10" s="1200"/>
    </row>
    <row r="11" spans="2:47" hidden="1" x14ac:dyDescent="0.35">
      <c r="B11" s="589">
        <v>7</v>
      </c>
      <c r="C11" s="589"/>
      <c r="D11" s="981">
        <v>6421002603</v>
      </c>
      <c r="E11" s="626" t="s">
        <v>466</v>
      </c>
      <c r="F11" s="638" t="s">
        <v>574</v>
      </c>
      <c r="G11" s="626" t="s">
        <v>466</v>
      </c>
      <c r="H11" s="638" t="s">
        <v>521</v>
      </c>
      <c r="I11" s="578" t="s">
        <v>612</v>
      </c>
      <c r="J11" s="1010">
        <f>W11/'4.Doanh thu'!$R$60</f>
        <v>0</v>
      </c>
      <c r="K11" s="1011">
        <f>SUMIFS(LUONG!F:F,LUONG!$C:$C,CPQL!$D11)</f>
        <v>0</v>
      </c>
      <c r="L11" s="1011">
        <f>SUMIFS(LUONG!G:G,LUONG!$C:$C,CPQL!$D11)</f>
        <v>0</v>
      </c>
      <c r="M11" s="1011">
        <f>SUMIFS(LUONG!H:H,LUONG!$C:$C,CPQL!$D11)</f>
        <v>0</v>
      </c>
      <c r="N11" s="1011">
        <f>SUMIFS(LUONG!I:I,LUONG!$C:$C,CPQL!$D11)</f>
        <v>0</v>
      </c>
      <c r="O11" s="1011">
        <f>SUMIFS(LUONG!J:J,LUONG!$C:$C,CPQL!$D11)</f>
        <v>0</v>
      </c>
      <c r="P11" s="1011">
        <f>SUMIFS(LUONG!K:K,LUONG!$C:$C,CPQL!$D11)</f>
        <v>0</v>
      </c>
      <c r="Q11" s="1011">
        <f>SUMIFS(LUONG!L:L,LUONG!$C:$C,CPQL!$D11)</f>
        <v>0</v>
      </c>
      <c r="R11" s="1011">
        <f>SUMIFS(LUONG!M:M,LUONG!$C:$C,CPQL!$D11)</f>
        <v>0</v>
      </c>
      <c r="S11" s="1011">
        <f>SUMIFS(LUONG!N:N,LUONG!$C:$C,CPQL!$D11)</f>
        <v>0</v>
      </c>
      <c r="T11" s="1011">
        <f>SUMIFS(LUONG!O:O,LUONG!$C:$C,CPQL!$D11)</f>
        <v>0</v>
      </c>
      <c r="U11" s="1011">
        <f>SUMIFS(LUONG!P:P,LUONG!$C:$C,CPQL!$D11)</f>
        <v>0</v>
      </c>
      <c r="V11" s="1011">
        <f>SUMIFS(LUONG!Q:Q,LUONG!$C:$C,CPQL!$D11)</f>
        <v>0</v>
      </c>
      <c r="W11" s="1012">
        <f t="shared" si="0"/>
        <v>0</v>
      </c>
      <c r="Y11" s="1011"/>
      <c r="Z11" s="1011"/>
      <c r="AA11" s="1011"/>
      <c r="AB11" s="1011"/>
      <c r="AC11" s="1011"/>
      <c r="AD11" s="1011"/>
      <c r="AE11" s="1011"/>
      <c r="AF11" s="1011"/>
      <c r="AG11" s="1011"/>
      <c r="AH11" s="1011"/>
      <c r="AI11" s="1011"/>
      <c r="AJ11" s="1011"/>
      <c r="AK11" s="1012">
        <f t="shared" si="1"/>
        <v>0</v>
      </c>
      <c r="AM11" s="1012"/>
      <c r="AO11" s="1385"/>
      <c r="AQ11" s="1011">
        <f t="shared" si="2"/>
        <v>0</v>
      </c>
      <c r="AR11" s="1013">
        <f t="shared" si="3"/>
        <v>0</v>
      </c>
      <c r="AT11" s="1200"/>
      <c r="AU11" s="1200"/>
    </row>
    <row r="12" spans="2:47" ht="25" x14ac:dyDescent="0.35">
      <c r="B12" s="589">
        <v>8</v>
      </c>
      <c r="C12" s="589"/>
      <c r="D12" s="981">
        <v>6421003401</v>
      </c>
      <c r="E12" s="1247" t="s">
        <v>463</v>
      </c>
      <c r="F12" s="638" t="s">
        <v>570</v>
      </c>
      <c r="G12" s="1247" t="s">
        <v>463</v>
      </c>
      <c r="H12" s="638" t="s">
        <v>521</v>
      </c>
      <c r="I12" s="578" t="s">
        <v>612</v>
      </c>
      <c r="J12" s="1010">
        <f>W12/'4.Doanh thu'!$R$60</f>
        <v>5.2299520453039337E-3</v>
      </c>
      <c r="K12" s="1011">
        <f>SUMIFS(LUONG!F:F,LUONG!$C:$C,CPQL!$D12)</f>
        <v>43405987</v>
      </c>
      <c r="L12" s="1011">
        <f>SUMIFS(LUONG!G:G,LUONG!$C:$C,CPQL!$D12)</f>
        <v>43405987</v>
      </c>
      <c r="M12" s="1011">
        <f>SUMIFS(LUONG!H:H,LUONG!$C:$C,CPQL!$D12)</f>
        <v>43405987</v>
      </c>
      <c r="N12" s="1011">
        <f>SUMIFS(LUONG!I:I,LUONG!$C:$C,CPQL!$D12)</f>
        <v>43405987</v>
      </c>
      <c r="O12" s="1011">
        <f>SUMIFS(LUONG!J:J,LUONG!$C:$C,CPQL!$D12)</f>
        <v>43405987</v>
      </c>
      <c r="P12" s="1011">
        <f>SUMIFS(LUONG!K:K,LUONG!$C:$C,CPQL!$D12)</f>
        <v>43405987</v>
      </c>
      <c r="Q12" s="1011">
        <f>SUMIFS(LUONG!L:L,LUONG!$C:$C,CPQL!$D12)</f>
        <v>43405987</v>
      </c>
      <c r="R12" s="1011">
        <f>SUMIFS(LUONG!M:M,LUONG!$C:$C,CPQL!$D12)</f>
        <v>43405987</v>
      </c>
      <c r="S12" s="1011">
        <f>SUMIFS(LUONG!N:N,LUONG!$C:$C,CPQL!$D12)</f>
        <v>43405987</v>
      </c>
      <c r="T12" s="1011">
        <f>SUMIFS(LUONG!O:O,LUONG!$C:$C,CPQL!$D12)</f>
        <v>43405987</v>
      </c>
      <c r="U12" s="1011">
        <f>SUMIFS(LUONG!P:P,LUONG!$C:$C,CPQL!$D12)</f>
        <v>43405987</v>
      </c>
      <c r="V12" s="1011">
        <f>SUMIFS(LUONG!Q:Q,LUONG!$C:$C,CPQL!$D12)</f>
        <v>43405987</v>
      </c>
      <c r="W12" s="1012">
        <f>SUM(K12:V12)</f>
        <v>520871844</v>
      </c>
      <c r="Y12" s="1011">
        <v>21723540</v>
      </c>
      <c r="Z12" s="1011">
        <v>25957130</v>
      </c>
      <c r="AA12" s="1011">
        <v>25831130</v>
      </c>
      <c r="AB12" s="1011">
        <v>24270130</v>
      </c>
      <c r="AC12" s="1011">
        <v>24770130</v>
      </c>
      <c r="AD12" s="1011">
        <v>24770130</v>
      </c>
      <c r="AE12" s="1011">
        <v>23377430</v>
      </c>
      <c r="AF12" s="1011">
        <v>23377430</v>
      </c>
      <c r="AG12" s="1011">
        <v>23377430</v>
      </c>
      <c r="AH12" s="1011">
        <v>29242510.476190448</v>
      </c>
      <c r="AI12" s="1011">
        <v>29242510.476190448</v>
      </c>
      <c r="AJ12" s="1011">
        <v>29242510.476190448</v>
      </c>
      <c r="AK12" s="1012">
        <f t="shared" si="1"/>
        <v>305182011.42857134</v>
      </c>
      <c r="AM12" s="1012">
        <v>191037000</v>
      </c>
      <c r="AO12" s="1385">
        <v>146390901</v>
      </c>
      <c r="AQ12" s="1011">
        <f t="shared" si="2"/>
        <v>215689832.57142866</v>
      </c>
      <c r="AR12" s="1013">
        <f t="shared" si="3"/>
        <v>0.70675801487045198</v>
      </c>
      <c r="AT12" s="1200"/>
      <c r="AU12" s="1200"/>
    </row>
    <row r="13" spans="2:47" hidden="1" x14ac:dyDescent="0.35">
      <c r="B13" s="589">
        <v>9</v>
      </c>
      <c r="C13" s="589"/>
      <c r="D13" s="981">
        <v>6421002703</v>
      </c>
      <c r="E13" s="626" t="s">
        <v>464</v>
      </c>
      <c r="F13" s="638" t="s">
        <v>574</v>
      </c>
      <c r="G13" s="626" t="s">
        <v>464</v>
      </c>
      <c r="H13" s="638" t="s">
        <v>521</v>
      </c>
      <c r="I13" s="578" t="s">
        <v>612</v>
      </c>
      <c r="J13" s="1010">
        <f>W13/'4.Doanh thu'!$R$60</f>
        <v>0</v>
      </c>
      <c r="K13" s="1011">
        <f>SUMIFS(LUONG!F:F,LUONG!$C:$C,CPQL!$D13)</f>
        <v>0</v>
      </c>
      <c r="L13" s="1011">
        <f>SUMIFS(LUONG!G:G,LUONG!$C:$C,CPQL!$D13)</f>
        <v>0</v>
      </c>
      <c r="M13" s="1011">
        <f>SUMIFS(LUONG!H:H,LUONG!$C:$C,CPQL!$D13)</f>
        <v>0</v>
      </c>
      <c r="N13" s="1011">
        <f>SUMIFS(LUONG!I:I,LUONG!$C:$C,CPQL!$D13)</f>
        <v>0</v>
      </c>
      <c r="O13" s="1011">
        <f>SUMIFS(LUONG!J:J,LUONG!$C:$C,CPQL!$D13)</f>
        <v>0</v>
      </c>
      <c r="P13" s="1011">
        <f>SUMIFS(LUONG!K:K,LUONG!$C:$C,CPQL!$D13)</f>
        <v>0</v>
      </c>
      <c r="Q13" s="1011">
        <f>SUMIFS(LUONG!L:L,LUONG!$C:$C,CPQL!$D13)</f>
        <v>0</v>
      </c>
      <c r="R13" s="1011">
        <f>SUMIFS(LUONG!M:M,LUONG!$C:$C,CPQL!$D13)</f>
        <v>0</v>
      </c>
      <c r="S13" s="1011">
        <f>SUMIFS(LUONG!N:N,LUONG!$C:$C,CPQL!$D13)</f>
        <v>0</v>
      </c>
      <c r="T13" s="1011">
        <f>SUMIFS(LUONG!O:O,LUONG!$C:$C,CPQL!$D13)</f>
        <v>0</v>
      </c>
      <c r="U13" s="1011">
        <f>SUMIFS(LUONG!P:P,LUONG!$C:$C,CPQL!$D13)</f>
        <v>0</v>
      </c>
      <c r="V13" s="1011">
        <f>SUMIFS(LUONG!Q:Q,LUONG!$C:$C,CPQL!$D13)</f>
        <v>0</v>
      </c>
      <c r="W13" s="1012">
        <f t="shared" si="0"/>
        <v>0</v>
      </c>
      <c r="Y13" s="1011"/>
      <c r="Z13" s="1011"/>
      <c r="AA13" s="1011"/>
      <c r="AB13" s="1011"/>
      <c r="AC13" s="1011"/>
      <c r="AD13" s="1011"/>
      <c r="AE13" s="1011"/>
      <c r="AF13" s="1011"/>
      <c r="AG13" s="1011"/>
      <c r="AH13" s="1011"/>
      <c r="AI13" s="1011"/>
      <c r="AJ13" s="1011"/>
      <c r="AK13" s="1012">
        <f t="shared" si="1"/>
        <v>0</v>
      </c>
      <c r="AM13" s="1012"/>
      <c r="AO13" s="1385"/>
      <c r="AQ13" s="1011">
        <f t="shared" si="2"/>
        <v>0</v>
      </c>
      <c r="AR13" s="1013">
        <f t="shared" si="3"/>
        <v>0</v>
      </c>
      <c r="AT13" s="1200"/>
      <c r="AU13" s="1200"/>
    </row>
    <row r="14" spans="2:47" hidden="1" x14ac:dyDescent="0.35">
      <c r="B14" s="589">
        <v>10</v>
      </c>
      <c r="C14" s="589"/>
      <c r="D14" s="981" t="s">
        <v>1429</v>
      </c>
      <c r="E14" s="626" t="s">
        <v>855</v>
      </c>
      <c r="F14" s="638" t="s">
        <v>811</v>
      </c>
      <c r="G14" s="626" t="s">
        <v>855</v>
      </c>
      <c r="H14" s="638" t="s">
        <v>521</v>
      </c>
      <c r="I14" s="578" t="s">
        <v>623</v>
      </c>
      <c r="J14" s="1010">
        <f>W14/'4.Doanh thu'!$R$60</f>
        <v>0</v>
      </c>
      <c r="K14" s="1011"/>
      <c r="L14" s="1011"/>
      <c r="M14" s="1011"/>
      <c r="N14" s="1011"/>
      <c r="O14" s="1011"/>
      <c r="P14" s="1011"/>
      <c r="Q14" s="1011"/>
      <c r="R14" s="1011"/>
      <c r="S14" s="1011"/>
      <c r="T14" s="1011"/>
      <c r="U14" s="1011"/>
      <c r="V14" s="1011"/>
      <c r="W14" s="1012">
        <f t="shared" si="0"/>
        <v>0</v>
      </c>
      <c r="Y14" s="1011"/>
      <c r="Z14" s="1011"/>
      <c r="AA14" s="1011"/>
      <c r="AB14" s="1011"/>
      <c r="AC14" s="1011"/>
      <c r="AD14" s="1011"/>
      <c r="AE14" s="1011"/>
      <c r="AF14" s="1011"/>
      <c r="AG14" s="1011"/>
      <c r="AH14" s="1011"/>
      <c r="AI14" s="1011"/>
      <c r="AJ14" s="1011"/>
      <c r="AK14" s="1012">
        <f t="shared" si="1"/>
        <v>0</v>
      </c>
      <c r="AM14" s="1012"/>
      <c r="AO14" s="1386"/>
      <c r="AQ14" s="1011">
        <f t="shared" si="2"/>
        <v>0</v>
      </c>
      <c r="AR14" s="1013">
        <f t="shared" si="3"/>
        <v>0</v>
      </c>
      <c r="AT14" s="1197"/>
    </row>
    <row r="15" spans="2:47" x14ac:dyDescent="0.35">
      <c r="B15" s="589">
        <v>11</v>
      </c>
      <c r="C15" s="589"/>
      <c r="D15" s="981">
        <v>6421003001</v>
      </c>
      <c r="E15" s="626" t="s">
        <v>430</v>
      </c>
      <c r="F15" s="638" t="s">
        <v>570</v>
      </c>
      <c r="G15" s="1248" t="s">
        <v>430</v>
      </c>
      <c r="H15" s="638" t="s">
        <v>521</v>
      </c>
      <c r="I15" s="578" t="s">
        <v>622</v>
      </c>
      <c r="J15" s="1010">
        <f ca="1">W15/'4.Doanh thu'!$R$60</f>
        <v>8.0272908006506416E-5</v>
      </c>
      <c r="K15" s="1011">
        <f ca="1">SUMIF(PB_CPTT!$Z$9:$AQ$101,CPQL!$D$15,PB_CPTT!AF9:AF101)</f>
        <v>666225</v>
      </c>
      <c r="L15" s="1011">
        <f ca="1">SUMIF(PB_CPTT!$Z$9:$AQ$101,CPQL!$D$15,PB_CPTT!AG9:AG101)</f>
        <v>666225</v>
      </c>
      <c r="M15" s="1011">
        <f ca="1">SUMIF(PB_CPTT!$Z$9:$AQ$101,CPQL!$D$15,PB_CPTT!AH9:AH101)</f>
        <v>666225</v>
      </c>
      <c r="N15" s="1011">
        <f ca="1">SUMIF(PB_CPTT!$Z$9:$AQ$101,CPQL!$D$15,PB_CPTT!AI9:AI101)</f>
        <v>666225</v>
      </c>
      <c r="O15" s="1011">
        <f ca="1">SUMIF(PB_CPTT!$Z$9:$AQ$101,CPQL!$D$15,PB_CPTT!AJ9:AJ101)</f>
        <v>666225</v>
      </c>
      <c r="P15" s="1011">
        <f ca="1">SUMIF(PB_CPTT!$Z$9:$AQ$101,CPQL!$D$15,PB_CPTT!AK9:AK101)</f>
        <v>666225</v>
      </c>
      <c r="Q15" s="1011">
        <f ca="1">SUMIF(PB_CPTT!$Z$9:$AQ$101,CPQL!$D$15,PB_CPTT!AL9:AL101)</f>
        <v>666225</v>
      </c>
      <c r="R15" s="1011">
        <f ca="1">SUMIF(PB_CPTT!$Z$9:$AQ$101,CPQL!$D$15,PB_CPTT!AM9:AM101)</f>
        <v>666225</v>
      </c>
      <c r="S15" s="1011">
        <f ca="1">SUMIF(PB_CPTT!$Z$9:$AQ$101,CPQL!$D$15,PB_CPTT!AN9:AN101)</f>
        <v>666225</v>
      </c>
      <c r="T15" s="1011">
        <f ca="1">SUMIF(PB_CPTT!$Z$9:$AQ$101,CPQL!$D$15,PB_CPTT!AO9:AO101)</f>
        <v>666225</v>
      </c>
      <c r="U15" s="1011">
        <f ca="1">SUMIF(PB_CPTT!$Z$9:$AQ$101,CPQL!$D$15,PB_CPTT!AP9:AP101)</f>
        <v>666225</v>
      </c>
      <c r="V15" s="1011">
        <f ca="1">SUMIF(PB_CPTT!$Z$9:$AQ$101,CPQL!$D$15,PB_CPTT!AQ9:AQ101)</f>
        <v>666225</v>
      </c>
      <c r="W15" s="1012">
        <f t="shared" ca="1" si="0"/>
        <v>7994700</v>
      </c>
      <c r="Y15" s="1011"/>
      <c r="Z15" s="1011"/>
      <c r="AA15" s="1011"/>
      <c r="AB15" s="1011"/>
      <c r="AC15" s="1011"/>
      <c r="AD15" s="1011"/>
      <c r="AE15" s="1011"/>
      <c r="AF15" s="1011"/>
      <c r="AG15" s="1011"/>
      <c r="AH15" s="1011"/>
      <c r="AI15" s="1011"/>
      <c r="AJ15" s="1011"/>
      <c r="AK15" s="1012">
        <f t="shared" si="1"/>
        <v>0</v>
      </c>
      <c r="AM15" s="1012">
        <v>3931247</v>
      </c>
      <c r="AO15" s="1386"/>
      <c r="AQ15" s="1011">
        <f t="shared" ca="1" si="2"/>
        <v>7994700</v>
      </c>
      <c r="AR15" s="1013">
        <f t="shared" ca="1" si="3"/>
        <v>0</v>
      </c>
    </row>
    <row r="16" spans="2:47" x14ac:dyDescent="0.35">
      <c r="B16" s="589">
        <v>12</v>
      </c>
      <c r="C16" s="589"/>
      <c r="D16" s="981">
        <v>6427003101</v>
      </c>
      <c r="E16" s="626" t="s">
        <v>441</v>
      </c>
      <c r="F16" s="638" t="s">
        <v>570</v>
      </c>
      <c r="G16" s="1249" t="str">
        <f>E16</f>
        <v>Chi phí y tế, BH sức khỏe</v>
      </c>
      <c r="H16" s="638" t="s">
        <v>521</v>
      </c>
      <c r="I16" s="578" t="s">
        <v>622</v>
      </c>
      <c r="J16" s="1010">
        <f ca="1">W16/'4.Doanh thu'!$R$60</f>
        <v>3.0096259965459762E-4</v>
      </c>
      <c r="K16" s="1011">
        <f ca="1">SUMIF(PB_CPTT!$Z$9:$AQ$101,CPQL!$D$16,PB_CPTT!AF9:AF101)</f>
        <v>2982856.5125000002</v>
      </c>
      <c r="L16" s="1011">
        <f ca="1">SUMIF(PB_CPTT!$Z$9:$AQ$101,CPQL!$D$16,PB_CPTT!AG9:AG101)</f>
        <v>2982856.5125000002</v>
      </c>
      <c r="M16" s="1011">
        <f ca="1">SUMIF(PB_CPTT!$Z$9:$AQ$101,CPQL!$D$16,PB_CPTT!AH9:AH101)</f>
        <v>2982856.5125000002</v>
      </c>
      <c r="N16" s="1011">
        <f ca="1">SUMIF(PB_CPTT!$Z$9:$AQ$101,CPQL!$D$16,PB_CPTT!AI9:AI101)</f>
        <v>2982856.5125000002</v>
      </c>
      <c r="O16" s="1011">
        <f ca="1">SUMIF(PB_CPTT!$Z$9:$AQ$101,CPQL!$D$16,PB_CPTT!AJ9:AJ101)</f>
        <v>2982856.5125000002</v>
      </c>
      <c r="P16" s="1011">
        <f ca="1">SUMIF(PB_CPTT!$Z$9:$AQ$101,CPQL!$D$16,PB_CPTT!AK9:AK101)</f>
        <v>2982856.5125000002</v>
      </c>
      <c r="Q16" s="1011">
        <f ca="1">SUMIF(PB_CPTT!$Z$9:$AQ$101,CPQL!$D$16,PB_CPTT!AL9:AL101)</f>
        <v>2982856.5125000002</v>
      </c>
      <c r="R16" s="1011">
        <f ca="1">SUMIF(PB_CPTT!$Z$9:$AQ$101,CPQL!$D$16,PB_CPTT!AM9:AM101)</f>
        <v>2982855.5125000002</v>
      </c>
      <c r="S16" s="1011">
        <f ca="1">SUMIF(PB_CPTT!$Z$9:$AQ$101,CPQL!$D$16,PB_CPTT!AN9:AN101)</f>
        <v>1527804.5125000002</v>
      </c>
      <c r="T16" s="1011">
        <f ca="1">SUMIF(PB_CPTT!$Z$9:$AQ$101,CPQL!$D$16,PB_CPTT!AO9:AO101)</f>
        <v>1527804.5125000002</v>
      </c>
      <c r="U16" s="1011">
        <f ca="1">SUMIF(PB_CPTT!$Z$9:$AQ$101,CPQL!$D$16,PB_CPTT!AP9:AP101)</f>
        <v>1527804.5125000002</v>
      </c>
      <c r="V16" s="1011">
        <f ca="1">SUMIF(PB_CPTT!$Z$9:$AQ$101,CPQL!$D$16,PB_CPTT!AQ9:AQ101)</f>
        <v>1527804.5125000002</v>
      </c>
      <c r="W16" s="1012">
        <f t="shared" ca="1" si="0"/>
        <v>29974069.149999995</v>
      </c>
      <c r="Y16" s="1011">
        <v>649328</v>
      </c>
      <c r="Z16" s="1011">
        <v>649328</v>
      </c>
      <c r="AA16" s="1011">
        <v>649328</v>
      </c>
      <c r="AB16" s="1011">
        <v>415996</v>
      </c>
      <c r="AC16" s="1011">
        <v>415995</v>
      </c>
      <c r="AD16" s="1011">
        <v>415995</v>
      </c>
      <c r="AE16" s="1011">
        <v>415995</v>
      </c>
      <c r="AF16" s="1011">
        <v>415995</v>
      </c>
      <c r="AG16" s="1011">
        <v>1871046</v>
      </c>
      <c r="AH16" s="1011">
        <v>1455052</v>
      </c>
      <c r="AI16" s="1011">
        <v>1455052</v>
      </c>
      <c r="AJ16" s="1011">
        <v>1455052</v>
      </c>
      <c r="AK16" s="1012">
        <f t="shared" si="1"/>
        <v>10264162</v>
      </c>
      <c r="AM16" s="1012">
        <v>2667573</v>
      </c>
      <c r="AO16" s="1386">
        <f>5093815</f>
        <v>5093815</v>
      </c>
      <c r="AQ16" s="1011">
        <f t="shared" ca="1" si="2"/>
        <v>19709907.149999995</v>
      </c>
      <c r="AR16" s="1013">
        <f t="shared" ca="1" si="3"/>
        <v>1.9202646207259777</v>
      </c>
    </row>
    <row r="17" spans="2:44" ht="26" hidden="1" x14ac:dyDescent="0.35">
      <c r="B17" s="589">
        <v>13</v>
      </c>
      <c r="C17" s="589"/>
      <c r="D17" s="981">
        <v>6422003502</v>
      </c>
      <c r="E17" s="626" t="s">
        <v>450</v>
      </c>
      <c r="F17" s="638" t="s">
        <v>599</v>
      </c>
      <c r="G17" s="1249" t="str">
        <f>E17</f>
        <v>Chi phí xăng dầu xe du lịch, xe gắn máy, xe nâng</v>
      </c>
      <c r="H17" s="638" t="s">
        <v>521</v>
      </c>
      <c r="I17" s="578" t="s">
        <v>623</v>
      </c>
      <c r="J17" s="1010">
        <f>W17/'4.Doanh thu'!$R$60</f>
        <v>0</v>
      </c>
      <c r="K17" s="1011"/>
      <c r="L17" s="1011"/>
      <c r="M17" s="1011"/>
      <c r="N17" s="1011"/>
      <c r="O17" s="1011"/>
      <c r="P17" s="1011"/>
      <c r="Q17" s="1011"/>
      <c r="R17" s="1011"/>
      <c r="S17" s="1011"/>
      <c r="T17" s="1011"/>
      <c r="U17" s="1011"/>
      <c r="V17" s="1011"/>
      <c r="W17" s="1012">
        <f t="shared" si="0"/>
        <v>0</v>
      </c>
      <c r="Y17" s="1011"/>
      <c r="Z17" s="1011"/>
      <c r="AA17" s="1011"/>
      <c r="AB17" s="1011"/>
      <c r="AC17" s="1011"/>
      <c r="AD17" s="1011"/>
      <c r="AE17" s="1011"/>
      <c r="AF17" s="1011"/>
      <c r="AG17" s="1011"/>
      <c r="AH17" s="1011"/>
      <c r="AI17" s="1011"/>
      <c r="AJ17" s="1011"/>
      <c r="AK17" s="1012">
        <f t="shared" si="1"/>
        <v>0</v>
      </c>
      <c r="AM17" s="1012"/>
      <c r="AO17" s="1012"/>
      <c r="AQ17" s="1011">
        <f t="shared" si="2"/>
        <v>0</v>
      </c>
      <c r="AR17" s="1013">
        <f t="shared" si="3"/>
        <v>0</v>
      </c>
    </row>
    <row r="18" spans="2:44" x14ac:dyDescent="0.35">
      <c r="B18" s="589">
        <v>14</v>
      </c>
      <c r="C18" s="589"/>
      <c r="D18" s="981">
        <v>6423003002</v>
      </c>
      <c r="E18" s="626" t="s">
        <v>449</v>
      </c>
      <c r="F18" s="638" t="s">
        <v>580</v>
      </c>
      <c r="G18" s="1249" t="str">
        <f t="shared" ref="G18:G19" si="4">E18</f>
        <v>Chi phí đồ BHLĐ</v>
      </c>
      <c r="H18" s="638" t="s">
        <v>521</v>
      </c>
      <c r="I18" s="578" t="s">
        <v>622</v>
      </c>
      <c r="J18" s="1010">
        <f ca="1">W18/'4.Doanh thu'!$R$60</f>
        <v>2.4068830563197697E-4</v>
      </c>
      <c r="K18" s="1011">
        <f ca="1">SUMIF(PB_CPTT!$Z$9:$AQ$103,CPQL!$D$18,PB_CPTT!AF9:AF103)</f>
        <v>1997592.5925925924</v>
      </c>
      <c r="L18" s="1011">
        <f ca="1">SUMIF(PB_CPTT!$Z$9:$AQ$103,CPQL!$D$18,PB_CPTT!AG9:AG103)</f>
        <v>1997592.5925925924</v>
      </c>
      <c r="M18" s="1011">
        <f ca="1">SUMIF(PB_CPTT!$Z$9:$AQ$103,CPQL!$D$18,PB_CPTT!AH9:AH103)</f>
        <v>1997592.5925925924</v>
      </c>
      <c r="N18" s="1011">
        <f ca="1">SUMIF(PB_CPTT!$Z$9:$AQ$103,CPQL!$D$18,PB_CPTT!AI9:AI103)</f>
        <v>1997592.5925925924</v>
      </c>
      <c r="O18" s="1011">
        <f ca="1">SUMIF(PB_CPTT!$Z$9:$AQ$103,CPQL!$D$18,PB_CPTT!AJ9:AJ103)</f>
        <v>1997592.5925925924</v>
      </c>
      <c r="P18" s="1011">
        <f ca="1">SUMIF(PB_CPTT!$Z$9:$AQ$103,CPQL!$D$18,PB_CPTT!AK9:AK103)</f>
        <v>1997592.5925925924</v>
      </c>
      <c r="Q18" s="1011">
        <f ca="1">SUMIF(PB_CPTT!$Z$9:$AQ$103,CPQL!$D$18,PB_CPTT!AL9:AL103)</f>
        <v>1997592.5925925924</v>
      </c>
      <c r="R18" s="1011">
        <f ca="1">SUMIF(PB_CPTT!$Z$9:$AQ$103,CPQL!$D$18,PB_CPTT!AM9:AM103)</f>
        <v>1997592.5925925924</v>
      </c>
      <c r="S18" s="1011">
        <f ca="1">SUMIF(PB_CPTT!$Z$9:$AQ$103,CPQL!$D$18,PB_CPTT!AN9:AN103)</f>
        <v>1997592.5925925924</v>
      </c>
      <c r="T18" s="1011">
        <f ca="1">SUMIF(PB_CPTT!$Z$9:$AQ$103,CPQL!$D$18,PB_CPTT!AO9:AO103)</f>
        <v>1997592.5925925924</v>
      </c>
      <c r="U18" s="1011">
        <f ca="1">SUMIF(PB_CPTT!$Z$9:$AQ$103,CPQL!$D$18,PB_CPTT!AP9:AP103)</f>
        <v>1997592.5925925924</v>
      </c>
      <c r="V18" s="1011">
        <f ca="1">SUMIF(PB_CPTT!$Z$9:$AQ$103,CPQL!$D$18,PB_CPTT!AQ9:AQ103)</f>
        <v>1997592.5925925924</v>
      </c>
      <c r="W18" s="1012">
        <f t="shared" ca="1" si="0"/>
        <v>23971111.111111116</v>
      </c>
      <c r="Y18" s="1011">
        <v>0</v>
      </c>
      <c r="Z18" s="1011">
        <v>0</v>
      </c>
      <c r="AA18" s="1011">
        <v>1625000</v>
      </c>
      <c r="AB18" s="1011">
        <v>1625000</v>
      </c>
      <c r="AC18" s="1011">
        <v>1625000</v>
      </c>
      <c r="AD18" s="1011">
        <v>0</v>
      </c>
      <c r="AE18" s="1011">
        <v>0</v>
      </c>
      <c r="AF18" s="1011">
        <v>0</v>
      </c>
      <c r="AG18" s="1011">
        <v>0</v>
      </c>
      <c r="AH18" s="1011">
        <v>0</v>
      </c>
      <c r="AI18" s="1011">
        <v>0</v>
      </c>
      <c r="AJ18" s="1011">
        <v>0</v>
      </c>
      <c r="AK18" s="1012">
        <f t="shared" si="1"/>
        <v>4875000</v>
      </c>
      <c r="AM18" s="1012">
        <v>207750</v>
      </c>
      <c r="AO18" s="1387"/>
      <c r="AQ18" s="1011">
        <f t="shared" ca="1" si="2"/>
        <v>19096111.111111116</v>
      </c>
      <c r="AR18" s="1013">
        <f t="shared" ca="1" si="3"/>
        <v>3.9171509971509977</v>
      </c>
    </row>
    <row r="19" spans="2:44" ht="26" x14ac:dyDescent="0.35">
      <c r="B19" s="589">
        <v>15</v>
      </c>
      <c r="C19" s="589"/>
      <c r="D19" s="981">
        <v>6423002402</v>
      </c>
      <c r="E19" s="626" t="s">
        <v>436</v>
      </c>
      <c r="F19" s="638" t="s">
        <v>580</v>
      </c>
      <c r="G19" s="1249" t="str">
        <f t="shared" si="4"/>
        <v>Chi phí CCDC, thiết bị - Phục vụ quản lý</v>
      </c>
      <c r="H19" s="638" t="s">
        <v>521</v>
      </c>
      <c r="I19" s="578" t="s">
        <v>623</v>
      </c>
      <c r="J19" s="1010">
        <f ca="1">W19/'4.Doanh thu'!$R$60</f>
        <v>4.7408370651511815E-4</v>
      </c>
      <c r="K19" s="1011">
        <f ca="1">SUMIF(PB_CPTT!$Z$9:$AQ$103,CPQL!$D$19,PB_CPTT!AF9:AF103)</f>
        <v>6566102.222222222</v>
      </c>
      <c r="L19" s="1011">
        <f ca="1">SUMIF(PB_CPTT!$Z$9:$AQ$103,CPQL!$D$19,PB_CPTT!AG9:AG103)</f>
        <v>4566102.222222222</v>
      </c>
      <c r="M19" s="1011">
        <f ca="1">SUMIF(PB_CPTT!$Z$9:$AQ$103,CPQL!$D$19,PB_CPTT!AH9:AH103)</f>
        <v>4566102.222222222</v>
      </c>
      <c r="N19" s="1011">
        <f ca="1">SUMIF(PB_CPTT!$Z$9:$AQ$103,CPQL!$D$19,PB_CPTT!AI9:AI103)</f>
        <v>5904819.222222222</v>
      </c>
      <c r="O19" s="1011">
        <f ca="1">SUMIF(PB_CPTT!$Z$9:$AQ$103,CPQL!$D$19,PB_CPTT!AJ9:AJ103)</f>
        <v>3607211.222222222</v>
      </c>
      <c r="P19" s="1011">
        <f ca="1">SUMIF(PB_CPTT!$Z$9:$AQ$103,CPQL!$D$19,PB_CPTT!AK9:AK103)</f>
        <v>2572222.222222222</v>
      </c>
      <c r="Q19" s="1011">
        <f ca="1">SUMIF(PB_CPTT!$Z$9:$AQ$103,CPQL!$D$19,PB_CPTT!AL9:AL103)</f>
        <v>4572222.222222222</v>
      </c>
      <c r="R19" s="1011">
        <f ca="1">SUMIF(PB_CPTT!$Z$9:$AQ$103,CPQL!$D$19,PB_CPTT!AM9:AM103)</f>
        <v>2572222.222222222</v>
      </c>
      <c r="S19" s="1011">
        <f ca="1">SUMIF(PB_CPTT!$Z$9:$AQ$103,CPQL!$D$19,PB_CPTT!AN9:AN103)</f>
        <v>2572222.222222222</v>
      </c>
      <c r="T19" s="1011">
        <f ca="1">SUMIF(PB_CPTT!$Z$9:$AQ$103,CPQL!$D$19,PB_CPTT!AO9:AO103)</f>
        <v>4572222.222222222</v>
      </c>
      <c r="U19" s="1011">
        <f ca="1">SUMIF(PB_CPTT!$Z$9:$AQ$103,CPQL!$D$19,PB_CPTT!AP9:AP103)</f>
        <v>2572222.222222222</v>
      </c>
      <c r="V19" s="1011">
        <f ca="1">SUMIF(PB_CPTT!$Z$9:$AQ$103,CPQL!$D$19,PB_CPTT!AQ9:AQ103)</f>
        <v>2572222.222222222</v>
      </c>
      <c r="W19" s="1012">
        <f t="shared" ca="1" si="0"/>
        <v>47215892.666666679</v>
      </c>
      <c r="Y19" s="1011">
        <f>3925925+2010000</f>
        <v>5935925</v>
      </c>
      <c r="Z19" s="1011">
        <v>3925925</v>
      </c>
      <c r="AA19" s="1011">
        <v>3617216</v>
      </c>
      <c r="AB19" s="1011">
        <v>3617213</v>
      </c>
      <c r="AC19" s="1011">
        <f>3617211+408182</f>
        <v>4025393</v>
      </c>
      <c r="AD19" s="1011">
        <f>4235547+750000+2946000</f>
        <v>7931547</v>
      </c>
      <c r="AE19" s="1011">
        <f>4235547+270000</f>
        <v>4505547</v>
      </c>
      <c r="AF19" s="1011">
        <v>4235547</v>
      </c>
      <c r="AG19" s="1011">
        <v>3322210</v>
      </c>
      <c r="AH19" s="1011">
        <v>1993880</v>
      </c>
      <c r="AI19" s="1011">
        <v>1993880</v>
      </c>
      <c r="AJ19" s="1011">
        <v>1993880</v>
      </c>
      <c r="AK19" s="1012">
        <f t="shared" si="1"/>
        <v>47098163</v>
      </c>
      <c r="AM19" s="1012">
        <f>23266093+3239000</f>
        <v>26505093</v>
      </c>
      <c r="AO19" s="1387">
        <f>10229124+1365000</f>
        <v>11594124</v>
      </c>
      <c r="AQ19" s="1011">
        <f t="shared" ca="1" si="2"/>
        <v>117729.66666667908</v>
      </c>
      <c r="AR19" s="1013">
        <f t="shared" ca="1" si="3"/>
        <v>2.4996657866822591E-3</v>
      </c>
    </row>
    <row r="20" spans="2:44" x14ac:dyDescent="0.35">
      <c r="B20" s="589">
        <v>16</v>
      </c>
      <c r="C20" s="589"/>
      <c r="D20" s="981">
        <v>6423005101</v>
      </c>
      <c r="E20" s="626" t="s">
        <v>91</v>
      </c>
      <c r="F20" s="638" t="s">
        <v>572</v>
      </c>
      <c r="G20" s="1249" t="s">
        <v>91</v>
      </c>
      <c r="H20" s="638" t="s">
        <v>521</v>
      </c>
      <c r="I20" s="578" t="s">
        <v>623</v>
      </c>
      <c r="J20" s="1010">
        <f>W20/'4.Doanh thu'!$R$60</f>
        <v>8.7914068016145574E-4</v>
      </c>
      <c r="K20" s="1011">
        <v>8611353.0749999993</v>
      </c>
      <c r="L20" s="1011">
        <v>6948103.0750000002</v>
      </c>
      <c r="M20" s="1011">
        <v>6770203.0750000002</v>
      </c>
      <c r="N20" s="1011">
        <v>7460303.0750000002</v>
      </c>
      <c r="O20" s="1011">
        <v>6680203.0750000002</v>
      </c>
      <c r="P20" s="1011">
        <v>7892353.0750000002</v>
      </c>
      <c r="Q20" s="1011">
        <v>6810703.0750000002</v>
      </c>
      <c r="R20" s="1011">
        <v>7369703.0750000002</v>
      </c>
      <c r="S20" s="1011">
        <v>6837403.0750000002</v>
      </c>
      <c r="T20" s="1011">
        <v>6929303.0750000002</v>
      </c>
      <c r="U20" s="1011">
        <v>6782003.0750000002</v>
      </c>
      <c r="V20" s="1011">
        <v>8465503.0749999993</v>
      </c>
      <c r="W20" s="1012">
        <f t="shared" si="0"/>
        <v>87557136.900000021</v>
      </c>
      <c r="Y20" s="1011">
        <v>2023944</v>
      </c>
      <c r="Z20" s="1011">
        <v>4457950</v>
      </c>
      <c r="AA20" s="1011">
        <v>6062344</v>
      </c>
      <c r="AB20" s="1011">
        <v>4586500</v>
      </c>
      <c r="AC20" s="1011">
        <v>5092216</v>
      </c>
      <c r="AD20" s="1011">
        <v>2417500</v>
      </c>
      <c r="AE20" s="1011">
        <v>11167698</v>
      </c>
      <c r="AF20" s="1011">
        <v>7910868</v>
      </c>
      <c r="AG20" s="1011">
        <v>5428820</v>
      </c>
      <c r="AH20" s="1011">
        <v>5460871</v>
      </c>
      <c r="AI20" s="1011">
        <v>5460871</v>
      </c>
      <c r="AJ20" s="1011">
        <v>5460871</v>
      </c>
      <c r="AK20" s="1012">
        <f t="shared" si="1"/>
        <v>65530453</v>
      </c>
      <c r="AM20" s="1012">
        <f>27191462+645000</f>
        <v>27836462</v>
      </c>
      <c r="AO20" s="1387">
        <v>22406346</v>
      </c>
      <c r="AQ20" s="1011">
        <f t="shared" si="2"/>
        <v>22026683.900000021</v>
      </c>
      <c r="AR20" s="1013">
        <f t="shared" si="3"/>
        <v>0.33612897350183157</v>
      </c>
    </row>
    <row r="21" spans="2:44" hidden="1" x14ac:dyDescent="0.35">
      <c r="B21" s="589">
        <v>17</v>
      </c>
      <c r="C21" s="589"/>
      <c r="D21" s="981">
        <v>6423006501</v>
      </c>
      <c r="E21" s="626" t="s">
        <v>473</v>
      </c>
      <c r="F21" s="638" t="s">
        <v>579</v>
      </c>
      <c r="G21" s="1249" t="s">
        <v>90</v>
      </c>
      <c r="H21" s="578" t="s">
        <v>518</v>
      </c>
      <c r="I21" s="578" t="s">
        <v>622</v>
      </c>
      <c r="J21" s="1010">
        <f ca="1">W21/'4.Doanh thu'!$R$60</f>
        <v>0</v>
      </c>
      <c r="K21" s="1011">
        <f ca="1">SUMIF(PB_CPTT!$Z$9:$AQ$103,CPQL!$D$21,PB_CPTT!AF9:AF103)</f>
        <v>0</v>
      </c>
      <c r="L21" s="1011">
        <f ca="1">SUMIF(PB_CPTT!$Z$9:$AQ$103,CPQL!$D$21,PB_CPTT!AG9:AG103)</f>
        <v>0</v>
      </c>
      <c r="M21" s="1011">
        <f ca="1">SUMIF(PB_CPTT!$Z$9:$AQ$103,CPQL!$D$21,PB_CPTT!AH9:AH103)</f>
        <v>0</v>
      </c>
      <c r="N21" s="1011">
        <f ca="1">SUMIF(PB_CPTT!$Z$9:$AQ$103,CPQL!$D$21,PB_CPTT!AI9:AI103)</f>
        <v>0</v>
      </c>
      <c r="O21" s="1011">
        <f ca="1">SUMIF(PB_CPTT!$Z$9:$AQ$103,CPQL!$D$21,PB_CPTT!AJ9:AJ103)</f>
        <v>0</v>
      </c>
      <c r="P21" s="1011">
        <f ca="1">SUMIF(PB_CPTT!$Z$9:$AQ$103,CPQL!$D$21,PB_CPTT!AK9:AK103)</f>
        <v>0</v>
      </c>
      <c r="Q21" s="1011">
        <f ca="1">SUMIF(PB_CPTT!$Z$9:$AQ$103,CPQL!$D$21,PB_CPTT!AL9:AL103)</f>
        <v>0</v>
      </c>
      <c r="R21" s="1011">
        <f ca="1">SUMIF(PB_CPTT!$Z$9:$AQ$103,CPQL!$D$21,PB_CPTT!AM9:AM103)</f>
        <v>0</v>
      </c>
      <c r="S21" s="1011">
        <f ca="1">SUMIF(PB_CPTT!$Z$9:$AQ$103,CPQL!$D$21,PB_CPTT!AN9:AN103)</f>
        <v>0</v>
      </c>
      <c r="T21" s="1011">
        <f ca="1">SUMIF(PB_CPTT!$Z$9:$AQ$103,CPQL!$D$21,PB_CPTT!AO9:AO103)</f>
        <v>0</v>
      </c>
      <c r="U21" s="1011">
        <f ca="1">SUMIF(PB_CPTT!$Z$9:$AQ$103,CPQL!$D$21,PB_CPTT!AP9:AP103)</f>
        <v>0</v>
      </c>
      <c r="V21" s="1011">
        <f ca="1">SUMIF(PB_CPTT!$Z$9:$AQ$103,CPQL!$D$21,PB_CPTT!AQ9:AQ103)</f>
        <v>0</v>
      </c>
      <c r="W21" s="1012">
        <f t="shared" ca="1" si="0"/>
        <v>0</v>
      </c>
      <c r="Y21" s="1011">
        <v>0</v>
      </c>
      <c r="Z21" s="1011"/>
      <c r="AA21" s="1011"/>
      <c r="AB21" s="1011"/>
      <c r="AC21" s="1011"/>
      <c r="AD21" s="1011"/>
      <c r="AE21" s="1011"/>
      <c r="AF21" s="1011"/>
      <c r="AG21" s="1011"/>
      <c r="AH21" s="1011"/>
      <c r="AI21" s="1011"/>
      <c r="AJ21" s="1011"/>
      <c r="AK21" s="1012">
        <f t="shared" si="1"/>
        <v>0</v>
      </c>
      <c r="AM21" s="1012"/>
      <c r="AO21" s="1387"/>
      <c r="AQ21" s="1011">
        <f t="shared" ca="1" si="2"/>
        <v>0</v>
      </c>
      <c r="AR21" s="1013">
        <f t="shared" ca="1" si="3"/>
        <v>0</v>
      </c>
    </row>
    <row r="22" spans="2:44" ht="26" x14ac:dyDescent="0.35">
      <c r="B22" s="589">
        <v>18</v>
      </c>
      <c r="C22" s="589"/>
      <c r="D22" s="981">
        <v>6425006101</v>
      </c>
      <c r="E22" s="626" t="s">
        <v>494</v>
      </c>
      <c r="F22" s="638" t="s">
        <v>588</v>
      </c>
      <c r="G22" s="1249" t="str">
        <f>E22</f>
        <v>Chi phí công chứng, sao y, thuế khác</v>
      </c>
      <c r="H22" s="578" t="s">
        <v>522</v>
      </c>
      <c r="I22" s="578" t="s">
        <v>623</v>
      </c>
      <c r="J22" s="1010">
        <f>W22/'4.Doanh thu'!$R$60</f>
        <v>3.0122296523886981E-5</v>
      </c>
      <c r="K22" s="1011">
        <v>3000000</v>
      </c>
      <c r="L22" s="1011"/>
      <c r="M22" s="1011"/>
      <c r="N22" s="1011"/>
      <c r="O22" s="1011"/>
      <c r="P22" s="1011"/>
      <c r="Q22" s="1011"/>
      <c r="R22" s="1011"/>
      <c r="S22" s="1011"/>
      <c r="T22" s="1011"/>
      <c r="U22" s="1011"/>
      <c r="V22" s="1011"/>
      <c r="W22" s="1012">
        <f t="shared" si="0"/>
        <v>3000000</v>
      </c>
      <c r="Y22" s="1011">
        <v>3000000</v>
      </c>
      <c r="Z22" s="1011">
        <v>0</v>
      </c>
      <c r="AA22" s="1011">
        <v>0</v>
      </c>
      <c r="AB22" s="1011">
        <v>0</v>
      </c>
      <c r="AC22" s="1011">
        <v>0</v>
      </c>
      <c r="AD22" s="1011">
        <v>0</v>
      </c>
      <c r="AE22" s="1011">
        <v>0</v>
      </c>
      <c r="AF22" s="1011">
        <v>0</v>
      </c>
      <c r="AG22" s="1011"/>
      <c r="AH22" s="1011"/>
      <c r="AI22" s="1011"/>
      <c r="AJ22" s="1011"/>
      <c r="AK22" s="1012">
        <f t="shared" si="1"/>
        <v>3000000</v>
      </c>
      <c r="AM22" s="1012">
        <v>3000000</v>
      </c>
      <c r="AO22" s="1387">
        <v>3000000</v>
      </c>
      <c r="AQ22" s="1011">
        <f t="shared" si="2"/>
        <v>0</v>
      </c>
      <c r="AR22" s="1013">
        <f t="shared" si="3"/>
        <v>0</v>
      </c>
    </row>
    <row r="23" spans="2:44" x14ac:dyDescent="0.35">
      <c r="B23" s="589">
        <v>19</v>
      </c>
      <c r="C23" s="589"/>
      <c r="D23" s="981">
        <v>6426007001</v>
      </c>
      <c r="E23" s="626" t="s">
        <v>493</v>
      </c>
      <c r="F23" s="638" t="s">
        <v>589</v>
      </c>
      <c r="G23" s="1249" t="str">
        <f>E23</f>
        <v>Dự phòng nợ khó đòi</v>
      </c>
      <c r="H23" s="578" t="s">
        <v>522</v>
      </c>
      <c r="I23" s="578" t="s">
        <v>623</v>
      </c>
      <c r="J23" s="1010">
        <f>W23/'4.Doanh thu'!$R$60</f>
        <v>7.8124880012852183E-4</v>
      </c>
      <c r="K23" s="1011">
        <f>77807693/12</f>
        <v>6483974.416666667</v>
      </c>
      <c r="L23" s="1011">
        <f t="shared" ref="L23:V23" si="5">77807693/12</f>
        <v>6483974.416666667</v>
      </c>
      <c r="M23" s="1011">
        <f t="shared" si="5"/>
        <v>6483974.416666667</v>
      </c>
      <c r="N23" s="1011">
        <f t="shared" si="5"/>
        <v>6483974.416666667</v>
      </c>
      <c r="O23" s="1011">
        <f t="shared" si="5"/>
        <v>6483974.416666667</v>
      </c>
      <c r="P23" s="1011">
        <f t="shared" si="5"/>
        <v>6483974.416666667</v>
      </c>
      <c r="Q23" s="1011">
        <f t="shared" si="5"/>
        <v>6483974.416666667</v>
      </c>
      <c r="R23" s="1011">
        <f t="shared" si="5"/>
        <v>6483974.416666667</v>
      </c>
      <c r="S23" s="1011">
        <f t="shared" si="5"/>
        <v>6483974.416666667</v>
      </c>
      <c r="T23" s="1011">
        <f t="shared" si="5"/>
        <v>6483974.416666667</v>
      </c>
      <c r="U23" s="1011">
        <f t="shared" si="5"/>
        <v>6483974.416666667</v>
      </c>
      <c r="V23" s="1011">
        <f t="shared" si="5"/>
        <v>6483974.416666667</v>
      </c>
      <c r="W23" s="1012">
        <f t="shared" si="0"/>
        <v>77807693</v>
      </c>
      <c r="Y23" s="1011"/>
      <c r="Z23" s="1011"/>
      <c r="AA23" s="1011"/>
      <c r="AB23" s="1011"/>
      <c r="AC23" s="1011"/>
      <c r="AD23" s="1011"/>
      <c r="AE23" s="1011"/>
      <c r="AF23" s="1011"/>
      <c r="AG23" s="1011"/>
      <c r="AH23" s="1011"/>
      <c r="AI23" s="1011"/>
      <c r="AJ23" s="1011"/>
      <c r="AK23" s="1012">
        <f t="shared" si="1"/>
        <v>0</v>
      </c>
      <c r="AM23" s="1012"/>
      <c r="AO23" s="1387"/>
      <c r="AQ23" s="1011">
        <f t="shared" si="2"/>
        <v>77807693</v>
      </c>
      <c r="AR23" s="1013">
        <f t="shared" si="3"/>
        <v>0</v>
      </c>
    </row>
    <row r="24" spans="2:44" hidden="1" x14ac:dyDescent="0.35">
      <c r="B24" s="589">
        <v>20</v>
      </c>
      <c r="C24" s="589"/>
      <c r="D24" s="981">
        <v>6427001802</v>
      </c>
      <c r="E24" s="626" t="s">
        <v>453</v>
      </c>
      <c r="F24" s="638" t="s">
        <v>573</v>
      </c>
      <c r="G24" s="1249" t="s">
        <v>97</v>
      </c>
      <c r="H24" s="578" t="s">
        <v>518</v>
      </c>
      <c r="I24" s="578" t="s">
        <v>623</v>
      </c>
      <c r="J24" s="1010">
        <f>W24/'4.Doanh thu'!$R$60</f>
        <v>0</v>
      </c>
      <c r="K24" s="1011"/>
      <c r="L24" s="1011"/>
      <c r="M24" s="1011"/>
      <c r="N24" s="1011"/>
      <c r="O24" s="1011"/>
      <c r="P24" s="1011"/>
      <c r="Q24" s="1011"/>
      <c r="R24" s="1011"/>
      <c r="S24" s="1011"/>
      <c r="T24" s="1011"/>
      <c r="U24" s="1011"/>
      <c r="V24" s="1011"/>
      <c r="W24" s="1012">
        <f t="shared" si="0"/>
        <v>0</v>
      </c>
      <c r="Y24" s="1011"/>
      <c r="Z24" s="1011"/>
      <c r="AA24" s="1011"/>
      <c r="AB24" s="1011"/>
      <c r="AC24" s="1011"/>
      <c r="AD24" s="1011"/>
      <c r="AE24" s="1011"/>
      <c r="AF24" s="1011"/>
      <c r="AG24" s="1011"/>
      <c r="AH24" s="1011"/>
      <c r="AI24" s="1011"/>
      <c r="AJ24" s="1011"/>
      <c r="AK24" s="1012">
        <f t="shared" si="1"/>
        <v>0</v>
      </c>
      <c r="AM24" s="1012"/>
      <c r="AO24" s="1387"/>
      <c r="AQ24" s="1011">
        <f t="shared" si="2"/>
        <v>0</v>
      </c>
      <c r="AR24" s="1013">
        <f t="shared" si="3"/>
        <v>0</v>
      </c>
    </row>
    <row r="25" spans="2:44" ht="26" x14ac:dyDescent="0.35">
      <c r="B25" s="589">
        <v>21</v>
      </c>
      <c r="C25" s="589"/>
      <c r="D25" s="981">
        <v>6427002001</v>
      </c>
      <c r="E25" s="626" t="s">
        <v>447</v>
      </c>
      <c r="F25" s="638" t="s">
        <v>579</v>
      </c>
      <c r="G25" s="1249" t="str">
        <f>E25</f>
        <v>Chi phí xây dựng, sửa chữa nhà xưởng, văn phòng</v>
      </c>
      <c r="H25" s="578" t="s">
        <v>514</v>
      </c>
      <c r="I25" s="578" t="s">
        <v>622</v>
      </c>
      <c r="J25" s="1010">
        <f ca="1">W25/'4.Doanh thu'!$R$60</f>
        <v>3.892135871638854E-4</v>
      </c>
      <c r="K25" s="1011">
        <f ca="1">SUMIF(PB_CPTT!$Z$9:$AQ$103,CPQL!$D$25,PB_CPTT!AF9:AF103)</f>
        <v>3574862</v>
      </c>
      <c r="L25" s="1011">
        <f ca="1">SUMIF(PB_CPTT!$Z$9:$AQ$103,CPQL!$D$25,PB_CPTT!AG9:AG103)</f>
        <v>3574862</v>
      </c>
      <c r="M25" s="1011">
        <f ca="1">SUMIF(PB_CPTT!$Z$9:$AQ$103,CPQL!$D$25,PB_CPTT!AH9:AH103)</f>
        <v>3574862</v>
      </c>
      <c r="N25" s="1011">
        <f ca="1">SUMIF(PB_CPTT!$Z$9:$AQ$103,CPQL!$D$25,PB_CPTT!AI9:AI103)</f>
        <v>3574862</v>
      </c>
      <c r="O25" s="1011">
        <f ca="1">SUMIF(PB_CPTT!$Z$9:$AQ$103,CPQL!$D$25,PB_CPTT!AJ9:AJ103)</f>
        <v>3574862</v>
      </c>
      <c r="P25" s="1011">
        <f ca="1">SUMIF(PB_CPTT!$Z$9:$AQ$103,CPQL!$D$25,PB_CPTT!AK9:AK103)</f>
        <v>3574858</v>
      </c>
      <c r="Q25" s="1011">
        <f ca="1">SUMIF(PB_CPTT!$Z$9:$AQ$103,CPQL!$D$25,PB_CPTT!AL9:AL103)</f>
        <v>2885695</v>
      </c>
      <c r="R25" s="1011">
        <f ca="1">SUMIF(PB_CPTT!$Z$9:$AQ$103,CPQL!$D$25,PB_CPTT!AM9:AM103)</f>
        <v>2885695</v>
      </c>
      <c r="S25" s="1011">
        <f ca="1">SUMIF(PB_CPTT!$Z$9:$AQ$103,CPQL!$D$25,PB_CPTT!AN9:AN103)</f>
        <v>2885695</v>
      </c>
      <c r="T25" s="1011">
        <f ca="1">SUMIF(PB_CPTT!$Z$9:$AQ$103,CPQL!$D$25,PB_CPTT!AO9:AO103)</f>
        <v>2885695</v>
      </c>
      <c r="U25" s="1011">
        <f ca="1">SUMIF(PB_CPTT!$Z$9:$AQ$103,CPQL!$D$25,PB_CPTT!AP9:AP103)</f>
        <v>2885695</v>
      </c>
      <c r="V25" s="1011">
        <f ca="1">SUMIF(PB_CPTT!$Z$9:$AQ$103,CPQL!$D$25,PB_CPTT!AQ9:AQ103)</f>
        <v>2885695</v>
      </c>
      <c r="W25" s="1012">
        <f t="shared" ca="1" si="0"/>
        <v>38763338</v>
      </c>
      <c r="Y25" s="1011"/>
      <c r="Z25" s="1011">
        <f>1359732+905000</f>
        <v>2264732</v>
      </c>
      <c r="AA25" s="1011">
        <v>1359732</v>
      </c>
      <c r="AB25" s="1011">
        <v>1359732</v>
      </c>
      <c r="AC25" s="1011">
        <v>1359732</v>
      </c>
      <c r="AD25" s="1011">
        <v>2034732</v>
      </c>
      <c r="AE25" s="1011">
        <v>2723899</v>
      </c>
      <c r="AF25" s="1011">
        <v>4928344</v>
      </c>
      <c r="AG25" s="1011">
        <v>5609594</v>
      </c>
      <c r="AH25" s="1011">
        <v>5609594</v>
      </c>
      <c r="AI25" s="1011">
        <v>5609594</v>
      </c>
      <c r="AJ25" s="1011">
        <v>3574862</v>
      </c>
      <c r="AK25" s="1012">
        <f t="shared" si="1"/>
        <v>36434547</v>
      </c>
      <c r="AM25" s="1012">
        <f>11758900+2400000+600000</f>
        <v>14758900</v>
      </c>
      <c r="AO25" s="1387">
        <f>20738117+5929364+55271955</f>
        <v>81939436</v>
      </c>
      <c r="AQ25" s="1011">
        <f t="shared" ca="1" si="2"/>
        <v>2328791</v>
      </c>
      <c r="AR25" s="1013">
        <f t="shared" ca="1" si="3"/>
        <v>6.3917111416261108E-2</v>
      </c>
    </row>
    <row r="26" spans="2:44" hidden="1" x14ac:dyDescent="0.35">
      <c r="B26" s="589">
        <v>22</v>
      </c>
      <c r="C26" s="589"/>
      <c r="D26" s="981">
        <v>6427002301</v>
      </c>
      <c r="E26" s="626" t="s">
        <v>485</v>
      </c>
      <c r="F26" s="638" t="s">
        <v>577</v>
      </c>
      <c r="G26" s="1249" t="str">
        <f>E26</f>
        <v>Chi phí bảo hiểm tài sản</v>
      </c>
      <c r="H26" s="578" t="s">
        <v>522</v>
      </c>
      <c r="I26" s="578" t="s">
        <v>622</v>
      </c>
      <c r="J26" s="1010">
        <f>W26/'4.Doanh thu'!$R$60</f>
        <v>0</v>
      </c>
      <c r="K26" s="1011"/>
      <c r="L26" s="1011"/>
      <c r="M26" s="1011"/>
      <c r="N26" s="1011"/>
      <c r="O26" s="1011"/>
      <c r="P26" s="1011"/>
      <c r="Q26" s="1011"/>
      <c r="R26" s="1011"/>
      <c r="S26" s="1011"/>
      <c r="T26" s="1011"/>
      <c r="U26" s="1011"/>
      <c r="V26" s="1011"/>
      <c r="W26" s="1012">
        <f t="shared" si="0"/>
        <v>0</v>
      </c>
      <c r="Y26" s="1011"/>
      <c r="Z26" s="1011"/>
      <c r="AA26" s="1011"/>
      <c r="AB26" s="1011"/>
      <c r="AC26" s="1011"/>
      <c r="AD26" s="1011"/>
      <c r="AE26" s="1011"/>
      <c r="AF26" s="1011"/>
      <c r="AG26" s="1011"/>
      <c r="AH26" s="1011"/>
      <c r="AI26" s="1011"/>
      <c r="AJ26" s="1011"/>
      <c r="AK26" s="1012">
        <f t="shared" si="1"/>
        <v>0</v>
      </c>
      <c r="AM26" s="1012"/>
      <c r="AO26" s="1387"/>
      <c r="AQ26" s="1011">
        <f t="shared" si="2"/>
        <v>0</v>
      </c>
      <c r="AR26" s="1013">
        <f t="shared" si="3"/>
        <v>0</v>
      </c>
    </row>
    <row r="27" spans="2:44" hidden="1" x14ac:dyDescent="0.35">
      <c r="B27" s="589">
        <v>23</v>
      </c>
      <c r="C27" s="589"/>
      <c r="D27" s="981">
        <v>6427002804</v>
      </c>
      <c r="E27" s="626" t="s">
        <v>451</v>
      </c>
      <c r="F27" s="638" t="s">
        <v>575</v>
      </c>
      <c r="G27" s="1249" t="str">
        <f>E27</f>
        <v>Tiền nước uống</v>
      </c>
      <c r="H27" s="638" t="s">
        <v>521</v>
      </c>
      <c r="I27" s="578" t="s">
        <v>623</v>
      </c>
      <c r="J27" s="1010">
        <f>W27/'4.Doanh thu'!$R$60</f>
        <v>0</v>
      </c>
      <c r="K27" s="1011"/>
      <c r="L27" s="1011"/>
      <c r="M27" s="1011"/>
      <c r="N27" s="1011"/>
      <c r="O27" s="1011"/>
      <c r="P27" s="1011"/>
      <c r="Q27" s="1011"/>
      <c r="R27" s="1011"/>
      <c r="S27" s="1011"/>
      <c r="T27" s="1011"/>
      <c r="U27" s="1011"/>
      <c r="V27" s="1011"/>
      <c r="W27" s="1012">
        <f t="shared" si="0"/>
        <v>0</v>
      </c>
      <c r="Y27" s="1011"/>
      <c r="Z27" s="1011"/>
      <c r="AA27" s="1011"/>
      <c r="AB27" s="1011"/>
      <c r="AC27" s="1011"/>
      <c r="AD27" s="1011"/>
      <c r="AE27" s="1011"/>
      <c r="AF27" s="1011"/>
      <c r="AG27" s="1011"/>
      <c r="AH27" s="1011"/>
      <c r="AI27" s="1011"/>
      <c r="AJ27" s="1011"/>
      <c r="AK27" s="1012">
        <f t="shared" si="1"/>
        <v>0</v>
      </c>
      <c r="AM27" s="1012"/>
      <c r="AO27" s="1387"/>
      <c r="AQ27" s="1011">
        <f t="shared" si="2"/>
        <v>0</v>
      </c>
      <c r="AR27" s="1013">
        <f t="shared" si="3"/>
        <v>0</v>
      </c>
    </row>
    <row r="28" spans="2:44" x14ac:dyDescent="0.35">
      <c r="B28" s="589">
        <v>24</v>
      </c>
      <c r="C28" s="589"/>
      <c r="D28" s="981">
        <v>6427003302</v>
      </c>
      <c r="E28" s="626" t="s">
        <v>446</v>
      </c>
      <c r="F28" s="638" t="s">
        <v>585</v>
      </c>
      <c r="G28" s="1249" t="str">
        <f t="shared" ref="G28:G29" si="6">E28</f>
        <v>Chi phí đào tạo</v>
      </c>
      <c r="H28" s="638" t="s">
        <v>521</v>
      </c>
      <c r="I28" s="578" t="s">
        <v>623</v>
      </c>
      <c r="J28" s="1010">
        <f>W28/'4.Doanh thu'!$R$60</f>
        <v>2.0181938671004279E-4</v>
      </c>
      <c r="K28" s="1011">
        <v>0</v>
      </c>
      <c r="L28" s="1011">
        <v>0</v>
      </c>
      <c r="M28" s="1011">
        <v>0</v>
      </c>
      <c r="N28" s="1011">
        <v>0</v>
      </c>
      <c r="O28" s="1011">
        <v>6300000</v>
      </c>
      <c r="P28" s="1011">
        <v>0</v>
      </c>
      <c r="Q28" s="1011">
        <v>2500000</v>
      </c>
      <c r="R28" s="1011">
        <v>0</v>
      </c>
      <c r="S28" s="1011">
        <v>0</v>
      </c>
      <c r="T28" s="1011">
        <v>11300000</v>
      </c>
      <c r="U28" s="1011">
        <v>0</v>
      </c>
      <c r="V28" s="1011">
        <v>0</v>
      </c>
      <c r="W28" s="1012">
        <f t="shared" si="0"/>
        <v>20100000</v>
      </c>
      <c r="Y28" s="1011"/>
      <c r="Z28" s="1011"/>
      <c r="AA28" s="1011"/>
      <c r="AB28" s="1011"/>
      <c r="AC28" s="1011">
        <v>3000000</v>
      </c>
      <c r="AD28" s="1011">
        <f>7000000+1000000</f>
        <v>8000000</v>
      </c>
      <c r="AE28" s="1011">
        <v>7650000</v>
      </c>
      <c r="AF28" s="1011"/>
      <c r="AG28" s="1011"/>
      <c r="AH28" s="1011">
        <v>5000000</v>
      </c>
      <c r="AI28" s="1011"/>
      <c r="AJ28" s="1011"/>
      <c r="AK28" s="1012">
        <f t="shared" si="1"/>
        <v>23650000</v>
      </c>
      <c r="AM28" s="1012"/>
      <c r="AO28" s="1387"/>
      <c r="AQ28" s="1011">
        <f t="shared" si="2"/>
        <v>-3550000</v>
      </c>
      <c r="AR28" s="1013">
        <f t="shared" si="3"/>
        <v>-0.15010570824524316</v>
      </c>
    </row>
    <row r="29" spans="2:44" hidden="1" x14ac:dyDescent="0.35">
      <c r="B29" s="589">
        <v>25</v>
      </c>
      <c r="C29" s="589"/>
      <c r="D29" s="981">
        <v>6427003301</v>
      </c>
      <c r="E29" s="626" t="s">
        <v>486</v>
      </c>
      <c r="F29" s="638" t="s">
        <v>586</v>
      </c>
      <c r="G29" s="1249" t="str">
        <f t="shared" si="6"/>
        <v>Chi phí tuyển dụng</v>
      </c>
      <c r="H29" s="638" t="s">
        <v>521</v>
      </c>
      <c r="I29" s="578" t="s">
        <v>623</v>
      </c>
      <c r="J29" s="1010">
        <f>W29/'4.Doanh thu'!$R$60</f>
        <v>0</v>
      </c>
      <c r="K29" s="1011"/>
      <c r="L29" s="1011"/>
      <c r="M29" s="1011"/>
      <c r="N29" s="1011"/>
      <c r="O29" s="1011"/>
      <c r="P29" s="1011"/>
      <c r="Q29" s="1011"/>
      <c r="R29" s="1011"/>
      <c r="S29" s="1011"/>
      <c r="T29" s="1011"/>
      <c r="U29" s="1011"/>
      <c r="V29" s="1011"/>
      <c r="W29" s="1012">
        <f t="shared" si="0"/>
        <v>0</v>
      </c>
      <c r="Y29" s="1011"/>
      <c r="Z29" s="1011"/>
      <c r="AA29" s="1011"/>
      <c r="AB29" s="1011"/>
      <c r="AC29" s="1011"/>
      <c r="AD29" s="1011"/>
      <c r="AE29" s="1011"/>
      <c r="AF29" s="1011"/>
      <c r="AG29" s="1011"/>
      <c r="AH29" s="1011"/>
      <c r="AI29" s="1011"/>
      <c r="AJ29" s="1011"/>
      <c r="AK29" s="1012">
        <f t="shared" si="1"/>
        <v>0</v>
      </c>
      <c r="AM29" s="1012"/>
      <c r="AO29" s="1387"/>
      <c r="AQ29" s="1011">
        <f t="shared" si="2"/>
        <v>0</v>
      </c>
      <c r="AR29" s="1013">
        <f t="shared" si="3"/>
        <v>0</v>
      </c>
    </row>
    <row r="30" spans="2:44" x14ac:dyDescent="0.35">
      <c r="B30" s="589">
        <v>26</v>
      </c>
      <c r="C30" s="589"/>
      <c r="D30" s="981">
        <v>6427003604</v>
      </c>
      <c r="E30" s="626" t="s">
        <v>491</v>
      </c>
      <c r="F30" s="638" t="s">
        <v>570</v>
      </c>
      <c r="G30" s="1249" t="s">
        <v>89</v>
      </c>
      <c r="H30" s="638" t="s">
        <v>521</v>
      </c>
      <c r="I30" s="578" t="s">
        <v>623</v>
      </c>
      <c r="J30" s="1010">
        <f>W30/'4.Doanh thu'!$R$60</f>
        <v>4.9534443172614146E-3</v>
      </c>
      <c r="K30" s="1011">
        <v>41111111.111111112</v>
      </c>
      <c r="L30" s="1011">
        <v>41111111.111111112</v>
      </c>
      <c r="M30" s="1011">
        <v>41111111.111111112</v>
      </c>
      <c r="N30" s="1011">
        <v>41111111.111111112</v>
      </c>
      <c r="O30" s="1011">
        <v>41111111.111111112</v>
      </c>
      <c r="P30" s="1011">
        <v>41111111.111111112</v>
      </c>
      <c r="Q30" s="1011">
        <v>41111111.111111112</v>
      </c>
      <c r="R30" s="1011">
        <v>41111111.111111112</v>
      </c>
      <c r="S30" s="1011">
        <v>41111111.111111112</v>
      </c>
      <c r="T30" s="1011">
        <v>41111111.111111112</v>
      </c>
      <c r="U30" s="1011">
        <v>41111111.111111112</v>
      </c>
      <c r="V30" s="1011">
        <v>41111111.111111112</v>
      </c>
      <c r="W30" s="1012">
        <f t="shared" si="0"/>
        <v>493333333.33333331</v>
      </c>
      <c r="Y30" s="1011">
        <v>0</v>
      </c>
      <c r="Z30" s="1011">
        <v>0</v>
      </c>
      <c r="AA30" s="1011">
        <v>0</v>
      </c>
      <c r="AB30" s="1011">
        <v>0</v>
      </c>
      <c r="AC30" s="1011">
        <v>0</v>
      </c>
      <c r="AD30" s="1011">
        <v>0</v>
      </c>
      <c r="AE30" s="1011">
        <v>73311500</v>
      </c>
      <c r="AF30" s="1011">
        <v>44240722</v>
      </c>
      <c r="AG30" s="1011">
        <v>37598889</v>
      </c>
      <c r="AH30" s="1011">
        <v>38810639</v>
      </c>
      <c r="AI30" s="1011">
        <v>38810639</v>
      </c>
      <c r="AJ30" s="1011">
        <v>38810639</v>
      </c>
      <c r="AK30" s="1012">
        <f t="shared" si="1"/>
        <v>271583028</v>
      </c>
      <c r="AM30" s="1012"/>
      <c r="AO30" s="1387">
        <v>32412276</v>
      </c>
      <c r="AQ30" s="1011">
        <f t="shared" si="2"/>
        <v>221750305.33333331</v>
      </c>
      <c r="AR30" s="1013">
        <f t="shared" si="3"/>
        <v>0.81651017357878963</v>
      </c>
    </row>
    <row r="31" spans="2:44" hidden="1" x14ac:dyDescent="0.35">
      <c r="B31" s="589">
        <v>27</v>
      </c>
      <c r="C31" s="589"/>
      <c r="D31" s="981">
        <v>6427003703</v>
      </c>
      <c r="E31" s="626" t="s">
        <v>490</v>
      </c>
      <c r="F31" s="638" t="s">
        <v>570</v>
      </c>
      <c r="G31" s="1249" t="str">
        <f>E31</f>
        <v>Chi phí gởi xe du lịch, xe gắn máy</v>
      </c>
      <c r="H31" s="638" t="s">
        <v>521</v>
      </c>
      <c r="I31" s="578" t="s">
        <v>623</v>
      </c>
      <c r="J31" s="1010">
        <f>W31/'4.Doanh thu'!$R$60</f>
        <v>0</v>
      </c>
      <c r="K31" s="1011"/>
      <c r="L31" s="1011"/>
      <c r="M31" s="1011"/>
      <c r="N31" s="1011"/>
      <c r="O31" s="1011"/>
      <c r="P31" s="1011"/>
      <c r="Q31" s="1011"/>
      <c r="R31" s="1011"/>
      <c r="S31" s="1011"/>
      <c r="T31" s="1011"/>
      <c r="U31" s="1011"/>
      <c r="V31" s="1011"/>
      <c r="W31" s="1012">
        <f t="shared" si="0"/>
        <v>0</v>
      </c>
      <c r="Y31" s="1011"/>
      <c r="Z31" s="1011"/>
      <c r="AA31" s="1011"/>
      <c r="AB31" s="1011"/>
      <c r="AC31" s="1011"/>
      <c r="AD31" s="1011"/>
      <c r="AE31" s="1011"/>
      <c r="AF31" s="1011"/>
      <c r="AG31" s="1011"/>
      <c r="AH31" s="1011"/>
      <c r="AI31" s="1011"/>
      <c r="AJ31" s="1011"/>
      <c r="AK31" s="1012">
        <f t="shared" si="1"/>
        <v>0</v>
      </c>
      <c r="AM31" s="1012"/>
      <c r="AO31" s="1387"/>
      <c r="AQ31" s="1011">
        <f t="shared" si="2"/>
        <v>0</v>
      </c>
      <c r="AR31" s="1013">
        <f t="shared" si="3"/>
        <v>0</v>
      </c>
    </row>
    <row r="32" spans="2:44" hidden="1" x14ac:dyDescent="0.35">
      <c r="B32" s="589">
        <v>28</v>
      </c>
      <c r="C32" s="589"/>
      <c r="D32" s="981">
        <v>6427003801</v>
      </c>
      <c r="E32" s="626" t="s">
        <v>488</v>
      </c>
      <c r="F32" s="638" t="s">
        <v>596</v>
      </c>
      <c r="G32" s="1249" t="str">
        <f>E32</f>
        <v>Phí cầu đường xe</v>
      </c>
      <c r="H32" s="638" t="s">
        <v>521</v>
      </c>
      <c r="I32" s="578" t="s">
        <v>623</v>
      </c>
      <c r="J32" s="1010">
        <f>W32/'4.Doanh thu'!$R$60</f>
        <v>0</v>
      </c>
      <c r="K32" s="1011"/>
      <c r="L32" s="1011"/>
      <c r="M32" s="1011"/>
      <c r="N32" s="1011"/>
      <c r="O32" s="1011"/>
      <c r="P32" s="1011"/>
      <c r="Q32" s="1011"/>
      <c r="R32" s="1011"/>
      <c r="S32" s="1011"/>
      <c r="T32" s="1011"/>
      <c r="U32" s="1011"/>
      <c r="V32" s="1011"/>
      <c r="W32" s="1012">
        <f t="shared" si="0"/>
        <v>0</v>
      </c>
      <c r="Y32" s="1011"/>
      <c r="Z32" s="1011"/>
      <c r="AA32" s="1011"/>
      <c r="AB32" s="1011"/>
      <c r="AC32" s="1011"/>
      <c r="AD32" s="1011"/>
      <c r="AE32" s="1011"/>
      <c r="AF32" s="1011"/>
      <c r="AG32" s="1011"/>
      <c r="AH32" s="1011"/>
      <c r="AI32" s="1011"/>
      <c r="AJ32" s="1011"/>
      <c r="AK32" s="1012">
        <f t="shared" si="1"/>
        <v>0</v>
      </c>
      <c r="AM32" s="1012"/>
      <c r="AO32" s="1387"/>
      <c r="AQ32" s="1011">
        <f t="shared" si="2"/>
        <v>0</v>
      </c>
      <c r="AR32" s="1013">
        <f t="shared" si="3"/>
        <v>0</v>
      </c>
    </row>
    <row r="33" spans="2:44" hidden="1" x14ac:dyDescent="0.35">
      <c r="B33" s="589">
        <v>29</v>
      </c>
      <c r="C33" s="589"/>
      <c r="D33" s="981">
        <v>6427003802</v>
      </c>
      <c r="E33" s="626" t="s">
        <v>489</v>
      </c>
      <c r="F33" s="638" t="s">
        <v>594</v>
      </c>
      <c r="G33" s="1249" t="str">
        <f>E33</f>
        <v>Phí đăng kiểm, kiểm định xe</v>
      </c>
      <c r="H33" s="638" t="s">
        <v>521</v>
      </c>
      <c r="I33" s="578" t="s">
        <v>622</v>
      </c>
      <c r="J33" s="1010">
        <f ca="1">W33/'4.Doanh thu'!$R$60</f>
        <v>0</v>
      </c>
      <c r="K33" s="1011">
        <f ca="1">SUMIF(PB_CPTT!$Z$9:$AQ$103,CPQL!$D$33,PB_CPTT!AF9:AF103)</f>
        <v>0</v>
      </c>
      <c r="L33" s="1011">
        <f ca="1">SUMIF(PB_CPTT!$Z$9:$AQ$103,CPQL!$D$33,PB_CPTT!AG9:AG103)</f>
        <v>0</v>
      </c>
      <c r="M33" s="1011">
        <f ca="1">SUMIF(PB_CPTT!$Z$9:$AQ$103,CPQL!$D$33,PB_CPTT!AH9:AH103)</f>
        <v>0</v>
      </c>
      <c r="N33" s="1011">
        <f ca="1">SUMIF(PB_CPTT!$Z$9:$AQ$103,CPQL!$D$33,PB_CPTT!AI9:AI103)</f>
        <v>0</v>
      </c>
      <c r="O33" s="1011">
        <f ca="1">SUMIF(PB_CPTT!$Z$9:$AQ$103,CPQL!$D$33,PB_CPTT!AJ9:AJ103)</f>
        <v>0</v>
      </c>
      <c r="P33" s="1011">
        <f ca="1">SUMIF(PB_CPTT!$Z$9:$AQ$103,CPQL!$D$33,PB_CPTT!AK9:AK103)</f>
        <v>0</v>
      </c>
      <c r="Q33" s="1011">
        <f ca="1">SUMIF(PB_CPTT!$Z$9:$AQ$103,CPQL!$D$33,PB_CPTT!AL9:AL103)</f>
        <v>0</v>
      </c>
      <c r="R33" s="1011">
        <f ca="1">SUMIF(PB_CPTT!$Z$9:$AQ$103,CPQL!$D$33,PB_CPTT!AM9:AM103)</f>
        <v>0</v>
      </c>
      <c r="S33" s="1011">
        <f ca="1">SUMIF(PB_CPTT!$Z$9:$AQ$103,CPQL!$D$33,PB_CPTT!AN9:AN103)</f>
        <v>0</v>
      </c>
      <c r="T33" s="1011">
        <f ca="1">SUMIF(PB_CPTT!$Z$9:$AQ$103,CPQL!$D$33,PB_CPTT!AO9:AO103)</f>
        <v>0</v>
      </c>
      <c r="U33" s="1011">
        <f ca="1">SUMIF(PB_CPTT!$Z$9:$AQ$103,CPQL!$D$33,PB_CPTT!AP9:AP103)</f>
        <v>0</v>
      </c>
      <c r="V33" s="1011">
        <f ca="1">SUMIF(PB_CPTT!$Z$9:$AQ$103,CPQL!$D$33,PB_CPTT!AQ9:AQ103)</f>
        <v>0</v>
      </c>
      <c r="W33" s="1012">
        <f t="shared" ca="1" si="0"/>
        <v>0</v>
      </c>
      <c r="Y33" s="1011"/>
      <c r="Z33" s="1011"/>
      <c r="AA33" s="1011"/>
      <c r="AB33" s="1011"/>
      <c r="AC33" s="1011"/>
      <c r="AD33" s="1011"/>
      <c r="AE33" s="1011"/>
      <c r="AF33" s="1011"/>
      <c r="AG33" s="1011"/>
      <c r="AH33" s="1011"/>
      <c r="AI33" s="1011"/>
      <c r="AJ33" s="1011"/>
      <c r="AK33" s="1012">
        <f t="shared" si="1"/>
        <v>0</v>
      </c>
      <c r="AM33" s="1012"/>
      <c r="AO33" s="1387"/>
      <c r="AQ33" s="1011">
        <f t="shared" ca="1" si="2"/>
        <v>0</v>
      </c>
      <c r="AR33" s="1013">
        <f t="shared" ca="1" si="3"/>
        <v>0</v>
      </c>
    </row>
    <row r="34" spans="2:44" hidden="1" x14ac:dyDescent="0.35">
      <c r="B34" s="589">
        <v>30</v>
      </c>
      <c r="C34" s="589"/>
      <c r="D34" s="981">
        <v>6427004104</v>
      </c>
      <c r="E34" s="626" t="s">
        <v>478</v>
      </c>
      <c r="F34" s="638" t="s">
        <v>587</v>
      </c>
      <c r="G34" s="1249" t="str">
        <f>E34</f>
        <v>Chi phí ấn phẩm: Catalogue, tờ rơi</v>
      </c>
      <c r="H34" s="638" t="s">
        <v>521</v>
      </c>
      <c r="I34" s="578" t="s">
        <v>623</v>
      </c>
      <c r="J34" s="1010">
        <f>W34/'4.Doanh thu'!$R$60</f>
        <v>0</v>
      </c>
      <c r="K34" s="1011"/>
      <c r="L34" s="1011"/>
      <c r="M34" s="1011"/>
      <c r="N34" s="1011"/>
      <c r="O34" s="1011"/>
      <c r="P34" s="1011"/>
      <c r="Q34" s="1011"/>
      <c r="R34" s="1011"/>
      <c r="S34" s="1011"/>
      <c r="T34" s="1011"/>
      <c r="U34" s="1011"/>
      <c r="V34" s="1011"/>
      <c r="W34" s="1012">
        <f t="shared" si="0"/>
        <v>0</v>
      </c>
      <c r="Y34" s="1011"/>
      <c r="Z34" s="1011"/>
      <c r="AA34" s="1011"/>
      <c r="AB34" s="1011"/>
      <c r="AC34" s="1011"/>
      <c r="AD34" s="1011"/>
      <c r="AE34" s="1011"/>
      <c r="AF34" s="1011"/>
      <c r="AG34" s="1011"/>
      <c r="AH34" s="1011"/>
      <c r="AI34" s="1011"/>
      <c r="AJ34" s="1011"/>
      <c r="AK34" s="1012">
        <f t="shared" si="1"/>
        <v>0</v>
      </c>
      <c r="AM34" s="1012"/>
      <c r="AO34" s="1387"/>
      <c r="AQ34" s="1011">
        <f t="shared" si="2"/>
        <v>0</v>
      </c>
      <c r="AR34" s="1013">
        <f t="shared" si="3"/>
        <v>0</v>
      </c>
    </row>
    <row r="35" spans="2:44" x14ac:dyDescent="0.35">
      <c r="B35" s="589">
        <v>31</v>
      </c>
      <c r="C35" s="589"/>
      <c r="D35" s="981">
        <v>6427004301</v>
      </c>
      <c r="E35" s="626" t="s">
        <v>482</v>
      </c>
      <c r="F35" s="638" t="s">
        <v>570</v>
      </c>
      <c r="G35" s="1249" t="str">
        <f>E35</f>
        <v>Chi phí nghỉ mát, du lịch</v>
      </c>
      <c r="H35" s="638" t="s">
        <v>521</v>
      </c>
      <c r="I35" s="578" t="s">
        <v>623</v>
      </c>
      <c r="J35" s="1010">
        <f>W35/'4.Doanh thu'!$R$60</f>
        <v>6.0244593047773963E-4</v>
      </c>
      <c r="K35" s="1011">
        <v>0</v>
      </c>
      <c r="L35" s="1011">
        <v>0</v>
      </c>
      <c r="M35" s="1011">
        <v>0</v>
      </c>
      <c r="N35" s="1011">
        <v>0</v>
      </c>
      <c r="O35" s="1011">
        <v>0</v>
      </c>
      <c r="P35" s="1011">
        <v>0</v>
      </c>
      <c r="Q35" s="1011">
        <v>0</v>
      </c>
      <c r="R35" s="1011">
        <v>60000000</v>
      </c>
      <c r="S35" s="1011">
        <v>0</v>
      </c>
      <c r="T35" s="1011">
        <v>0</v>
      </c>
      <c r="U35" s="1011">
        <v>0</v>
      </c>
      <c r="V35" s="1011">
        <v>0</v>
      </c>
      <c r="W35" s="1012">
        <f t="shared" si="0"/>
        <v>60000000</v>
      </c>
      <c r="Y35" s="1011"/>
      <c r="Z35" s="1011"/>
      <c r="AA35" s="1011"/>
      <c r="AB35" s="1011"/>
      <c r="AC35" s="1011"/>
      <c r="AD35" s="1011"/>
      <c r="AE35" s="1011"/>
      <c r="AF35" s="1011"/>
      <c r="AG35" s="1011"/>
      <c r="AH35" s="1011"/>
      <c r="AI35" s="1011"/>
      <c r="AJ35" s="1011"/>
      <c r="AK35" s="1012">
        <f t="shared" si="1"/>
        <v>0</v>
      </c>
      <c r="AM35" s="1012"/>
      <c r="AO35" s="1387"/>
      <c r="AQ35" s="1011">
        <f t="shared" si="2"/>
        <v>60000000</v>
      </c>
      <c r="AR35" s="1013">
        <f t="shared" si="3"/>
        <v>0</v>
      </c>
    </row>
    <row r="36" spans="2:44" hidden="1" x14ac:dyDescent="0.35">
      <c r="B36" s="589">
        <v>32</v>
      </c>
      <c r="C36" s="589"/>
      <c r="D36" s="981">
        <v>6427004601</v>
      </c>
      <c r="E36" s="626" t="s">
        <v>484</v>
      </c>
      <c r="F36" s="638" t="s">
        <v>585</v>
      </c>
      <c r="G36" s="1249" t="s">
        <v>95</v>
      </c>
      <c r="H36" s="638" t="s">
        <v>521</v>
      </c>
      <c r="I36" s="578" t="s">
        <v>623</v>
      </c>
      <c r="J36" s="1010">
        <f>W36/'4.Doanh thu'!$R$60</f>
        <v>0</v>
      </c>
      <c r="K36" s="1011"/>
      <c r="L36" s="1011"/>
      <c r="M36" s="1011"/>
      <c r="N36" s="1011"/>
      <c r="O36" s="1011"/>
      <c r="P36" s="1011"/>
      <c r="Q36" s="1011"/>
      <c r="R36" s="1011"/>
      <c r="S36" s="1011"/>
      <c r="T36" s="1011"/>
      <c r="U36" s="1011"/>
      <c r="V36" s="1011"/>
      <c r="W36" s="1012">
        <f t="shared" si="0"/>
        <v>0</v>
      </c>
      <c r="Y36" s="1011"/>
      <c r="Z36" s="1011"/>
      <c r="AA36" s="1011"/>
      <c r="AB36" s="1011"/>
      <c r="AC36" s="1011"/>
      <c r="AD36" s="1011"/>
      <c r="AE36" s="1011"/>
      <c r="AF36" s="1011"/>
      <c r="AG36" s="1011"/>
      <c r="AH36" s="1011"/>
      <c r="AI36" s="1011"/>
      <c r="AJ36" s="1011"/>
      <c r="AK36" s="1012">
        <f t="shared" si="1"/>
        <v>0</v>
      </c>
      <c r="AM36" s="1012"/>
      <c r="AO36" s="1387"/>
      <c r="AQ36" s="1011">
        <f t="shared" si="2"/>
        <v>0</v>
      </c>
      <c r="AR36" s="1013">
        <f t="shared" si="3"/>
        <v>0</v>
      </c>
    </row>
    <row r="37" spans="2:44" hidden="1" x14ac:dyDescent="0.35">
      <c r="B37" s="589">
        <v>33</v>
      </c>
      <c r="C37" s="589"/>
      <c r="D37" s="981">
        <v>6427004603</v>
      </c>
      <c r="E37" s="626" t="s">
        <v>479</v>
      </c>
      <c r="F37" s="638" t="s">
        <v>587</v>
      </c>
      <c r="G37" s="1249" t="str">
        <f>E37</f>
        <v>Chi phí hội nghị khách hàng</v>
      </c>
      <c r="H37" s="578" t="s">
        <v>513</v>
      </c>
      <c r="I37" s="578" t="s">
        <v>623</v>
      </c>
      <c r="J37" s="1010">
        <f>W37/'4.Doanh thu'!$R$60</f>
        <v>0</v>
      </c>
      <c r="K37" s="1011"/>
      <c r="L37" s="1011"/>
      <c r="M37" s="1011"/>
      <c r="N37" s="1011"/>
      <c r="O37" s="1011"/>
      <c r="P37" s="1011"/>
      <c r="Q37" s="1011"/>
      <c r="R37" s="1011"/>
      <c r="S37" s="1011"/>
      <c r="T37" s="1011"/>
      <c r="U37" s="1011"/>
      <c r="V37" s="1011"/>
      <c r="W37" s="1012">
        <f t="shared" si="0"/>
        <v>0</v>
      </c>
      <c r="Y37" s="1011"/>
      <c r="Z37" s="1011"/>
      <c r="AA37" s="1011"/>
      <c r="AB37" s="1011"/>
      <c r="AC37" s="1011"/>
      <c r="AD37" s="1011"/>
      <c r="AE37" s="1011"/>
      <c r="AF37" s="1011"/>
      <c r="AG37" s="1011"/>
      <c r="AH37" s="1011"/>
      <c r="AI37" s="1011"/>
      <c r="AJ37" s="1011"/>
      <c r="AK37" s="1012">
        <f t="shared" si="1"/>
        <v>0</v>
      </c>
      <c r="AM37" s="1012"/>
      <c r="AO37" s="1387"/>
      <c r="AQ37" s="1011">
        <f t="shared" si="2"/>
        <v>0</v>
      </c>
      <c r="AR37" s="1013">
        <f t="shared" si="3"/>
        <v>0</v>
      </c>
    </row>
    <row r="38" spans="2:44" hidden="1" x14ac:dyDescent="0.35">
      <c r="B38" s="589">
        <v>34</v>
      </c>
      <c r="C38" s="589"/>
      <c r="D38" s="981">
        <v>6427004702</v>
      </c>
      <c r="E38" s="626" t="s">
        <v>481</v>
      </c>
      <c r="F38" s="638" t="s">
        <v>587</v>
      </c>
      <c r="G38" s="1249" t="str">
        <f>E38</f>
        <v>Tài trợ thương hiệu Duy Tân</v>
      </c>
      <c r="H38" s="578" t="s">
        <v>513</v>
      </c>
      <c r="I38" s="578" t="s">
        <v>623</v>
      </c>
      <c r="J38" s="1010">
        <f>W38/'4.Doanh thu'!$R$60</f>
        <v>0</v>
      </c>
      <c r="K38" s="1011"/>
      <c r="L38" s="1011"/>
      <c r="M38" s="1011"/>
      <c r="N38" s="1011"/>
      <c r="O38" s="1011"/>
      <c r="P38" s="1011"/>
      <c r="Q38" s="1011"/>
      <c r="R38" s="1011"/>
      <c r="S38" s="1011"/>
      <c r="T38" s="1011"/>
      <c r="U38" s="1011"/>
      <c r="V38" s="1011"/>
      <c r="W38" s="1012">
        <f t="shared" si="0"/>
        <v>0</v>
      </c>
      <c r="Y38" s="1011"/>
      <c r="Z38" s="1011"/>
      <c r="AA38" s="1011"/>
      <c r="AB38" s="1011"/>
      <c r="AC38" s="1011"/>
      <c r="AD38" s="1011"/>
      <c r="AE38" s="1011"/>
      <c r="AF38" s="1011"/>
      <c r="AG38" s="1011"/>
      <c r="AH38" s="1011"/>
      <c r="AI38" s="1011"/>
      <c r="AJ38" s="1011"/>
      <c r="AK38" s="1012">
        <f t="shared" si="1"/>
        <v>0</v>
      </c>
      <c r="AM38" s="1012"/>
      <c r="AO38" s="1387"/>
      <c r="AQ38" s="1011">
        <f t="shared" si="2"/>
        <v>0</v>
      </c>
      <c r="AR38" s="1013">
        <f t="shared" si="3"/>
        <v>0</v>
      </c>
    </row>
    <row r="39" spans="2:44" x14ac:dyDescent="0.35">
      <c r="B39" s="589">
        <v>35</v>
      </c>
      <c r="C39" s="589"/>
      <c r="D39" s="981">
        <v>6427004804</v>
      </c>
      <c r="E39" s="626" t="s">
        <v>475</v>
      </c>
      <c r="F39" s="638" t="s">
        <v>592</v>
      </c>
      <c r="G39" s="1249" t="str">
        <f>E39</f>
        <v>Chi phí bưu phẩm</v>
      </c>
      <c r="H39" s="638" t="s">
        <v>521</v>
      </c>
      <c r="I39" s="578" t="s">
        <v>623</v>
      </c>
      <c r="J39" s="1010">
        <f>W39/'4.Doanh thu'!$R$60</f>
        <v>1.2192858003494187E-5</v>
      </c>
      <c r="K39" s="1011">
        <v>101194.625</v>
      </c>
      <c r="L39" s="1011">
        <v>101194.625</v>
      </c>
      <c r="M39" s="1011">
        <v>101194.625</v>
      </c>
      <c r="N39" s="1011">
        <v>101194.625</v>
      </c>
      <c r="O39" s="1011">
        <v>101194.625</v>
      </c>
      <c r="P39" s="1011">
        <v>101194.625</v>
      </c>
      <c r="Q39" s="1011">
        <v>101194.625</v>
      </c>
      <c r="R39" s="1011">
        <v>101194.625</v>
      </c>
      <c r="S39" s="1011">
        <v>101194.625</v>
      </c>
      <c r="T39" s="1011">
        <v>101194.625</v>
      </c>
      <c r="U39" s="1011">
        <v>101194.625</v>
      </c>
      <c r="V39" s="1011">
        <v>101194.625</v>
      </c>
      <c r="W39" s="1012">
        <f t="shared" si="0"/>
        <v>1214335.5</v>
      </c>
      <c r="Y39" s="1011"/>
      <c r="Z39" s="1011">
        <v>44000</v>
      </c>
      <c r="AA39" s="1011">
        <f>20000+141209</f>
        <v>161209</v>
      </c>
      <c r="AB39" s="1011"/>
      <c r="AC39" s="1011">
        <v>118981</v>
      </c>
      <c r="AD39" s="1011">
        <v>41204</v>
      </c>
      <c r="AE39" s="1011">
        <v>123611</v>
      </c>
      <c r="AF39" s="1011">
        <v>133500</v>
      </c>
      <c r="AG39" s="1011">
        <v>16667</v>
      </c>
      <c r="AH39" s="1011">
        <v>202504</v>
      </c>
      <c r="AI39" s="1011">
        <v>202504</v>
      </c>
      <c r="AJ39" s="1011">
        <v>202504</v>
      </c>
      <c r="AK39" s="1012">
        <f t="shared" si="1"/>
        <v>1246684</v>
      </c>
      <c r="AM39" s="1012"/>
      <c r="AO39" s="1387"/>
      <c r="AQ39" s="1011">
        <f t="shared" si="2"/>
        <v>-32348.5</v>
      </c>
      <c r="AR39" s="1013">
        <f t="shared" si="3"/>
        <v>-2.5947633883165233E-2</v>
      </c>
    </row>
    <row r="40" spans="2:44" x14ac:dyDescent="0.35">
      <c r="B40" s="589">
        <v>36</v>
      </c>
      <c r="C40" s="589"/>
      <c r="D40" s="981">
        <v>6427004901</v>
      </c>
      <c r="E40" s="626" t="s">
        <v>442</v>
      </c>
      <c r="F40" s="638" t="s">
        <v>592</v>
      </c>
      <c r="G40" s="1249" t="str">
        <f>E40</f>
        <v>Điện thoại bàn</v>
      </c>
      <c r="H40" s="638" t="s">
        <v>521</v>
      </c>
      <c r="I40" s="578" t="s">
        <v>623</v>
      </c>
      <c r="J40" s="1010">
        <f>W40/'4.Doanh thu'!$R$60</f>
        <v>1.0296038918007107E-5</v>
      </c>
      <c r="K40" s="1011">
        <v>85451.974999999991</v>
      </c>
      <c r="L40" s="1011">
        <v>85451.974999999991</v>
      </c>
      <c r="M40" s="1011">
        <v>85451.974999999991</v>
      </c>
      <c r="N40" s="1011">
        <v>85451.974999999991</v>
      </c>
      <c r="O40" s="1011">
        <v>85451.974999999991</v>
      </c>
      <c r="P40" s="1011">
        <v>85451.974999999991</v>
      </c>
      <c r="Q40" s="1011">
        <v>85451.974999999991</v>
      </c>
      <c r="R40" s="1011">
        <v>85451.974999999991</v>
      </c>
      <c r="S40" s="1011">
        <v>85451.974999999991</v>
      </c>
      <c r="T40" s="1011">
        <v>85451.974999999991</v>
      </c>
      <c r="U40" s="1011">
        <v>85451.974999999991</v>
      </c>
      <c r="V40" s="1011">
        <v>85451.974999999991</v>
      </c>
      <c r="W40" s="1012">
        <f t="shared" si="0"/>
        <v>1025423.6999999998</v>
      </c>
      <c r="Y40" s="1011"/>
      <c r="Z40" s="1011"/>
      <c r="AA40" s="1011"/>
      <c r="AB40" s="1011"/>
      <c r="AC40" s="1011"/>
      <c r="AD40" s="1011"/>
      <c r="AE40" s="1011"/>
      <c r="AF40" s="1011"/>
      <c r="AG40" s="1011"/>
      <c r="AH40" s="1011"/>
      <c r="AI40" s="1011"/>
      <c r="AJ40" s="1011"/>
      <c r="AK40" s="1012">
        <f t="shared" si="1"/>
        <v>0</v>
      </c>
      <c r="AM40" s="1012"/>
      <c r="AO40" s="1387">
        <v>156105</v>
      </c>
      <c r="AQ40" s="1011">
        <f t="shared" si="2"/>
        <v>1025423.6999999998</v>
      </c>
      <c r="AR40" s="1013">
        <f t="shared" si="3"/>
        <v>0</v>
      </c>
    </row>
    <row r="41" spans="2:44" x14ac:dyDescent="0.35">
      <c r="B41" s="589">
        <v>37</v>
      </c>
      <c r="C41" s="589"/>
      <c r="D41" s="981">
        <v>6427004902</v>
      </c>
      <c r="E41" s="626" t="s">
        <v>443</v>
      </c>
      <c r="F41" s="638" t="s">
        <v>570</v>
      </c>
      <c r="G41" s="1249" t="str">
        <f>E41</f>
        <v>Điện thoại di động</v>
      </c>
      <c r="H41" s="638" t="s">
        <v>521</v>
      </c>
      <c r="I41" s="578" t="s">
        <v>623</v>
      </c>
      <c r="J41" s="1010">
        <f>W41/'4.Doanh thu'!$R$60</f>
        <v>2.6500075305741308E-5</v>
      </c>
      <c r="K41" s="1011">
        <v>219937.375</v>
      </c>
      <c r="L41" s="1011">
        <v>219937.375</v>
      </c>
      <c r="M41" s="1011">
        <v>219937.375</v>
      </c>
      <c r="N41" s="1011">
        <v>219937.375</v>
      </c>
      <c r="O41" s="1011">
        <v>219937.375</v>
      </c>
      <c r="P41" s="1011">
        <v>219937.375</v>
      </c>
      <c r="Q41" s="1011">
        <v>219937.375</v>
      </c>
      <c r="R41" s="1011">
        <v>219937.375</v>
      </c>
      <c r="S41" s="1011">
        <v>219937.375</v>
      </c>
      <c r="T41" s="1011">
        <v>219937.375</v>
      </c>
      <c r="U41" s="1011">
        <v>219937.375</v>
      </c>
      <c r="V41" s="1011">
        <v>219937.375</v>
      </c>
      <c r="W41" s="1012">
        <f t="shared" si="0"/>
        <v>2639248.5</v>
      </c>
      <c r="Y41" s="1011">
        <v>200000</v>
      </c>
      <c r="Z41" s="1011">
        <v>0</v>
      </c>
      <c r="AA41" s="1011">
        <v>0</v>
      </c>
      <c r="AB41" s="1011">
        <v>211864</v>
      </c>
      <c r="AC41" s="1011">
        <v>188573</v>
      </c>
      <c r="AD41" s="1011">
        <v>187273</v>
      </c>
      <c r="AE41" s="1011">
        <v>185718</v>
      </c>
      <c r="AF41" s="1011">
        <v>181818</v>
      </c>
      <c r="AG41" s="1011">
        <v>184364</v>
      </c>
      <c r="AH41" s="1011">
        <v>184364</v>
      </c>
      <c r="AI41" s="1011">
        <v>184364</v>
      </c>
      <c r="AJ41" s="1011">
        <v>184364</v>
      </c>
      <c r="AK41" s="1012">
        <f t="shared" si="1"/>
        <v>1892702</v>
      </c>
      <c r="AM41" s="1012">
        <f>300000+200000+198000</f>
        <v>698000</v>
      </c>
      <c r="AO41" s="1387">
        <v>2073808</v>
      </c>
      <c r="AQ41" s="1011">
        <f t="shared" si="2"/>
        <v>746546.5</v>
      </c>
      <c r="AR41" s="1013">
        <f t="shared" si="3"/>
        <v>0.39443425325275716</v>
      </c>
    </row>
    <row r="42" spans="2:44" x14ac:dyDescent="0.35">
      <c r="B42" s="589">
        <v>38</v>
      </c>
      <c r="C42" s="589"/>
      <c r="D42" s="981">
        <v>6427004903</v>
      </c>
      <c r="E42" s="626" t="s">
        <v>444</v>
      </c>
      <c r="F42" s="638" t="s">
        <v>592</v>
      </c>
      <c r="G42" s="1249" t="s">
        <v>92</v>
      </c>
      <c r="H42" s="638" t="s">
        <v>521</v>
      </c>
      <c r="I42" s="578" t="s">
        <v>623</v>
      </c>
      <c r="J42" s="1010">
        <f ca="1">W42/'4.Doanh thu'!$R$60</f>
        <v>3.20614012892343E-4</v>
      </c>
      <c r="K42" s="1011">
        <f ca="1">SUMIF(PB_CPTT!$Z$9:$AQ$103,CPQL!$D$42,PB_CPTT!AF9:AF103)</f>
        <v>2774012.666666667</v>
      </c>
      <c r="L42" s="1011">
        <f ca="1">SUMIF(PB_CPTT!$Z$9:$AQ$103,CPQL!$D$42,PB_CPTT!AG9:AG103)</f>
        <v>2774012.666666667</v>
      </c>
      <c r="M42" s="1011">
        <f ca="1">SUMIF(PB_CPTT!$Z$9:$AQ$103,CPQL!$D$42,PB_CPTT!AH9:AH103)</f>
        <v>2774012.666666667</v>
      </c>
      <c r="N42" s="1011">
        <f ca="1">SUMIF(PB_CPTT!$Z$9:$AQ$103,CPQL!$D$42,PB_CPTT!AI9:AI103)</f>
        <v>2774012.666666667</v>
      </c>
      <c r="O42" s="1011">
        <f ca="1">SUMIF(PB_CPTT!$Z$9:$AQ$103,CPQL!$D$42,PB_CPTT!AJ9:AJ103)</f>
        <v>2774012.666666667</v>
      </c>
      <c r="P42" s="1011">
        <f ca="1">SUMIF(PB_CPTT!$Z$9:$AQ$103,CPQL!$D$42,PB_CPTT!AK9:AK103)</f>
        <v>2580168.666666667</v>
      </c>
      <c r="Q42" s="1011">
        <f ca="1">SUMIF(PB_CPTT!$Z$9:$AQ$103,CPQL!$D$42,PB_CPTT!AL9:AL103)</f>
        <v>2580166.666666667</v>
      </c>
      <c r="R42" s="1011">
        <f ca="1">SUMIF(PB_CPTT!$Z$9:$AQ$103,CPQL!$D$42,PB_CPTT!AM9:AM103)</f>
        <v>2580166.666666667</v>
      </c>
      <c r="S42" s="1011">
        <f ca="1">SUMIF(PB_CPTT!$Z$9:$AQ$103,CPQL!$D$42,PB_CPTT!AN9:AN103)</f>
        <v>2580166.666666667</v>
      </c>
      <c r="T42" s="1011">
        <f ca="1">SUMIF(PB_CPTT!$Z$9:$AQ$103,CPQL!$D$42,PB_CPTT!AO9:AO103)</f>
        <v>2580166.666666667</v>
      </c>
      <c r="U42" s="1011">
        <f ca="1">SUMIF(PB_CPTT!$Z$9:$AQ$103,CPQL!$D$42,PB_CPTT!AP9:AP103)</f>
        <v>2580166.666666667</v>
      </c>
      <c r="V42" s="1011">
        <f ca="1">SUMIF(PB_CPTT!$Z$9:$AQ$103,CPQL!$D$42,PB_CPTT!AQ9:AQ103)</f>
        <v>2580166.666666667</v>
      </c>
      <c r="W42" s="1012">
        <f t="shared" ca="1" si="0"/>
        <v>31931232.000000011</v>
      </c>
      <c r="Y42" s="1011">
        <v>1396184</v>
      </c>
      <c r="Z42" s="1011">
        <v>1396184</v>
      </c>
      <c r="AA42" s="1011">
        <v>1396184</v>
      </c>
      <c r="AB42" s="1011">
        <v>1396184</v>
      </c>
      <c r="AC42" s="1011">
        <v>1410030</v>
      </c>
      <c r="AD42" s="1011">
        <v>3591848</v>
      </c>
      <c r="AE42" s="1011">
        <v>3591848</v>
      </c>
      <c r="AF42" s="1011">
        <f>3038004</f>
        <v>3038004</v>
      </c>
      <c r="AG42" s="1011">
        <f>3038002+607273</f>
        <v>3645275</v>
      </c>
      <c r="AH42" s="1011">
        <f>856181+607273</f>
        <v>1463454</v>
      </c>
      <c r="AI42" s="1011">
        <f>193846+607273</f>
        <v>801119</v>
      </c>
      <c r="AJ42" s="1011">
        <f>193846+607273</f>
        <v>801119</v>
      </c>
      <c r="AK42" s="1012">
        <f t="shared" si="1"/>
        <v>23927433</v>
      </c>
      <c r="AM42" s="1012">
        <v>10161366</v>
      </c>
      <c r="AO42" s="1387">
        <f>5711062+1260000</f>
        <v>6971062</v>
      </c>
      <c r="AQ42" s="1011">
        <f t="shared" ca="1" si="2"/>
        <v>8003799.0000000112</v>
      </c>
      <c r="AR42" s="1013">
        <f t="shared" ca="1" si="3"/>
        <v>0.33450303674447701</v>
      </c>
    </row>
    <row r="43" spans="2:44" x14ac:dyDescent="0.35">
      <c r="B43" s="589">
        <v>39</v>
      </c>
      <c r="C43" s="589"/>
      <c r="D43" s="981" t="s">
        <v>1494</v>
      </c>
      <c r="E43" s="626" t="s">
        <v>1018</v>
      </c>
      <c r="F43" s="638" t="s">
        <v>1019</v>
      </c>
      <c r="G43" s="626" t="s">
        <v>1018</v>
      </c>
      <c r="H43" s="638" t="s">
        <v>513</v>
      </c>
      <c r="I43" s="578" t="s">
        <v>622</v>
      </c>
      <c r="J43" s="1010">
        <f ca="1">W43/'4.Doanh thu'!$R$60</f>
        <v>4.5651195602750531E-4</v>
      </c>
      <c r="K43" s="1011">
        <f ca="1">SUMIF(PB_CPTT!$Z$9:$AQ$104,CPQL!$D$43,PB_CPTT!AF9:AF104)</f>
        <v>4663821.5623836126</v>
      </c>
      <c r="L43" s="1011">
        <f ca="1">SUMIF(PB_CPTT!$Z$9:$AQ$104,CPQL!$D$43,PB_CPTT!AG9:AG104)</f>
        <v>4663821.5623836126</v>
      </c>
      <c r="M43" s="1011">
        <f ca="1">SUMIF(PB_CPTT!$Z$9:$AQ$104,CPQL!$D$43,PB_CPTT!AH9:AH104)</f>
        <v>4663817.5623836126</v>
      </c>
      <c r="N43" s="1011">
        <f ca="1">SUMIF(PB_CPTT!$Z$9:$AQ$104,CPQL!$D$43,PB_CPTT!AI9:AI104)</f>
        <v>3497154.5623836126</v>
      </c>
      <c r="O43" s="1011">
        <f ca="1">SUMIF(PB_CPTT!$Z$9:$AQ$104,CPQL!$D$43,PB_CPTT!AJ9:AJ104)</f>
        <v>3497154.5623836126</v>
      </c>
      <c r="P43" s="1011">
        <f ca="1">SUMIF(PB_CPTT!$Z$9:$AQ$104,CPQL!$D$43,PB_CPTT!AK9:AK104)</f>
        <v>3497154.5623836126</v>
      </c>
      <c r="Q43" s="1011">
        <f ca="1">SUMIF(PB_CPTT!$Z$9:$AQ$104,CPQL!$D$43,PB_CPTT!AL9:AL104)</f>
        <v>3497154.5623836126</v>
      </c>
      <c r="R43" s="1011">
        <f ca="1">SUMIF(PB_CPTT!$Z$9:$AQ$104,CPQL!$D$43,PB_CPTT!AM9:AM104)</f>
        <v>3497154.5623836126</v>
      </c>
      <c r="S43" s="1011">
        <f ca="1">SUMIF(PB_CPTT!$Z$9:$AQ$104,CPQL!$D$43,PB_CPTT!AN9:AN104)</f>
        <v>3497154.5623836126</v>
      </c>
      <c r="T43" s="1011">
        <f ca="1">SUMIF(PB_CPTT!$Z$9:$AQ$104,CPQL!$D$43,PB_CPTT!AO9:AO104)</f>
        <v>3497154.5623836126</v>
      </c>
      <c r="U43" s="1011">
        <f ca="1">SUMIF(PB_CPTT!$Z$9:$AQ$104,CPQL!$D$43,PB_CPTT!AP9:AP104)</f>
        <v>3497154.5623836126</v>
      </c>
      <c r="V43" s="1011">
        <f ca="1">SUMIF(PB_CPTT!$Z$9:$AQ$104,CPQL!$D$43,PB_CPTT!AQ9:AQ104)</f>
        <v>3497154.5623836126</v>
      </c>
      <c r="W43" s="1012">
        <f t="shared" ref="W43" ca="1" si="7">SUM(K43:V43)</f>
        <v>45465851.748603366</v>
      </c>
      <c r="Y43" s="1011">
        <v>916667</v>
      </c>
      <c r="Z43" s="1011">
        <v>916667</v>
      </c>
      <c r="AA43" s="1011">
        <v>916663</v>
      </c>
      <c r="AB43" s="1011">
        <v>1166667</v>
      </c>
      <c r="AC43" s="1011">
        <v>1166667</v>
      </c>
      <c r="AD43" s="1011">
        <v>1166667</v>
      </c>
      <c r="AE43" s="1011">
        <v>1166667</v>
      </c>
      <c r="AF43" s="1011">
        <v>1166667</v>
      </c>
      <c r="AG43" s="1011">
        <v>1166667</v>
      </c>
      <c r="AH43" s="1011">
        <v>1166667</v>
      </c>
      <c r="AI43" s="1011">
        <v>1166667</v>
      </c>
      <c r="AJ43" s="1011">
        <v>1166667</v>
      </c>
      <c r="AK43" s="1012">
        <f t="shared" si="1"/>
        <v>13250000</v>
      </c>
      <c r="AM43" s="1012">
        <f>52156012+916667+2500000</f>
        <v>55572679</v>
      </c>
      <c r="AO43" s="1387">
        <v>33097524</v>
      </c>
      <c r="AQ43" s="1011">
        <f t="shared" ca="1" si="2"/>
        <v>32215851.748603366</v>
      </c>
      <c r="AR43" s="1013">
        <f t="shared" ca="1" si="3"/>
        <v>2.4313850376304429</v>
      </c>
    </row>
    <row r="44" spans="2:44" ht="26" hidden="1" x14ac:dyDescent="0.35">
      <c r="B44" s="589">
        <v>40</v>
      </c>
      <c r="C44" s="589"/>
      <c r="D44" s="981">
        <v>6427005001</v>
      </c>
      <c r="E44" s="626" t="s">
        <v>433</v>
      </c>
      <c r="F44" s="638" t="s">
        <v>578</v>
      </c>
      <c r="G44" s="1249" t="str">
        <f>E44</f>
        <v>Chi phí thuê nhà, văn phòng, xưởng, kho</v>
      </c>
      <c r="H44" s="578" t="s">
        <v>513</v>
      </c>
      <c r="I44" s="578" t="s">
        <v>623</v>
      </c>
      <c r="J44" s="1010">
        <f>W44/'4.Doanh thu'!$R$60</f>
        <v>0</v>
      </c>
      <c r="K44" s="1011"/>
      <c r="L44" s="1011"/>
      <c r="M44" s="1011"/>
      <c r="N44" s="1011"/>
      <c r="O44" s="1011"/>
      <c r="P44" s="1011"/>
      <c r="Q44" s="1011"/>
      <c r="R44" s="1011"/>
      <c r="S44" s="1011"/>
      <c r="T44" s="1011"/>
      <c r="U44" s="1011"/>
      <c r="V44" s="1011"/>
      <c r="W44" s="1012">
        <f t="shared" si="0"/>
        <v>0</v>
      </c>
      <c r="Y44" s="1011"/>
      <c r="Z44" s="1011"/>
      <c r="AA44" s="1011"/>
      <c r="AB44" s="1011"/>
      <c r="AC44" s="1011"/>
      <c r="AD44" s="1011"/>
      <c r="AE44" s="1011"/>
      <c r="AF44" s="1011"/>
      <c r="AG44" s="1011"/>
      <c r="AH44" s="1011"/>
      <c r="AI44" s="1011"/>
      <c r="AJ44" s="1011"/>
      <c r="AK44" s="1012">
        <f t="shared" si="1"/>
        <v>0</v>
      </c>
      <c r="AM44" s="1012"/>
      <c r="AO44" s="1387"/>
      <c r="AQ44" s="1011">
        <f t="shared" si="2"/>
        <v>0</v>
      </c>
      <c r="AR44" s="1013">
        <f t="shared" si="3"/>
        <v>0</v>
      </c>
    </row>
    <row r="45" spans="2:44" x14ac:dyDescent="0.35">
      <c r="B45" s="589">
        <v>41</v>
      </c>
      <c r="C45" s="589"/>
      <c r="D45" s="981">
        <v>6427005102</v>
      </c>
      <c r="E45" s="626" t="s">
        <v>445</v>
      </c>
      <c r="F45" s="638" t="s">
        <v>572</v>
      </c>
      <c r="G45" s="1249" t="str">
        <f>E45</f>
        <v>Chi phí mực in, mực photo</v>
      </c>
      <c r="H45" s="638" t="s">
        <v>521</v>
      </c>
      <c r="I45" s="578" t="s">
        <v>623</v>
      </c>
      <c r="J45" s="1010">
        <f>W45/'4.Doanh thu'!$R$60</f>
        <v>5.9822880896439544E-5</v>
      </c>
      <c r="K45" s="1011">
        <v>811500</v>
      </c>
      <c r="L45" s="1011">
        <v>339000</v>
      </c>
      <c r="M45" s="1011">
        <v>339000</v>
      </c>
      <c r="N45" s="1011">
        <v>339000</v>
      </c>
      <c r="O45" s="1011">
        <v>1284000</v>
      </c>
      <c r="P45" s="1011">
        <v>339000</v>
      </c>
      <c r="Q45" s="1011">
        <v>339000</v>
      </c>
      <c r="R45" s="1011">
        <v>339000</v>
      </c>
      <c r="S45" s="1011">
        <v>811500</v>
      </c>
      <c r="T45" s="1011">
        <v>339000</v>
      </c>
      <c r="U45" s="1011">
        <v>339000</v>
      </c>
      <c r="V45" s="1011">
        <v>339000</v>
      </c>
      <c r="W45" s="1012">
        <f t="shared" si="0"/>
        <v>5958000</v>
      </c>
      <c r="Y45" s="1011"/>
      <c r="Z45" s="1011"/>
      <c r="AA45" s="1011">
        <v>1470000</v>
      </c>
      <c r="AB45" s="1011"/>
      <c r="AC45" s="1011"/>
      <c r="AD45" s="1011"/>
      <c r="AE45" s="1011"/>
      <c r="AF45" s="1011"/>
      <c r="AG45" s="1011"/>
      <c r="AH45" s="1011"/>
      <c r="AI45" s="1011">
        <v>500000</v>
      </c>
      <c r="AJ45" s="1011"/>
      <c r="AK45" s="1012">
        <f t="shared" si="1"/>
        <v>1970000</v>
      </c>
      <c r="AM45" s="1012">
        <v>2624089</v>
      </c>
      <c r="AO45" s="1387">
        <v>1047729</v>
      </c>
      <c r="AQ45" s="1011">
        <f t="shared" si="2"/>
        <v>3988000</v>
      </c>
      <c r="AR45" s="1013">
        <f t="shared" si="3"/>
        <v>2.0243654822335024</v>
      </c>
    </row>
    <row r="46" spans="2:44" x14ac:dyDescent="0.35">
      <c r="B46" s="589">
        <v>42</v>
      </c>
      <c r="C46" s="589"/>
      <c r="D46" s="981">
        <v>6427005501</v>
      </c>
      <c r="E46" s="626" t="s">
        <v>474</v>
      </c>
      <c r="F46" s="638" t="s">
        <v>593</v>
      </c>
      <c r="G46" s="1249" t="str">
        <f>E46</f>
        <v>Chi phí ngân hàng</v>
      </c>
      <c r="H46" s="638" t="s">
        <v>521</v>
      </c>
      <c r="I46" s="578" t="s">
        <v>623</v>
      </c>
      <c r="J46" s="1010">
        <f>W46/'4.Doanh thu'!$R$60</f>
        <v>5.4822579673474306E-5</v>
      </c>
      <c r="K46" s="1011">
        <v>455000</v>
      </c>
      <c r="L46" s="1011">
        <v>455000</v>
      </c>
      <c r="M46" s="1011">
        <v>455000</v>
      </c>
      <c r="N46" s="1011">
        <v>455000</v>
      </c>
      <c r="O46" s="1011">
        <v>455000</v>
      </c>
      <c r="P46" s="1011">
        <v>455000</v>
      </c>
      <c r="Q46" s="1011">
        <v>455000</v>
      </c>
      <c r="R46" s="1011">
        <v>455000</v>
      </c>
      <c r="S46" s="1011">
        <v>455000</v>
      </c>
      <c r="T46" s="1011">
        <v>455000</v>
      </c>
      <c r="U46" s="1011">
        <v>455000</v>
      </c>
      <c r="V46" s="1011">
        <v>455000</v>
      </c>
      <c r="W46" s="1012">
        <f t="shared" si="0"/>
        <v>5460000</v>
      </c>
      <c r="Y46" s="1011">
        <v>219617</v>
      </c>
      <c r="Z46" s="1011">
        <v>130153</v>
      </c>
      <c r="AA46" s="1011">
        <v>163380</v>
      </c>
      <c r="AB46" s="1011">
        <v>319668</v>
      </c>
      <c r="AC46" s="1011">
        <v>351497</v>
      </c>
      <c r="AD46" s="1011">
        <v>332325</v>
      </c>
      <c r="AE46" s="1011">
        <v>18182</v>
      </c>
      <c r="AF46" s="1011">
        <v>447981</v>
      </c>
      <c r="AG46" s="1011">
        <v>452722</v>
      </c>
      <c r="AH46" s="1011">
        <v>452722</v>
      </c>
      <c r="AI46" s="1011">
        <v>452722</v>
      </c>
      <c r="AJ46" s="1011">
        <v>452722</v>
      </c>
      <c r="AK46" s="1012">
        <f t="shared" si="1"/>
        <v>3793691</v>
      </c>
      <c r="AM46" s="1012">
        <v>3833195</v>
      </c>
      <c r="AO46" s="1387">
        <v>3092931</v>
      </c>
      <c r="AQ46" s="1011">
        <f t="shared" si="2"/>
        <v>1666309</v>
      </c>
      <c r="AR46" s="1013">
        <f t="shared" si="3"/>
        <v>0.43923160847839204</v>
      </c>
    </row>
    <row r="47" spans="2:44" x14ac:dyDescent="0.35">
      <c r="B47" s="589">
        <v>43</v>
      </c>
      <c r="C47" s="589"/>
      <c r="D47" s="981">
        <v>6427005601</v>
      </c>
      <c r="E47" s="626" t="s">
        <v>94</v>
      </c>
      <c r="F47" s="638" t="s">
        <v>600</v>
      </c>
      <c r="G47" s="1249" t="s">
        <v>94</v>
      </c>
      <c r="H47" s="578" t="s">
        <v>513</v>
      </c>
      <c r="I47" s="578" t="s">
        <v>623</v>
      </c>
      <c r="J47" s="1010">
        <f>W47/'4.Doanh thu'!$R$60</f>
        <v>3.2130449625479449E-4</v>
      </c>
      <c r="K47" s="1011">
        <v>2000000</v>
      </c>
      <c r="L47" s="1011">
        <v>2000000</v>
      </c>
      <c r="M47" s="1011">
        <v>2000000</v>
      </c>
      <c r="N47" s="1011">
        <v>2000000</v>
      </c>
      <c r="O47" s="1011">
        <v>2000000</v>
      </c>
      <c r="P47" s="1011">
        <v>2000000</v>
      </c>
      <c r="Q47" s="1011">
        <v>2000000</v>
      </c>
      <c r="R47" s="1011">
        <v>2000000</v>
      </c>
      <c r="S47" s="1011">
        <v>2000000</v>
      </c>
      <c r="T47" s="1011">
        <v>2000000</v>
      </c>
      <c r="U47" s="1011">
        <v>2000000</v>
      </c>
      <c r="V47" s="1011">
        <v>10000000</v>
      </c>
      <c r="W47" s="1012">
        <f t="shared" si="0"/>
        <v>32000000</v>
      </c>
      <c r="Y47" s="1011">
        <f>4000000</f>
        <v>4000000</v>
      </c>
      <c r="Z47" s="1011">
        <v>0</v>
      </c>
      <c r="AA47" s="1011"/>
      <c r="AB47" s="1011">
        <v>3000000</v>
      </c>
      <c r="AC47" s="1011">
        <f>1069998+6500000</f>
        <v>7569998</v>
      </c>
      <c r="AD47" s="1011"/>
      <c r="AE47" s="1011">
        <v>2000000</v>
      </c>
      <c r="AF47" s="1011">
        <f>2000000+1000000</f>
        <v>3000000</v>
      </c>
      <c r="AG47" s="1011">
        <v>1000000</v>
      </c>
      <c r="AH47" s="1011">
        <v>2000000</v>
      </c>
      <c r="AI47" s="1011">
        <v>2000000</v>
      </c>
      <c r="AJ47" s="1011">
        <v>10000000</v>
      </c>
      <c r="AK47" s="1012">
        <f t="shared" si="1"/>
        <v>34569998</v>
      </c>
      <c r="AM47" s="1012">
        <f>41800000+300000+1000000</f>
        <v>43100000</v>
      </c>
      <c r="AO47" s="1387">
        <f>1000000+2500000</f>
        <v>3500000</v>
      </c>
      <c r="AQ47" s="1011">
        <f t="shared" si="2"/>
        <v>-2569998</v>
      </c>
      <c r="AR47" s="1013">
        <f t="shared" si="3"/>
        <v>-7.434186140247967E-2</v>
      </c>
    </row>
    <row r="48" spans="2:44" x14ac:dyDescent="0.35">
      <c r="B48" s="589">
        <v>44</v>
      </c>
      <c r="C48" s="589"/>
      <c r="D48" s="981">
        <v>6427005602</v>
      </c>
      <c r="E48" s="626" t="s">
        <v>437</v>
      </c>
      <c r="F48" s="638" t="s">
        <v>570</v>
      </c>
      <c r="G48" s="1249" t="str">
        <f>E48</f>
        <v>Chi phí tiệc, phúc lợi</v>
      </c>
      <c r="H48" s="638" t="s">
        <v>521</v>
      </c>
      <c r="I48" s="578" t="s">
        <v>623</v>
      </c>
      <c r="J48" s="1010">
        <f>W48/'4.Doanh thu'!$R$60</f>
        <v>2.4992770648834265E-4</v>
      </c>
      <c r="K48" s="1011">
        <v>24891300</v>
      </c>
      <c r="L48" s="1011">
        <v>0</v>
      </c>
      <c r="M48" s="1011">
        <v>0</v>
      </c>
      <c r="N48" s="1011">
        <v>0</v>
      </c>
      <c r="O48" s="1011">
        <v>0</v>
      </c>
      <c r="P48" s="1011">
        <v>0</v>
      </c>
      <c r="Q48" s="1011">
        <v>0</v>
      </c>
      <c r="R48" s="1011">
        <v>0</v>
      </c>
      <c r="S48" s="1011">
        <v>0</v>
      </c>
      <c r="T48" s="1011">
        <v>0</v>
      </c>
      <c r="U48" s="1011">
        <v>0</v>
      </c>
      <c r="V48" s="1011">
        <v>0</v>
      </c>
      <c r="W48" s="1012">
        <f t="shared" si="0"/>
        <v>24891300</v>
      </c>
      <c r="Y48" s="1011">
        <v>24135432</v>
      </c>
      <c r="Z48" s="1011">
        <v>0</v>
      </c>
      <c r="AA48" s="1011">
        <v>0</v>
      </c>
      <c r="AB48" s="1011">
        <v>0</v>
      </c>
      <c r="AC48" s="1011">
        <v>0</v>
      </c>
      <c r="AD48" s="1011">
        <v>0</v>
      </c>
      <c r="AE48" s="1011">
        <v>236428</v>
      </c>
      <c r="AF48" s="1011">
        <v>549749</v>
      </c>
      <c r="AG48" s="1011">
        <v>0</v>
      </c>
      <c r="AH48" s="1011"/>
      <c r="AI48" s="1011"/>
      <c r="AJ48" s="1011"/>
      <c r="AK48" s="1012">
        <f t="shared" si="1"/>
        <v>24921609</v>
      </c>
      <c r="AM48" s="1012">
        <v>16409999</v>
      </c>
      <c r="AO48" s="1387">
        <v>27500000</v>
      </c>
      <c r="AQ48" s="1011">
        <f t="shared" si="2"/>
        <v>-30309</v>
      </c>
      <c r="AR48" s="1013">
        <f t="shared" si="3"/>
        <v>-1.2161734822178083E-3</v>
      </c>
    </row>
    <row r="49" spans="2:44" s="5" customFormat="1" x14ac:dyDescent="0.35">
      <c r="B49" s="589">
        <v>45</v>
      </c>
      <c r="C49" s="589"/>
      <c r="D49" s="981">
        <v>6427005701</v>
      </c>
      <c r="E49" s="626" t="s">
        <v>438</v>
      </c>
      <c r="F49" s="638" t="s">
        <v>597</v>
      </c>
      <c r="G49" s="1249" t="str">
        <f>E49</f>
        <v>Vé bay, tàu, xe, taxi</v>
      </c>
      <c r="H49" s="638" t="s">
        <v>521</v>
      </c>
      <c r="I49" s="578" t="s">
        <v>623</v>
      </c>
      <c r="J49" s="1010">
        <f>W49/'4.Doanh thu'!$R$60</f>
        <v>6.3256822700162666E-5</v>
      </c>
      <c r="K49" s="1011">
        <v>525000</v>
      </c>
      <c r="L49" s="1011">
        <v>525000</v>
      </c>
      <c r="M49" s="1011">
        <v>525000</v>
      </c>
      <c r="N49" s="1011">
        <v>525000</v>
      </c>
      <c r="O49" s="1011">
        <v>525000</v>
      </c>
      <c r="P49" s="1011">
        <v>525000</v>
      </c>
      <c r="Q49" s="1011">
        <v>525000</v>
      </c>
      <c r="R49" s="1011">
        <v>525000</v>
      </c>
      <c r="S49" s="1011">
        <v>525000</v>
      </c>
      <c r="T49" s="1011">
        <v>525000</v>
      </c>
      <c r="U49" s="1011">
        <v>525000</v>
      </c>
      <c r="V49" s="1011">
        <v>525000</v>
      </c>
      <c r="W49" s="1012">
        <f t="shared" si="0"/>
        <v>6300000</v>
      </c>
      <c r="X49"/>
      <c r="Y49" s="1011">
        <v>0</v>
      </c>
      <c r="Z49" s="1011">
        <f>1100000+400000</f>
        <v>1500000</v>
      </c>
      <c r="AA49" s="1011">
        <v>1100000</v>
      </c>
      <c r="AB49" s="1011">
        <v>0</v>
      </c>
      <c r="AC49" s="1011">
        <v>300000</v>
      </c>
      <c r="AD49" s="1011">
        <v>0</v>
      </c>
      <c r="AE49" s="1011">
        <v>0</v>
      </c>
      <c r="AF49" s="1011">
        <v>0</v>
      </c>
      <c r="AG49" s="1011">
        <v>0</v>
      </c>
      <c r="AH49" s="1011">
        <v>1000000</v>
      </c>
      <c r="AI49" s="1011">
        <v>1000000</v>
      </c>
      <c r="AJ49" s="1011">
        <v>1000000</v>
      </c>
      <c r="AK49" s="1012">
        <f t="shared" si="1"/>
        <v>5900000</v>
      </c>
      <c r="AM49" s="1012">
        <v>10550000</v>
      </c>
      <c r="AO49" s="1387"/>
      <c r="AQ49" s="1011">
        <f t="shared" si="2"/>
        <v>400000</v>
      </c>
      <c r="AR49" s="1013">
        <f t="shared" si="3"/>
        <v>6.7796610169491567E-2</v>
      </c>
    </row>
    <row r="50" spans="2:44" hidden="1" x14ac:dyDescent="0.35">
      <c r="B50" s="589">
        <v>46</v>
      </c>
      <c r="C50" s="589"/>
      <c r="D50" s="981">
        <v>6427005702</v>
      </c>
      <c r="E50" s="626" t="s">
        <v>439</v>
      </c>
      <c r="F50" s="638" t="s">
        <v>598</v>
      </c>
      <c r="G50" s="1249" t="s">
        <v>93</v>
      </c>
      <c r="H50" s="638" t="s">
        <v>521</v>
      </c>
      <c r="I50" s="578" t="s">
        <v>623</v>
      </c>
      <c r="J50" s="1010">
        <f>W50/'4.Doanh thu'!$R$60</f>
        <v>0</v>
      </c>
      <c r="K50" s="1011"/>
      <c r="L50" s="1011"/>
      <c r="M50" s="1011"/>
      <c r="N50" s="1011"/>
      <c r="O50" s="1011"/>
      <c r="P50" s="1011"/>
      <c r="Q50" s="1011"/>
      <c r="R50" s="1011"/>
      <c r="S50" s="1011"/>
      <c r="T50" s="1011"/>
      <c r="U50" s="1011"/>
      <c r="V50" s="1011"/>
      <c r="W50" s="1012">
        <f t="shared" si="0"/>
        <v>0</v>
      </c>
      <c r="Y50" s="1011"/>
      <c r="Z50" s="1011"/>
      <c r="AA50" s="1011"/>
      <c r="AB50" s="1011"/>
      <c r="AC50" s="1011"/>
      <c r="AD50" s="1011"/>
      <c r="AE50" s="1011"/>
      <c r="AF50" s="1011"/>
      <c r="AG50" s="1011"/>
      <c r="AH50" s="1011"/>
      <c r="AI50" s="1011"/>
      <c r="AJ50" s="1011"/>
      <c r="AK50" s="1012">
        <f t="shared" si="1"/>
        <v>0</v>
      </c>
      <c r="AM50" s="1012"/>
      <c r="AO50" s="1387"/>
      <c r="AQ50" s="1011">
        <f t="shared" si="2"/>
        <v>0</v>
      </c>
      <c r="AR50" s="1013">
        <f t="shared" si="3"/>
        <v>0</v>
      </c>
    </row>
    <row r="51" spans="2:44" x14ac:dyDescent="0.35">
      <c r="B51" s="589">
        <v>47</v>
      </c>
      <c r="C51" s="589"/>
      <c r="D51" s="981">
        <v>6427005801</v>
      </c>
      <c r="E51" s="626" t="s">
        <v>434</v>
      </c>
      <c r="F51" s="638" t="s">
        <v>590</v>
      </c>
      <c r="G51" s="1249" t="s">
        <v>88</v>
      </c>
      <c r="H51" s="578" t="s">
        <v>513</v>
      </c>
      <c r="I51" s="578" t="s">
        <v>622</v>
      </c>
      <c r="J51" s="1010">
        <f ca="1">W51/'4.Doanh thu'!$R$60</f>
        <v>2.4835870735184849E-3</v>
      </c>
      <c r="K51" s="1011">
        <f ca="1">SUMIF(PB_CPTT!$Z$9:$AQ$103,CPQL!$D$51,PB_CPTT!AF9:AF103)+20000000</f>
        <v>21618395</v>
      </c>
      <c r="L51" s="1011">
        <f ca="1">SUMIF(PB_CPTT!$Z$9:$AQ$103,CPQL!$D$51,PB_CPTT!AG9:AG103)+20000000</f>
        <v>21618395</v>
      </c>
      <c r="M51" s="1011">
        <f ca="1">SUMIF(PB_CPTT!$Z$9:$AQ$103,CPQL!$D$51,PB_CPTT!AH9:AH103)+20000000</f>
        <v>20800487</v>
      </c>
      <c r="N51" s="1011">
        <f ca="1">SUMIF(PB_CPTT!$Z$9:$AQ$103,CPQL!$D$51,PB_CPTT!AI9:AI103)+20000000</f>
        <v>20800479</v>
      </c>
      <c r="O51" s="1011">
        <f ca="1">SUMIF(PB_CPTT!$Z$9:$AQ$103,CPQL!$D$51,PB_CPTT!AJ9:AJ103)+20000000</f>
        <v>20800471</v>
      </c>
      <c r="P51" s="1011">
        <f ca="1">SUMIF(PB_CPTT!$Z$9:$AQ$103,CPQL!$D$51,PB_CPTT!AK9:AK103)+20000000</f>
        <v>20356645</v>
      </c>
      <c r="Q51" s="1011">
        <f ca="1">SUMIF(PB_CPTT!$Z$9:$AQ$103,CPQL!$D$51,PB_CPTT!AL9:AL103)+20000000</f>
        <v>20356645</v>
      </c>
      <c r="R51" s="1011">
        <f ca="1">SUMIF(PB_CPTT!$Z$9:$AQ$103,CPQL!$D$51,PB_CPTT!AM9:AM103)+20000000</f>
        <v>20212162</v>
      </c>
      <c r="S51" s="1011">
        <f ca="1">SUMIF(PB_CPTT!$Z$9:$AQ$103,CPQL!$D$51,PB_CPTT!AN9:AN103)+20000000</f>
        <v>20196673</v>
      </c>
      <c r="T51" s="1011">
        <f ca="1">SUMIF(PB_CPTT!$Z$9:$AQ$103,CPQL!$D$51,PB_CPTT!AO9:AO103)+20000000</f>
        <v>20196673</v>
      </c>
      <c r="U51" s="1011">
        <f ca="1">SUMIF(PB_CPTT!$Z$9:$AQ$103,CPQL!$D$51,PB_CPTT!AP9:AP103)+20000000</f>
        <v>20196673</v>
      </c>
      <c r="V51" s="1011">
        <f ca="1">SUMIF(PB_CPTT!$Z$9:$AQ$103,CPQL!$D$51,PB_CPTT!AQ9:AQ103)+20000000</f>
        <v>20196673</v>
      </c>
      <c r="W51" s="1012">
        <f t="shared" ca="1" si="0"/>
        <v>247350371</v>
      </c>
      <c r="Y51" s="1011">
        <f>352229+22296774</f>
        <v>22649003</v>
      </c>
      <c r="Z51" s="1011">
        <f>352229+18797143</f>
        <v>19149372</v>
      </c>
      <c r="AA51" s="1011">
        <f>1170145+18000000</f>
        <v>19170145</v>
      </c>
      <c r="AB51" s="1011">
        <f>1170145+19680000</f>
        <v>20850145</v>
      </c>
      <c r="AC51" s="1011">
        <f>1170145+18859355</f>
        <v>20029500</v>
      </c>
      <c r="AD51" s="1011">
        <f>1647280+18000000</f>
        <v>19647280</v>
      </c>
      <c r="AE51" s="1011">
        <f>1618395+18000000</f>
        <v>19618395</v>
      </c>
      <c r="AF51" s="1011">
        <f>1618395+18000000</f>
        <v>19618395</v>
      </c>
      <c r="AG51" s="1011">
        <f>1618395+19680000</f>
        <v>21298395</v>
      </c>
      <c r="AH51" s="1011">
        <f>1618395+19680000</f>
        <v>21298395</v>
      </c>
      <c r="AI51" s="1011">
        <f>1618395+19680000</f>
        <v>21298395</v>
      </c>
      <c r="AJ51" s="1011">
        <f>1618395+19680000</f>
        <v>21298395</v>
      </c>
      <c r="AK51" s="1012">
        <f t="shared" si="1"/>
        <v>245925815</v>
      </c>
      <c r="AM51" s="1012">
        <f>4224522+266995483+99228387</f>
        <v>370448392</v>
      </c>
      <c r="AO51" s="1387">
        <f>1840177+2805302</f>
        <v>4645479</v>
      </c>
      <c r="AQ51" s="1011">
        <f t="shared" ca="1" si="2"/>
        <v>1424556</v>
      </c>
      <c r="AR51" s="1013">
        <f t="shared" ca="1" si="3"/>
        <v>5.792624901944432E-3</v>
      </c>
    </row>
    <row r="52" spans="2:44" hidden="1" x14ac:dyDescent="0.35">
      <c r="B52" s="589">
        <v>48</v>
      </c>
      <c r="C52" s="589"/>
      <c r="D52" s="981">
        <v>6427005802</v>
      </c>
      <c r="E52" s="626" t="s">
        <v>476</v>
      </c>
      <c r="F52" s="638" t="s">
        <v>591</v>
      </c>
      <c r="G52" s="1249" t="str">
        <f t="shared" ref="G52:G60" si="8">E52</f>
        <v>Chi phí kiểm toán</v>
      </c>
      <c r="H52" s="578" t="s">
        <v>522</v>
      </c>
      <c r="I52" s="578" t="s">
        <v>623</v>
      </c>
      <c r="J52" s="1010">
        <f>W52/'4.Doanh thu'!$R$60</f>
        <v>0</v>
      </c>
      <c r="K52" s="1011"/>
      <c r="L52" s="1011"/>
      <c r="M52" s="1011"/>
      <c r="N52" s="1011"/>
      <c r="O52" s="1011"/>
      <c r="P52" s="1011"/>
      <c r="Q52" s="1011"/>
      <c r="R52" s="1011"/>
      <c r="S52" s="1011"/>
      <c r="T52" s="1011"/>
      <c r="U52" s="1011"/>
      <c r="V52" s="1011"/>
      <c r="W52" s="1012">
        <f t="shared" si="0"/>
        <v>0</v>
      </c>
      <c r="Y52" s="1011"/>
      <c r="Z52" s="1011"/>
      <c r="AA52" s="1011"/>
      <c r="AB52" s="1011"/>
      <c r="AC52" s="1011"/>
      <c r="AD52" s="1011"/>
      <c r="AE52" s="1011"/>
      <c r="AF52" s="1011"/>
      <c r="AG52" s="1011"/>
      <c r="AH52" s="1011"/>
      <c r="AI52" s="1011"/>
      <c r="AJ52" s="1011"/>
      <c r="AK52" s="1012">
        <f t="shared" si="1"/>
        <v>0</v>
      </c>
      <c r="AM52" s="1012"/>
      <c r="AO52" s="1387"/>
      <c r="AQ52" s="1011">
        <f t="shared" si="2"/>
        <v>0</v>
      </c>
      <c r="AR52" s="1013">
        <f t="shared" si="3"/>
        <v>0</v>
      </c>
    </row>
    <row r="53" spans="2:44" hidden="1" x14ac:dyDescent="0.35">
      <c r="B53" s="589">
        <v>49</v>
      </c>
      <c r="C53" s="589"/>
      <c r="D53" s="981">
        <v>6427005803</v>
      </c>
      <c r="E53" s="626" t="s">
        <v>477</v>
      </c>
      <c r="F53" s="638" t="s">
        <v>575</v>
      </c>
      <c r="G53" s="1249" t="str">
        <f t="shared" si="8"/>
        <v>Chi phí trang trí văn phòng</v>
      </c>
      <c r="H53" s="638" t="s">
        <v>521</v>
      </c>
      <c r="I53" s="578" t="s">
        <v>623</v>
      </c>
      <c r="J53" s="1010">
        <f>W53/'4.Doanh thu'!$R$60</f>
        <v>0</v>
      </c>
      <c r="K53" s="1011"/>
      <c r="L53" s="1011"/>
      <c r="M53" s="1011"/>
      <c r="N53" s="1011"/>
      <c r="O53" s="1011"/>
      <c r="P53" s="1011"/>
      <c r="Q53" s="1011"/>
      <c r="R53" s="1011"/>
      <c r="S53" s="1011"/>
      <c r="T53" s="1011"/>
      <c r="U53" s="1011"/>
      <c r="V53" s="1011"/>
      <c r="W53" s="1012">
        <f t="shared" si="0"/>
        <v>0</v>
      </c>
      <c r="Y53" s="1011"/>
      <c r="Z53" s="1011"/>
      <c r="AA53" s="1011"/>
      <c r="AB53" s="1011"/>
      <c r="AC53" s="1011"/>
      <c r="AD53" s="1011"/>
      <c r="AE53" s="1011"/>
      <c r="AF53" s="1011"/>
      <c r="AG53" s="1011"/>
      <c r="AH53" s="1011"/>
      <c r="AI53" s="1011"/>
      <c r="AJ53" s="1011"/>
      <c r="AK53" s="1012">
        <f t="shared" si="1"/>
        <v>0</v>
      </c>
      <c r="AM53" s="1012"/>
      <c r="AO53" s="1387"/>
      <c r="AQ53" s="1011">
        <f t="shared" si="2"/>
        <v>0</v>
      </c>
      <c r="AR53" s="1013">
        <f t="shared" si="3"/>
        <v>0</v>
      </c>
    </row>
    <row r="54" spans="2:44" hidden="1" x14ac:dyDescent="0.35">
      <c r="B54" s="589">
        <v>50</v>
      </c>
      <c r="C54" s="589"/>
      <c r="D54" s="981">
        <v>6428002803</v>
      </c>
      <c r="E54" s="626" t="s">
        <v>492</v>
      </c>
      <c r="F54" s="638" t="s">
        <v>575</v>
      </c>
      <c r="G54" s="1249" t="str">
        <f t="shared" si="8"/>
        <v>Tiền cà phê, bánh phòng họp</v>
      </c>
      <c r="H54" s="638" t="s">
        <v>521</v>
      </c>
      <c r="I54" s="578" t="s">
        <v>623</v>
      </c>
      <c r="J54" s="1010">
        <f>W54/'4.Doanh thu'!$R$60</f>
        <v>0</v>
      </c>
      <c r="K54" s="1011"/>
      <c r="L54" s="1011"/>
      <c r="M54" s="1011"/>
      <c r="N54" s="1011"/>
      <c r="O54" s="1011"/>
      <c r="P54" s="1011"/>
      <c r="Q54" s="1011"/>
      <c r="R54" s="1011"/>
      <c r="S54" s="1011"/>
      <c r="T54" s="1011"/>
      <c r="U54" s="1011"/>
      <c r="V54" s="1011"/>
      <c r="W54" s="1012">
        <f t="shared" si="0"/>
        <v>0</v>
      </c>
      <c r="Y54" s="1011"/>
      <c r="Z54" s="1011"/>
      <c r="AA54" s="1011"/>
      <c r="AB54" s="1011"/>
      <c r="AC54" s="1011"/>
      <c r="AD54" s="1011"/>
      <c r="AE54" s="1011"/>
      <c r="AF54" s="1011"/>
      <c r="AG54" s="1011"/>
      <c r="AH54" s="1011"/>
      <c r="AI54" s="1011"/>
      <c r="AJ54" s="1011"/>
      <c r="AK54" s="1012">
        <f t="shared" si="1"/>
        <v>0</v>
      </c>
      <c r="AM54" s="1012"/>
      <c r="AO54" s="1387"/>
      <c r="AQ54" s="1011">
        <f t="shared" si="2"/>
        <v>0</v>
      </c>
      <c r="AR54" s="1013">
        <f t="shared" si="3"/>
        <v>0</v>
      </c>
    </row>
    <row r="55" spans="2:44" ht="26" hidden="1" x14ac:dyDescent="0.35">
      <c r="B55" s="589">
        <v>51</v>
      </c>
      <c r="C55" s="589"/>
      <c r="D55" s="981">
        <v>6428004108</v>
      </c>
      <c r="E55" s="626" t="s">
        <v>487</v>
      </c>
      <c r="F55" s="638" t="s">
        <v>595</v>
      </c>
      <c r="G55" s="1249" t="str">
        <f t="shared" si="8"/>
        <v>Chi phí phát triển sản phẩm, thị trường</v>
      </c>
      <c r="H55" s="578" t="s">
        <v>520</v>
      </c>
      <c r="I55" s="578" t="s">
        <v>623</v>
      </c>
      <c r="J55" s="1010">
        <f>W55/'4.Doanh thu'!$R$60</f>
        <v>0</v>
      </c>
      <c r="K55" s="1011"/>
      <c r="L55" s="1011"/>
      <c r="M55" s="1011"/>
      <c r="N55" s="1011"/>
      <c r="O55" s="1011"/>
      <c r="P55" s="1011"/>
      <c r="Q55" s="1011"/>
      <c r="R55" s="1011"/>
      <c r="S55" s="1011"/>
      <c r="T55" s="1011"/>
      <c r="U55" s="1011"/>
      <c r="V55" s="1011"/>
      <c r="W55" s="1012">
        <f t="shared" si="0"/>
        <v>0</v>
      </c>
      <c r="Y55" s="1011"/>
      <c r="Z55" s="1011"/>
      <c r="AA55" s="1011"/>
      <c r="AB55" s="1011"/>
      <c r="AC55" s="1011"/>
      <c r="AD55" s="1011"/>
      <c r="AE55" s="1011"/>
      <c r="AF55" s="1011"/>
      <c r="AG55" s="1011"/>
      <c r="AH55" s="1011"/>
      <c r="AI55" s="1011"/>
      <c r="AJ55" s="1011"/>
      <c r="AK55" s="1012">
        <f t="shared" si="1"/>
        <v>0</v>
      </c>
      <c r="AM55" s="1012"/>
      <c r="AO55" s="1387"/>
      <c r="AQ55" s="1011">
        <f t="shared" si="2"/>
        <v>0</v>
      </c>
      <c r="AR55" s="1013">
        <f t="shared" si="3"/>
        <v>0</v>
      </c>
    </row>
    <row r="56" spans="2:44" hidden="1" x14ac:dyDescent="0.35">
      <c r="B56" s="589">
        <v>52</v>
      </c>
      <c r="C56" s="589"/>
      <c r="D56" s="981">
        <v>6428004202</v>
      </c>
      <c r="E56" s="626" t="s">
        <v>452</v>
      </c>
      <c r="F56" s="638" t="s">
        <v>575</v>
      </c>
      <c r="G56" s="1249" t="str">
        <f t="shared" si="8"/>
        <v>Chi phí bồi thường, nộp phạt</v>
      </c>
      <c r="H56" s="578" t="s">
        <v>522</v>
      </c>
      <c r="I56" s="578" t="s">
        <v>623</v>
      </c>
      <c r="J56" s="1010">
        <f>W56/'4.Doanh thu'!$R$60</f>
        <v>0</v>
      </c>
      <c r="K56" s="1011"/>
      <c r="L56" s="1011"/>
      <c r="M56" s="1011"/>
      <c r="N56" s="1011"/>
      <c r="O56" s="1011"/>
      <c r="P56" s="1011"/>
      <c r="Q56" s="1011"/>
      <c r="R56" s="1011"/>
      <c r="S56" s="1011"/>
      <c r="T56" s="1011"/>
      <c r="U56" s="1011"/>
      <c r="V56" s="1011"/>
      <c r="W56" s="1012">
        <f t="shared" si="0"/>
        <v>0</v>
      </c>
      <c r="Y56" s="1011"/>
      <c r="Z56" s="1011"/>
      <c r="AA56" s="1011"/>
      <c r="AB56" s="1011"/>
      <c r="AC56" s="1011"/>
      <c r="AD56" s="1011"/>
      <c r="AE56" s="1011"/>
      <c r="AF56" s="1011"/>
      <c r="AG56" s="1011"/>
      <c r="AH56" s="1011"/>
      <c r="AI56" s="1011"/>
      <c r="AJ56" s="1011"/>
      <c r="AK56" s="1012">
        <f t="shared" si="1"/>
        <v>0</v>
      </c>
      <c r="AM56" s="1012"/>
      <c r="AO56" s="1387"/>
      <c r="AQ56" s="1011">
        <f t="shared" si="2"/>
        <v>0</v>
      </c>
      <c r="AR56" s="1013">
        <f t="shared" si="3"/>
        <v>0</v>
      </c>
    </row>
    <row r="57" spans="2:44" x14ac:dyDescent="0.35">
      <c r="B57" s="589">
        <v>53</v>
      </c>
      <c r="C57" s="589"/>
      <c r="D57" s="981">
        <v>6428004302</v>
      </c>
      <c r="E57" s="626" t="s">
        <v>483</v>
      </c>
      <c r="F57" s="638" t="s">
        <v>570</v>
      </c>
      <c r="G57" s="1249" t="str">
        <f t="shared" si="8"/>
        <v>Chi phí hiếu hỷ, phúc lợi khác NV</v>
      </c>
      <c r="H57" s="638" t="s">
        <v>521</v>
      </c>
      <c r="I57" s="578" t="s">
        <v>623</v>
      </c>
      <c r="J57" s="1010">
        <f>W57/'4.Doanh thu'!$R$60</f>
        <v>2.2139887945056932E-4</v>
      </c>
      <c r="K57" s="1011">
        <v>0</v>
      </c>
      <c r="L57" s="1011">
        <v>22050000</v>
      </c>
      <c r="M57" s="1011">
        <v>0</v>
      </c>
      <c r="N57" s="1011">
        <v>0</v>
      </c>
      <c r="O57" s="1011">
        <v>0</v>
      </c>
      <c r="P57" s="1011">
        <v>0</v>
      </c>
      <c r="Q57" s="1011">
        <v>0</v>
      </c>
      <c r="R57" s="1011">
        <v>0</v>
      </c>
      <c r="S57" s="1011">
        <v>0</v>
      </c>
      <c r="T57" s="1011">
        <v>0</v>
      </c>
      <c r="U57" s="1011">
        <v>0</v>
      </c>
      <c r="V57" s="1011">
        <v>0</v>
      </c>
      <c r="W57" s="1012">
        <f t="shared" si="0"/>
        <v>22050000</v>
      </c>
      <c r="Y57" s="1011"/>
      <c r="Z57" s="1011"/>
      <c r="AA57" s="1011"/>
      <c r="AB57" s="1011"/>
      <c r="AC57" s="1011"/>
      <c r="AD57" s="1011"/>
      <c r="AE57" s="1011"/>
      <c r="AF57" s="1011"/>
      <c r="AG57" s="1011"/>
      <c r="AH57" s="1011"/>
      <c r="AI57" s="1011"/>
      <c r="AJ57" s="1011"/>
      <c r="AK57" s="1012">
        <f t="shared" si="1"/>
        <v>0</v>
      </c>
      <c r="AM57" s="1012">
        <v>1000000</v>
      </c>
      <c r="AO57" s="1387"/>
      <c r="AQ57" s="1011">
        <f t="shared" si="2"/>
        <v>22050000</v>
      </c>
      <c r="AR57" s="1013">
        <f t="shared" si="3"/>
        <v>0</v>
      </c>
    </row>
    <row r="58" spans="2:44" s="5" customFormat="1" hidden="1" x14ac:dyDescent="0.35">
      <c r="B58" s="589">
        <v>54</v>
      </c>
      <c r="C58" s="589"/>
      <c r="D58" s="981">
        <v>6428004701</v>
      </c>
      <c r="E58" s="626" t="s">
        <v>480</v>
      </c>
      <c r="F58" s="638" t="s">
        <v>601</v>
      </c>
      <c r="G58" s="1249" t="str">
        <f t="shared" si="8"/>
        <v>Chi phí ủng hộ, hỗ trợ, tài trợ</v>
      </c>
      <c r="H58" s="578" t="s">
        <v>513</v>
      </c>
      <c r="I58" s="578" t="s">
        <v>623</v>
      </c>
      <c r="J58" s="1010">
        <f>W58/'4.Doanh thu'!$R$60</f>
        <v>0</v>
      </c>
      <c r="K58" s="1011"/>
      <c r="L58" s="1011"/>
      <c r="M58" s="1011"/>
      <c r="N58" s="1011"/>
      <c r="O58" s="1011"/>
      <c r="P58" s="1011"/>
      <c r="Q58" s="1011"/>
      <c r="R58" s="1011"/>
      <c r="S58" s="1011"/>
      <c r="T58" s="1011"/>
      <c r="U58" s="1011"/>
      <c r="V58" s="1011"/>
      <c r="W58" s="1012">
        <f t="shared" si="0"/>
        <v>0</v>
      </c>
      <c r="X58"/>
      <c r="Y58" s="1011"/>
      <c r="Z58" s="1011">
        <v>2000000</v>
      </c>
      <c r="AA58" s="1011"/>
      <c r="AB58" s="1011"/>
      <c r="AC58" s="1011"/>
      <c r="AD58" s="1011"/>
      <c r="AE58" s="1011"/>
      <c r="AF58" s="1011"/>
      <c r="AG58" s="1011"/>
      <c r="AH58" s="1011"/>
      <c r="AI58" s="1011"/>
      <c r="AJ58" s="1011"/>
      <c r="AK58" s="1012">
        <f t="shared" si="1"/>
        <v>2000000</v>
      </c>
      <c r="AM58" s="1012"/>
      <c r="AO58" s="1387">
        <v>1500000</v>
      </c>
      <c r="AQ58" s="1011">
        <f t="shared" si="2"/>
        <v>-2000000</v>
      </c>
      <c r="AR58" s="1013">
        <f t="shared" si="3"/>
        <v>-1</v>
      </c>
    </row>
    <row r="59" spans="2:44" hidden="1" x14ac:dyDescent="0.35">
      <c r="B59" s="589">
        <v>55</v>
      </c>
      <c r="C59" s="589"/>
      <c r="D59" s="981">
        <v>6428004802</v>
      </c>
      <c r="E59" s="626" t="s">
        <v>448</v>
      </c>
      <c r="F59" s="638" t="s">
        <v>594</v>
      </c>
      <c r="G59" s="1249" t="str">
        <f t="shared" si="8"/>
        <v>Chi phí mua mẫu</v>
      </c>
      <c r="H59" s="578" t="s">
        <v>523</v>
      </c>
      <c r="I59" s="578" t="s">
        <v>623</v>
      </c>
      <c r="J59" s="1010">
        <f>W59/'4.Doanh thu'!$R$60</f>
        <v>0</v>
      </c>
      <c r="K59" s="1011"/>
      <c r="L59" s="1011"/>
      <c r="M59" s="1011"/>
      <c r="N59" s="1011"/>
      <c r="O59" s="1011"/>
      <c r="P59" s="1011"/>
      <c r="Q59" s="1011"/>
      <c r="R59" s="1011"/>
      <c r="S59" s="1011"/>
      <c r="T59" s="1011"/>
      <c r="U59" s="1011"/>
      <c r="V59" s="1011"/>
      <c r="W59" s="1012">
        <f t="shared" si="0"/>
        <v>0</v>
      </c>
      <c r="Y59" s="1011"/>
      <c r="Z59" s="1011"/>
      <c r="AA59" s="1011"/>
      <c r="AB59" s="1011"/>
      <c r="AC59" s="1011"/>
      <c r="AD59" s="1011"/>
      <c r="AE59" s="1011"/>
      <c r="AF59" s="1011"/>
      <c r="AG59" s="1011"/>
      <c r="AH59" s="1011"/>
      <c r="AI59" s="1011"/>
      <c r="AJ59" s="1011"/>
      <c r="AK59" s="1012">
        <f t="shared" si="1"/>
        <v>0</v>
      </c>
      <c r="AM59" s="1012"/>
      <c r="AO59" s="1387"/>
      <c r="AQ59" s="1011">
        <f t="shared" si="2"/>
        <v>0</v>
      </c>
      <c r="AR59" s="1013">
        <f t="shared" si="3"/>
        <v>0</v>
      </c>
    </row>
    <row r="60" spans="2:44" hidden="1" x14ac:dyDescent="0.35">
      <c r="B60" s="589">
        <v>56</v>
      </c>
      <c r="C60" s="589"/>
      <c r="D60" s="981">
        <v>6428005703</v>
      </c>
      <c r="E60" s="626" t="s">
        <v>440</v>
      </c>
      <c r="F60" s="638" t="s">
        <v>597</v>
      </c>
      <c r="G60" s="1249" t="str">
        <f t="shared" si="8"/>
        <v>Chi phí ăn uống</v>
      </c>
      <c r="H60" s="638" t="s">
        <v>521</v>
      </c>
      <c r="I60" s="578" t="s">
        <v>623</v>
      </c>
      <c r="J60" s="1010">
        <f>W60/'4.Doanh thu'!$R$60</f>
        <v>0</v>
      </c>
      <c r="K60" s="1011"/>
      <c r="L60" s="1011"/>
      <c r="M60" s="1011"/>
      <c r="N60" s="1011"/>
      <c r="O60" s="1011"/>
      <c r="P60" s="1011"/>
      <c r="Q60" s="1011"/>
      <c r="R60" s="1011"/>
      <c r="S60" s="1011"/>
      <c r="T60" s="1011"/>
      <c r="U60" s="1011"/>
      <c r="V60" s="1011"/>
      <c r="W60" s="1012">
        <f t="shared" si="0"/>
        <v>0</v>
      </c>
      <c r="Y60" s="1011"/>
      <c r="Z60" s="1011"/>
      <c r="AA60" s="1011"/>
      <c r="AB60" s="1011"/>
      <c r="AC60" s="1011"/>
      <c r="AD60" s="1011"/>
      <c r="AE60" s="1011"/>
      <c r="AF60" s="1011"/>
      <c r="AG60" s="1011"/>
      <c r="AH60" s="1011"/>
      <c r="AI60" s="1011"/>
      <c r="AJ60" s="1011"/>
      <c r="AK60" s="1012">
        <f t="shared" si="1"/>
        <v>0</v>
      </c>
      <c r="AM60" s="1012"/>
      <c r="AO60" s="1387"/>
      <c r="AQ60" s="1011">
        <f t="shared" si="2"/>
        <v>0</v>
      </c>
      <c r="AR60" s="1013">
        <f t="shared" si="3"/>
        <v>0</v>
      </c>
    </row>
    <row r="61" spans="2:44" x14ac:dyDescent="0.35">
      <c r="B61" s="589">
        <v>57</v>
      </c>
      <c r="C61" s="589"/>
      <c r="D61" s="981">
        <v>6428007201</v>
      </c>
      <c r="E61" s="626" t="s">
        <v>96</v>
      </c>
      <c r="F61" s="638" t="s">
        <v>575</v>
      </c>
      <c r="G61" s="1249" t="s">
        <v>96</v>
      </c>
      <c r="H61" s="638" t="s">
        <v>521</v>
      </c>
      <c r="I61" s="578" t="s">
        <v>623</v>
      </c>
      <c r="J61" s="1010">
        <f>W61/'4.Doanh thu'!$R$60</f>
        <v>5.2058187039379891E-4</v>
      </c>
      <c r="K61" s="1011">
        <v>3795569.2333333329</v>
      </c>
      <c r="L61" s="1011">
        <v>3795569.2333333329</v>
      </c>
      <c r="M61" s="1011">
        <v>10095569.233333332</v>
      </c>
      <c r="N61" s="1011">
        <v>3795569.2333333329</v>
      </c>
      <c r="O61" s="1011">
        <v>3795569.2333333329</v>
      </c>
      <c r="P61" s="1011">
        <v>3795569.2333333329</v>
      </c>
      <c r="Q61" s="1011">
        <v>3795569.2333333329</v>
      </c>
      <c r="R61" s="1011">
        <v>3795569.2333333329</v>
      </c>
      <c r="S61" s="1011">
        <v>3795569.2333333329</v>
      </c>
      <c r="T61" s="1011">
        <v>3795569.2333333329</v>
      </c>
      <c r="U61" s="1011">
        <v>3795569.2333333329</v>
      </c>
      <c r="V61" s="1011">
        <v>3795569.2333333329</v>
      </c>
      <c r="W61" s="1012">
        <f t="shared" si="0"/>
        <v>51846830.800000004</v>
      </c>
      <c r="Y61" s="1011">
        <v>500000</v>
      </c>
      <c r="Z61" s="1011">
        <v>0</v>
      </c>
      <c r="AA61" s="1011">
        <f>3159125+100000-287724</f>
        <v>2971401</v>
      </c>
      <c r="AB61" s="1011">
        <f>817916+712000</f>
        <v>1529916</v>
      </c>
      <c r="AC61" s="1011">
        <f>14000000+1405800+765000</f>
        <v>16170800</v>
      </c>
      <c r="AD61" s="1011">
        <f>1236287+215000+705000</f>
        <v>2156287</v>
      </c>
      <c r="AE61" s="1011">
        <v>236428</v>
      </c>
      <c r="AF61" s="1011">
        <f>549749-698000</f>
        <v>-148251</v>
      </c>
      <c r="AG61" s="1011">
        <v>10302050</v>
      </c>
      <c r="AH61" s="1011">
        <v>10000000</v>
      </c>
      <c r="AI61" s="1011">
        <v>10000000</v>
      </c>
      <c r="AJ61" s="1011">
        <v>10000000</v>
      </c>
      <c r="AK61" s="1012">
        <f t="shared" si="1"/>
        <v>63718631</v>
      </c>
      <c r="AM61" s="1012">
        <f>4800000+460000+11514632-6873844</f>
        <v>9900788</v>
      </c>
      <c r="AO61" s="1387">
        <v>700</v>
      </c>
      <c r="AQ61" s="1011">
        <f t="shared" si="2"/>
        <v>-11871800.199999996</v>
      </c>
      <c r="AR61" s="1013">
        <f t="shared" si="3"/>
        <v>-0.18631599602320392</v>
      </c>
    </row>
    <row r="62" spans="2:44" x14ac:dyDescent="0.35">
      <c r="B62" s="589">
        <v>58</v>
      </c>
      <c r="C62" s="589"/>
      <c r="D62" s="981">
        <v>6423001908</v>
      </c>
      <c r="E62" s="626" t="s">
        <v>435</v>
      </c>
      <c r="F62" s="638" t="s">
        <v>580</v>
      </c>
      <c r="G62" s="1249" t="str">
        <f>E62</f>
        <v>Phân bổ công cụ dụng cụ</v>
      </c>
      <c r="H62" s="578" t="s">
        <v>522</v>
      </c>
      <c r="I62" s="578" t="s">
        <v>622</v>
      </c>
      <c r="J62" s="1010">
        <f ca="1">W62/'4.Doanh thu'!$R$60</f>
        <v>0</v>
      </c>
      <c r="K62" s="1011">
        <f ca="1">SUMIF(PB_CPTT!$Z$9:$AQ$103,CPQL!$D$62,PB_CPTT!AF9:AF103)</f>
        <v>0</v>
      </c>
      <c r="L62" s="1011">
        <f ca="1">SUMIF(PB_CPTT!$Z$9:$AQ$103,CPQL!$D$62,PB_CPTT!AG9:AG103)</f>
        <v>0</v>
      </c>
      <c r="M62" s="1011">
        <f ca="1">SUMIF(PB_CPTT!$Z$9:$AQ$103,CPQL!$D$62,PB_CPTT!AH9:AH103)</f>
        <v>0</v>
      </c>
      <c r="N62" s="1011">
        <f ca="1">SUMIF(PB_CPTT!$Z$9:$AQ$103,CPQL!$D$62,PB_CPTT!AI9:AI103)</f>
        <v>0</v>
      </c>
      <c r="O62" s="1011">
        <f ca="1">SUMIF(PB_CPTT!$Z$9:$AQ$103,CPQL!$D$62,PB_CPTT!AJ9:AJ103)</f>
        <v>0</v>
      </c>
      <c r="P62" s="1011">
        <f ca="1">SUMIF(PB_CPTT!$Z$9:$AQ$103,CPQL!$D$62,PB_CPTT!AK9:AK103)</f>
        <v>0</v>
      </c>
      <c r="Q62" s="1011">
        <f ca="1">SUMIF(PB_CPTT!$Z$9:$AQ$103,CPQL!$D$62,PB_CPTT!AL9:AL103)</f>
        <v>0</v>
      </c>
      <c r="R62" s="1011">
        <f ca="1">SUMIF(PB_CPTT!$Z$9:$AQ$103,CPQL!$D$62,PB_CPTT!AM9:AM103)</f>
        <v>0</v>
      </c>
      <c r="S62" s="1011">
        <f ca="1">SUMIF(PB_CPTT!$Z$9:$AQ$103,CPQL!$D$62,PB_CPTT!AN9:AN103)</f>
        <v>0</v>
      </c>
      <c r="T62" s="1011">
        <f ca="1">SUMIF(PB_CPTT!$Z$9:$AQ$103,CPQL!$D$62,PB_CPTT!AO9:AO103)</f>
        <v>0</v>
      </c>
      <c r="U62" s="1011">
        <f ca="1">SUMIF(PB_CPTT!$Z$9:$AQ$103,CPQL!$D$62,PB_CPTT!AP9:AP103)</f>
        <v>0</v>
      </c>
      <c r="V62" s="1011">
        <f ca="1">SUMIF(PB_CPTT!$Z$9:$AQ$103,CPQL!$D$62,PB_CPTT!AQ9:AQ103)</f>
        <v>0</v>
      </c>
      <c r="W62" s="1012">
        <f t="shared" ca="1" si="0"/>
        <v>0</v>
      </c>
      <c r="Y62" s="1011">
        <v>2491403</v>
      </c>
      <c r="Z62" s="1011">
        <v>3424735</v>
      </c>
      <c r="AA62" s="1011"/>
      <c r="AB62" s="1011">
        <f>3091835-817916</f>
        <v>2273919</v>
      </c>
      <c r="AC62" s="1011">
        <v>2101599</v>
      </c>
      <c r="AD62" s="1011"/>
      <c r="AE62" s="1011">
        <v>1962501</v>
      </c>
      <c r="AF62" s="1011">
        <v>1962499</v>
      </c>
      <c r="AG62" s="1011">
        <v>587493</v>
      </c>
      <c r="AH62" s="1011">
        <v>587493</v>
      </c>
      <c r="AI62" s="1011">
        <v>587493</v>
      </c>
      <c r="AJ62" s="1011">
        <v>587493</v>
      </c>
      <c r="AK62" s="1012">
        <f t="shared" si="1"/>
        <v>16566628</v>
      </c>
      <c r="AM62" s="1012">
        <v>6504737</v>
      </c>
      <c r="AO62" s="1387">
        <v>50000000</v>
      </c>
      <c r="AQ62" s="1011">
        <f t="shared" ca="1" si="2"/>
        <v>-16566628</v>
      </c>
      <c r="AR62" s="1013">
        <f t="shared" ca="1" si="3"/>
        <v>-1</v>
      </c>
    </row>
    <row r="63" spans="2:44" x14ac:dyDescent="0.35">
      <c r="B63" s="589">
        <v>59</v>
      </c>
      <c r="C63" s="589"/>
      <c r="D63" s="981"/>
      <c r="E63" s="626" t="s">
        <v>468</v>
      </c>
      <c r="F63" s="638" t="s">
        <v>617</v>
      </c>
      <c r="G63" s="1249" t="str">
        <f>E63</f>
        <v>Chi phí Khấu hao</v>
      </c>
      <c r="H63" s="578" t="s">
        <v>522</v>
      </c>
      <c r="I63" s="578" t="s">
        <v>622</v>
      </c>
      <c r="J63" s="1010">
        <f ca="1">W63/'4.Doanh thu'!$R$60</f>
        <v>1.2839106773500416E-3</v>
      </c>
      <c r="K63" s="1011">
        <f ca="1">SUM(K64:K65)</f>
        <v>10655816.666666668</v>
      </c>
      <c r="L63" s="1011">
        <f t="shared" ref="L63:V63" ca="1" si="9">SUM(L64:L65)</f>
        <v>10655816.666666668</v>
      </c>
      <c r="M63" s="1011">
        <f t="shared" ca="1" si="9"/>
        <v>10655816.666666668</v>
      </c>
      <c r="N63" s="1011">
        <f t="shared" ca="1" si="9"/>
        <v>10655816.666666668</v>
      </c>
      <c r="O63" s="1011">
        <f t="shared" ca="1" si="9"/>
        <v>10655816.666666668</v>
      </c>
      <c r="P63" s="1011">
        <f t="shared" ca="1" si="9"/>
        <v>10655816.666666668</v>
      </c>
      <c r="Q63" s="1011">
        <f t="shared" ca="1" si="9"/>
        <v>10655816.666666668</v>
      </c>
      <c r="R63" s="1011">
        <f t="shared" ca="1" si="9"/>
        <v>10655816.666666668</v>
      </c>
      <c r="S63" s="1011">
        <f t="shared" ca="1" si="9"/>
        <v>10655816.666666668</v>
      </c>
      <c r="T63" s="1011">
        <f t="shared" ca="1" si="9"/>
        <v>10655816.666666668</v>
      </c>
      <c r="U63" s="1011">
        <f t="shared" ca="1" si="9"/>
        <v>10655816.666666668</v>
      </c>
      <c r="V63" s="1011">
        <f t="shared" ca="1" si="9"/>
        <v>10655816.666666668</v>
      </c>
      <c r="W63" s="1012">
        <f t="shared" ca="1" si="0"/>
        <v>127869800.00000004</v>
      </c>
      <c r="Y63" s="1011">
        <f>SUM(Y64:Y65)</f>
        <v>7795267.2727272725</v>
      </c>
      <c r="Z63" s="1011">
        <f t="shared" ref="Z63:AJ63" si="10">SUM(Z64:Z65)</f>
        <v>7795267.2727272725</v>
      </c>
      <c r="AA63" s="1011">
        <f t="shared" si="10"/>
        <v>7795267.2727272725</v>
      </c>
      <c r="AB63" s="1011">
        <f t="shared" si="10"/>
        <v>7795267.2727272725</v>
      </c>
      <c r="AC63" s="1011">
        <f t="shared" si="10"/>
        <v>7795267.2727272725</v>
      </c>
      <c r="AD63" s="1011">
        <f t="shared" si="10"/>
        <v>7795267.2727272725</v>
      </c>
      <c r="AE63" s="1011">
        <f t="shared" si="10"/>
        <v>7795267.2727272725</v>
      </c>
      <c r="AF63" s="1011">
        <f t="shared" si="10"/>
        <v>7795267.2727272725</v>
      </c>
      <c r="AG63" s="1011">
        <f t="shared" si="10"/>
        <v>7795267.2727272725</v>
      </c>
      <c r="AH63" s="1011">
        <f t="shared" si="10"/>
        <v>7795267.2727272725</v>
      </c>
      <c r="AI63" s="1011">
        <f t="shared" si="10"/>
        <v>5952675</v>
      </c>
      <c r="AJ63" s="1011">
        <f t="shared" si="10"/>
        <v>5952675</v>
      </c>
      <c r="AK63" s="1012">
        <f t="shared" si="1"/>
        <v>89858022.727272719</v>
      </c>
      <c r="AM63" s="1011">
        <f t="shared" ref="AM63:AO63" si="11">SUM(AM64:AM65)</f>
        <v>13747942</v>
      </c>
      <c r="AO63" s="1011">
        <f t="shared" si="11"/>
        <v>0</v>
      </c>
      <c r="AQ63" s="1011">
        <f ca="1">IFERROR(W63-AK63,0)</f>
        <v>38011777.272727326</v>
      </c>
      <c r="AR63" s="1013">
        <f t="shared" ca="1" si="3"/>
        <v>0.42302040618116576</v>
      </c>
    </row>
    <row r="64" spans="2:44" hidden="1" x14ac:dyDescent="0.35">
      <c r="B64" s="590"/>
      <c r="C64" s="590"/>
      <c r="D64" s="581">
        <v>6424001907</v>
      </c>
      <c r="E64" s="1380" t="s">
        <v>500</v>
      </c>
      <c r="F64" s="582" t="s">
        <v>673</v>
      </c>
      <c r="G64" s="1249" t="s">
        <v>468</v>
      </c>
      <c r="H64" s="578" t="s">
        <v>522</v>
      </c>
      <c r="I64" s="578" t="s">
        <v>622</v>
      </c>
      <c r="J64" s="1010">
        <f ca="1">W64/'4.Doanh thu'!$R$60</f>
        <v>9.2529419442938341E-4</v>
      </c>
      <c r="K64" s="591">
        <f ca="1">SUMIF(PB_TSCD!$Z$9:$AS$55,CPQL!$D$64,PB_TSCD!AF9:AF50)</f>
        <v>7679479.166666667</v>
      </c>
      <c r="L64" s="591">
        <f ca="1">SUMIF(PB_TSCD!$Z$9:$AS$55,CPQL!$D$64,PB_TSCD!AG9:AG50)</f>
        <v>7679479.166666667</v>
      </c>
      <c r="M64" s="591">
        <f ca="1">SUMIF(PB_TSCD!$Z$9:$AS$55,CPQL!$D$64,PB_TSCD!AH9:AH50)</f>
        <v>7679479.166666667</v>
      </c>
      <c r="N64" s="591">
        <f ca="1">SUMIF(PB_TSCD!$Z$9:$AS$55,CPQL!$D$64,PB_TSCD!AI9:AI50)</f>
        <v>7679479.166666667</v>
      </c>
      <c r="O64" s="591">
        <f ca="1">SUMIF(PB_TSCD!$Z$9:$AS$55,CPQL!$D$64,PB_TSCD!AJ9:AJ50)</f>
        <v>7679479.166666667</v>
      </c>
      <c r="P64" s="591">
        <f ca="1">SUMIF(PB_TSCD!$Z$9:$AS$55,CPQL!$D$64,PB_TSCD!AK9:AK50)</f>
        <v>7679479.166666667</v>
      </c>
      <c r="Q64" s="591">
        <f ca="1">SUMIF(PB_TSCD!$Z$9:$AS$55,CPQL!$D$64,PB_TSCD!AL9:AL50)</f>
        <v>7679479.166666667</v>
      </c>
      <c r="R64" s="591">
        <f ca="1">SUMIF(PB_TSCD!$Z$9:$AS$55,CPQL!$D$64,PB_TSCD!AM9:AM50)</f>
        <v>7679479.166666667</v>
      </c>
      <c r="S64" s="591">
        <f ca="1">SUMIF(PB_TSCD!$Z$9:$AS$55,CPQL!$D$64,PB_TSCD!AN9:AN50)</f>
        <v>7679479.166666667</v>
      </c>
      <c r="T64" s="591">
        <f ca="1">SUMIF(PB_TSCD!$Z$9:$AS$55,CPQL!$D$64,PB_TSCD!AO9:AO50)</f>
        <v>7679479.166666667</v>
      </c>
      <c r="U64" s="591">
        <f ca="1">SUMIF(PB_TSCD!$Z$9:$AS$55,CPQL!$D$64,PB_TSCD!AP9:AP50)</f>
        <v>7679479.166666667</v>
      </c>
      <c r="V64" s="591">
        <f ca="1">SUMIF(PB_TSCD!$Z$9:$AS$55,CPQL!$D$64,PB_TSCD!AQ9:AQ50)</f>
        <v>7679479.166666667</v>
      </c>
      <c r="W64" s="1012">
        <f t="shared" ca="1" si="0"/>
        <v>92153750.000000015</v>
      </c>
      <c r="Y64" s="591">
        <v>1842592.2727272727</v>
      </c>
      <c r="Z64" s="591">
        <v>1842592.2727272727</v>
      </c>
      <c r="AA64" s="591">
        <v>1842592.2727272727</v>
      </c>
      <c r="AB64" s="591">
        <v>1842592.2727272727</v>
      </c>
      <c r="AC64" s="591">
        <v>1842592.2727272727</v>
      </c>
      <c r="AD64" s="591">
        <v>1842592.2727272727</v>
      </c>
      <c r="AE64" s="591">
        <v>1842592.2727272727</v>
      </c>
      <c r="AF64" s="591">
        <v>1842592.2727272727</v>
      </c>
      <c r="AG64" s="591">
        <v>1842592.2727272727</v>
      </c>
      <c r="AH64" s="591">
        <v>1842592.2727272727</v>
      </c>
      <c r="AI64" s="591">
        <v>0</v>
      </c>
      <c r="AJ64" s="591">
        <v>0</v>
      </c>
      <c r="AK64" s="1012">
        <f t="shared" si="1"/>
        <v>18425922.72727273</v>
      </c>
      <c r="AM64" s="599">
        <v>1842592</v>
      </c>
      <c r="AO64" s="599">
        <v>0</v>
      </c>
      <c r="AQ64" s="591">
        <f t="shared" ca="1" si="2"/>
        <v>73727827.272727281</v>
      </c>
      <c r="AR64" s="1009">
        <f t="shared" ca="1" si="3"/>
        <v>4.00130991342977</v>
      </c>
    </row>
    <row r="65" spans="2:44" hidden="1" x14ac:dyDescent="0.35">
      <c r="B65" s="1263"/>
      <c r="C65" s="1263"/>
      <c r="D65" s="474">
        <v>6424001904</v>
      </c>
      <c r="E65" s="1381" t="s">
        <v>497</v>
      </c>
      <c r="F65" s="475" t="s">
        <v>669</v>
      </c>
      <c r="G65" s="1249" t="s">
        <v>468</v>
      </c>
      <c r="H65" s="578" t="s">
        <v>522</v>
      </c>
      <c r="I65" s="578" t="s">
        <v>622</v>
      </c>
      <c r="J65" s="1010">
        <f ca="1">W65/'4.Doanh thu'!$R$60</f>
        <v>3.5861648292065786E-4</v>
      </c>
      <c r="K65" s="591">
        <f ca="1">SUMIF(PB_TSCD!$Z$9:$AS$55,CPQL!$D$65,PB_TSCD!AF9:AF50)</f>
        <v>2976337.5</v>
      </c>
      <c r="L65" s="591">
        <f ca="1">SUMIF(PB_TSCD!$Z$9:$AS$55,CPQL!$D$65,PB_TSCD!AG9:AG50)</f>
        <v>2976337.5</v>
      </c>
      <c r="M65" s="591">
        <f ca="1">SUMIF(PB_TSCD!$Z$9:$AS$55,CPQL!$D$65,PB_TSCD!AH9:AH50)</f>
        <v>2976337.5</v>
      </c>
      <c r="N65" s="591">
        <f ca="1">SUMIF(PB_TSCD!$Z$9:$AS$55,CPQL!$D$65,PB_TSCD!AI9:AI50)</f>
        <v>2976337.5</v>
      </c>
      <c r="O65" s="591">
        <f ca="1">SUMIF(PB_TSCD!$Z$9:$AS$55,CPQL!$D$65,PB_TSCD!AJ9:AJ50)</f>
        <v>2976337.5</v>
      </c>
      <c r="P65" s="591">
        <f ca="1">SUMIF(PB_TSCD!$Z$9:$AS$55,CPQL!$D$65,PB_TSCD!AK9:AK50)</f>
        <v>2976337.5</v>
      </c>
      <c r="Q65" s="591">
        <f ca="1">SUMIF(PB_TSCD!$Z$9:$AS$55,CPQL!$D$65,PB_TSCD!AL9:AL50)</f>
        <v>2976337.5</v>
      </c>
      <c r="R65" s="591">
        <f ca="1">SUMIF(PB_TSCD!$Z$9:$AS$55,CPQL!$D$65,PB_TSCD!AM9:AM50)</f>
        <v>2976337.5</v>
      </c>
      <c r="S65" s="591">
        <f ca="1">SUMIF(PB_TSCD!$Z$9:$AS$55,CPQL!$D$65,PB_TSCD!AN9:AN50)</f>
        <v>2976337.5</v>
      </c>
      <c r="T65" s="591">
        <f ca="1">SUMIF(PB_TSCD!$Z$9:$AS$55,CPQL!$D$65,PB_TSCD!AO9:AO50)</f>
        <v>2976337.5</v>
      </c>
      <c r="U65" s="591">
        <f ca="1">SUMIF(PB_TSCD!$Z$9:$AS$55,CPQL!$D$65,PB_TSCD!AP9:AP50)</f>
        <v>2976337.5</v>
      </c>
      <c r="V65" s="591">
        <f ca="1">SUMIF(PB_TSCD!$Z$9:$AS$55,CPQL!$D$65,PB_TSCD!AQ9:AQ50)</f>
        <v>2976337.5</v>
      </c>
      <c r="W65" s="1012">
        <f t="shared" ca="1" si="0"/>
        <v>35716050</v>
      </c>
      <c r="Y65" s="591">
        <v>5952675</v>
      </c>
      <c r="Z65" s="591">
        <v>5952675</v>
      </c>
      <c r="AA65" s="591">
        <v>5952675</v>
      </c>
      <c r="AB65" s="591">
        <v>5952675</v>
      </c>
      <c r="AC65" s="591">
        <v>5952675</v>
      </c>
      <c r="AD65" s="591">
        <v>5952675</v>
      </c>
      <c r="AE65" s="591">
        <v>5952675</v>
      </c>
      <c r="AF65" s="591">
        <v>5952675</v>
      </c>
      <c r="AG65" s="591">
        <v>5952675</v>
      </c>
      <c r="AH65" s="591">
        <v>5952675</v>
      </c>
      <c r="AI65" s="591">
        <v>5952675</v>
      </c>
      <c r="AJ65" s="591">
        <v>5952675</v>
      </c>
      <c r="AK65" s="1012">
        <f t="shared" si="1"/>
        <v>71432100</v>
      </c>
      <c r="AM65" s="599">
        <v>11905350</v>
      </c>
      <c r="AO65" s="599">
        <v>0</v>
      </c>
      <c r="AQ65" s="591">
        <f t="shared" ref="AQ65:AQ66" ca="1" si="12">IFERROR(W65-AK65,0)</f>
        <v>-35716050</v>
      </c>
      <c r="AR65" s="1009">
        <f t="shared" ref="AR65:AR66" ca="1" si="13">IFERROR((W65/AK65)-1,0)</f>
        <v>-0.5</v>
      </c>
    </row>
    <row r="66" spans="2:44" hidden="1" x14ac:dyDescent="0.35">
      <c r="B66" s="1263"/>
      <c r="C66" s="1263"/>
      <c r="D66" s="474"/>
      <c r="E66" s="1381"/>
      <c r="F66" s="475"/>
      <c r="G66" s="1264"/>
      <c r="H66" s="1265"/>
      <c r="I66" s="1265"/>
      <c r="J66" s="1266"/>
      <c r="K66" s="1266"/>
      <c r="L66" s="1266"/>
      <c r="M66" s="1266"/>
      <c r="N66" s="1266"/>
      <c r="O66" s="1266"/>
      <c r="P66" s="1266"/>
      <c r="Q66" s="1266"/>
      <c r="R66" s="1266"/>
      <c r="S66" s="1266"/>
      <c r="T66" s="1266"/>
      <c r="U66" s="1266"/>
      <c r="V66" s="1266"/>
      <c r="W66" s="1267"/>
      <c r="Y66" s="1266"/>
      <c r="Z66" s="1266"/>
      <c r="AA66" s="1266"/>
      <c r="AB66" s="1266"/>
      <c r="AC66" s="1266"/>
      <c r="AD66" s="1266"/>
      <c r="AE66" s="1266"/>
      <c r="AF66" s="1266"/>
      <c r="AG66" s="1266"/>
      <c r="AH66" s="1266"/>
      <c r="AI66" s="1266"/>
      <c r="AJ66" s="1266"/>
      <c r="AK66" s="1267"/>
      <c r="AM66" s="1267"/>
      <c r="AO66" s="1267"/>
      <c r="AQ66" s="591">
        <f t="shared" si="12"/>
        <v>0</v>
      </c>
      <c r="AR66" s="1009">
        <f t="shared" si="13"/>
        <v>0</v>
      </c>
    </row>
    <row r="67" spans="2:44" hidden="1" x14ac:dyDescent="0.35">
      <c r="B67" s="1263"/>
      <c r="C67" s="1263"/>
      <c r="D67" s="474"/>
      <c r="E67" s="1381"/>
      <c r="F67" s="475"/>
      <c r="G67" s="1264"/>
      <c r="H67" s="1265"/>
      <c r="I67" s="1265"/>
      <c r="J67" s="1266"/>
      <c r="K67" s="1266"/>
      <c r="L67" s="1266"/>
      <c r="M67" s="1266"/>
      <c r="N67" s="1266"/>
      <c r="O67" s="1266"/>
      <c r="P67" s="1266"/>
      <c r="Q67" s="1266"/>
      <c r="R67" s="1266"/>
      <c r="S67" s="1266"/>
      <c r="T67" s="1266"/>
      <c r="U67" s="1266"/>
      <c r="V67" s="1266"/>
      <c r="W67" s="1267"/>
      <c r="Y67" s="1266"/>
      <c r="Z67" s="1266"/>
      <c r="AA67" s="1266"/>
      <c r="AB67" s="1266"/>
      <c r="AC67" s="1266"/>
      <c r="AD67" s="1266"/>
      <c r="AE67" s="1266"/>
      <c r="AF67" s="1266"/>
      <c r="AG67" s="1266"/>
      <c r="AH67" s="1266"/>
      <c r="AI67" s="1266"/>
      <c r="AJ67" s="1266"/>
      <c r="AK67" s="1267"/>
      <c r="AM67" s="1267"/>
      <c r="AO67" s="1267"/>
      <c r="AQ67" s="1266"/>
      <c r="AR67" s="1268"/>
    </row>
    <row r="68" spans="2:44" s="37" customFormat="1" x14ac:dyDescent="0.35">
      <c r="B68" s="387"/>
      <c r="C68" s="389"/>
      <c r="D68" s="388"/>
      <c r="E68" s="1382"/>
      <c r="F68" s="389"/>
      <c r="G68" s="1014" t="s">
        <v>374</v>
      </c>
      <c r="H68" s="390"/>
      <c r="I68" s="391"/>
      <c r="J68" s="392">
        <f ca="1">SUM(J5:J64)</f>
        <v>5.5284193148279162E-2</v>
      </c>
      <c r="K68" s="392">
        <f ca="1">SUM(K5:K63)</f>
        <v>471536610.03414291</v>
      </c>
      <c r="L68" s="392">
        <f t="shared" ref="L68:V68" ca="1" si="14">SUM(L5:L63)</f>
        <v>499621200.03414291</v>
      </c>
      <c r="M68" s="392">
        <f t="shared" ca="1" si="14"/>
        <v>438001005.03414291</v>
      </c>
      <c r="N68" s="392">
        <f t="shared" ca="1" si="14"/>
        <v>441430006.03414291</v>
      </c>
      <c r="O68" s="392">
        <f t="shared" ca="1" si="14"/>
        <v>440990570.03414291</v>
      </c>
      <c r="P68" s="392">
        <f t="shared" ca="1" si="14"/>
        <v>437891777.03414291</v>
      </c>
      <c r="Q68" s="392">
        <f t="shared" ca="1" si="14"/>
        <v>437665344.03414291</v>
      </c>
      <c r="R68" s="392">
        <f t="shared" ca="1" si="14"/>
        <v>493579860.03414291</v>
      </c>
      <c r="S68" s="392">
        <f t="shared" ca="1" si="14"/>
        <v>435408150.03414291</v>
      </c>
      <c r="T68" s="392">
        <f t="shared" ca="1" si="14"/>
        <v>442013302.03414291</v>
      </c>
      <c r="U68" s="392">
        <f t="shared" ca="1" si="14"/>
        <v>434477238.03414291</v>
      </c>
      <c r="V68" s="392">
        <f t="shared" ca="1" si="14"/>
        <v>441205120.03414291</v>
      </c>
      <c r="W68" s="392">
        <f ca="1">SUM(W5:W63)</f>
        <v>5413820182.4097147</v>
      </c>
      <c r="X68"/>
      <c r="Y68" s="568">
        <f>SUM(Y5:Y63)</f>
        <v>319634493.27272725</v>
      </c>
      <c r="Z68" s="568">
        <f t="shared" ref="Z68:AJ68" si="15">SUM(Z5:Z63)</f>
        <v>297721333.27272725</v>
      </c>
      <c r="AA68" s="568">
        <f t="shared" si="15"/>
        <v>273465926.27272725</v>
      </c>
      <c r="AB68" s="568">
        <f t="shared" si="15"/>
        <v>315703121.27272725</v>
      </c>
      <c r="AC68" s="568">
        <f t="shared" si="15"/>
        <v>314869868.27272725</v>
      </c>
      <c r="AD68" s="568">
        <f t="shared" si="15"/>
        <v>277929023.27272725</v>
      </c>
      <c r="AE68" s="568">
        <f t="shared" si="15"/>
        <v>358916205.27272725</v>
      </c>
      <c r="AF68" s="568">
        <f t="shared" si="15"/>
        <v>334519465.27272725</v>
      </c>
      <c r="AG68" s="568">
        <f t="shared" si="15"/>
        <v>322927311.27272725</v>
      </c>
      <c r="AH68" s="568">
        <f t="shared" si="15"/>
        <v>361309598.53568351</v>
      </c>
      <c r="AI68" s="568">
        <f t="shared" si="15"/>
        <v>354304671.26295626</v>
      </c>
      <c r="AJ68" s="568">
        <f t="shared" si="15"/>
        <v>359769939.26295626</v>
      </c>
      <c r="AK68" s="392">
        <f>SUM(AK5:AK63)</f>
        <v>3891070956.5161414</v>
      </c>
      <c r="AM68" s="392">
        <f>SUM(AM5:AM63)</f>
        <v>2036034770</v>
      </c>
      <c r="AO68" s="568">
        <f>SUM(AO5:AO64)</f>
        <v>1414416772</v>
      </c>
      <c r="AQ68" s="568">
        <f ca="1">IFERROR(W68-AK68,0)</f>
        <v>1522749225.8935733</v>
      </c>
      <c r="AR68" s="988">
        <f t="shared" ca="1" si="3"/>
        <v>0.3913445020434585</v>
      </c>
    </row>
    <row r="70" spans="2:44" x14ac:dyDescent="0.35"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1392"/>
      <c r="Y70" s="1220"/>
      <c r="Z70" s="1220"/>
      <c r="AA70" s="1220"/>
      <c r="AB70" s="1220"/>
      <c r="AC70" s="1220"/>
      <c r="AD70" s="1220"/>
      <c r="AE70" s="1220"/>
      <c r="AF70" s="1220"/>
      <c r="AG70" s="1220"/>
      <c r="AH70" s="1220"/>
      <c r="AI70" s="1220"/>
      <c r="AJ70" s="1220"/>
      <c r="AK70" s="1197"/>
    </row>
    <row r="71" spans="2:44" x14ac:dyDescent="0.35">
      <c r="K71" s="50"/>
      <c r="L71" s="50"/>
      <c r="M71" s="50"/>
      <c r="N71" s="50"/>
      <c r="O71" s="50"/>
      <c r="P71" s="50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1197"/>
    </row>
    <row r="72" spans="2:44" x14ac:dyDescent="0.35">
      <c r="K72" s="50"/>
      <c r="L72" s="50"/>
      <c r="M72" s="50"/>
      <c r="N72" s="50"/>
      <c r="O72" s="50"/>
      <c r="P72" s="50"/>
      <c r="Y72" s="76"/>
      <c r="Z72" s="76"/>
      <c r="AA72" s="76"/>
      <c r="AB72" s="76"/>
      <c r="AC72" s="76"/>
      <c r="AD72" s="76"/>
      <c r="AE72" s="76"/>
      <c r="AF72" s="76"/>
      <c r="AG72" s="76"/>
      <c r="AK72" s="76"/>
    </row>
    <row r="73" spans="2:44" x14ac:dyDescent="0.35">
      <c r="K73" s="50"/>
      <c r="L73" s="50"/>
      <c r="M73" s="50"/>
      <c r="N73" s="50"/>
      <c r="O73" s="50"/>
      <c r="P73" s="50"/>
    </row>
    <row r="74" spans="2:44" x14ac:dyDescent="0.35">
      <c r="K74" s="50"/>
      <c r="L74" s="50"/>
      <c r="M74" s="50"/>
      <c r="N74" s="50"/>
      <c r="O74" s="50"/>
      <c r="P74" s="50"/>
      <c r="Y74" s="76"/>
      <c r="Z74" s="76"/>
      <c r="AA74" s="76"/>
      <c r="AB74" s="76"/>
      <c r="AC74" s="76"/>
      <c r="AD74" s="76"/>
      <c r="AE74" s="76"/>
      <c r="AF74" s="76"/>
      <c r="AG74" s="76"/>
    </row>
    <row r="75" spans="2:44" x14ac:dyDescent="0.35">
      <c r="K75" s="50"/>
      <c r="L75" s="50"/>
      <c r="M75" s="50"/>
      <c r="N75" s="50"/>
      <c r="O75" s="50"/>
      <c r="P75" s="50"/>
      <c r="Y75" s="76"/>
      <c r="Z75" s="76"/>
      <c r="AA75" s="76"/>
      <c r="AB75" s="76"/>
      <c r="AC75" s="76"/>
      <c r="AD75" s="76"/>
      <c r="AE75" s="76"/>
      <c r="AF75" s="76"/>
      <c r="AG75" s="76"/>
    </row>
    <row r="76" spans="2:44" x14ac:dyDescent="0.35">
      <c r="K76" s="50"/>
      <c r="L76" s="50"/>
      <c r="M76" s="50"/>
      <c r="N76" s="50"/>
      <c r="O76" s="50"/>
      <c r="P76" s="50"/>
      <c r="Y76" s="76"/>
      <c r="Z76" s="76"/>
      <c r="AA76" s="76"/>
      <c r="AB76" s="76"/>
      <c r="AC76" s="76"/>
      <c r="AD76" s="76"/>
      <c r="AE76" s="76"/>
      <c r="AF76" s="76"/>
      <c r="AG76" s="76"/>
    </row>
    <row r="77" spans="2:44" x14ac:dyDescent="0.35">
      <c r="K77" s="50"/>
      <c r="L77" s="50"/>
      <c r="M77" s="50"/>
      <c r="N77" s="50"/>
      <c r="O77" s="50"/>
      <c r="P77" s="50"/>
      <c r="Y77" s="1220"/>
      <c r="Z77" s="1220"/>
      <c r="AA77" s="1220"/>
      <c r="AB77" s="1220"/>
      <c r="AC77" s="1220"/>
      <c r="AD77" s="1220"/>
      <c r="AE77" s="1220"/>
      <c r="AF77" s="1220"/>
      <c r="AG77" s="1220"/>
    </row>
    <row r="78" spans="2:44" x14ac:dyDescent="0.35">
      <c r="K78" s="50"/>
      <c r="L78" s="50"/>
      <c r="M78" s="50"/>
      <c r="N78" s="50"/>
      <c r="O78" s="50"/>
      <c r="P78" s="50"/>
      <c r="Y78" s="1220"/>
      <c r="Z78" s="1220"/>
      <c r="AA78" s="1220"/>
      <c r="AB78" s="1220"/>
      <c r="AC78" s="1220"/>
      <c r="AD78" s="1220"/>
      <c r="AE78" s="1220"/>
      <c r="AF78" s="1220"/>
      <c r="AG78" s="1220"/>
    </row>
    <row r="79" spans="2:44" x14ac:dyDescent="0.35">
      <c r="Y79" s="1220"/>
      <c r="Z79" s="1220"/>
      <c r="AA79" s="1220"/>
      <c r="AB79" s="1220"/>
      <c r="AC79" s="1220"/>
      <c r="AD79" s="1220"/>
      <c r="AE79" s="1220"/>
      <c r="AF79" s="1220"/>
      <c r="AG79" s="1220"/>
    </row>
    <row r="80" spans="2:44" x14ac:dyDescent="0.35">
      <c r="I80" s="602"/>
      <c r="L80" s="393"/>
      <c r="Y80" s="966"/>
      <c r="Z80" s="966"/>
      <c r="AA80" s="966"/>
      <c r="AB80" s="966"/>
      <c r="AC80" s="966"/>
      <c r="AD80" s="966"/>
      <c r="AE80" s="966"/>
      <c r="AF80" s="966"/>
      <c r="AG80" s="966"/>
    </row>
    <row r="81" spans="25:33" x14ac:dyDescent="0.35">
      <c r="Y81" s="76"/>
      <c r="Z81" s="76"/>
      <c r="AA81" s="76"/>
      <c r="AB81" s="76"/>
      <c r="AC81" s="76"/>
      <c r="AD81" s="76"/>
      <c r="AE81" s="76"/>
      <c r="AF81" s="76"/>
      <c r="AG81" s="76"/>
    </row>
    <row r="82" spans="25:33" x14ac:dyDescent="0.35">
      <c r="Y82" s="1219"/>
      <c r="Z82" s="1219"/>
      <c r="AA82" s="1219"/>
      <c r="AB82" s="1219"/>
      <c r="AC82" s="1219"/>
      <c r="AD82" s="1219"/>
      <c r="AE82" s="1219"/>
      <c r="AF82" s="1219"/>
      <c r="AG82" s="1219"/>
    </row>
    <row r="109" spans="26:26" x14ac:dyDescent="0.35">
      <c r="Z109" s="6" t="s">
        <v>29</v>
      </c>
    </row>
  </sheetData>
  <autoFilter ref="B4:AU65" xr:uid="{BB5F51F7-E093-420E-9C5F-9D14F66B5141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529A-14E8-4C2B-A0BE-19A298F8B8A6}">
  <sheetPr>
    <tabColor theme="9"/>
  </sheetPr>
  <dimension ref="B1:AU137"/>
  <sheetViews>
    <sheetView showGridLines="0" zoomScale="85" zoomScaleNormal="85" workbookViewId="0">
      <pane xSplit="1" ySplit="4" topLeftCell="E43" activePane="bottomRight" state="frozen"/>
      <selection pane="topRight" activeCell="B1" sqref="B1"/>
      <selection pane="bottomLeft" activeCell="A5" sqref="A5"/>
      <selection pane="bottomRight" activeCell="G34" sqref="G34"/>
    </sheetView>
  </sheetViews>
  <sheetFormatPr defaultColWidth="8.81640625" defaultRowHeight="14" outlineLevelRow="1" outlineLevelCol="1" x14ac:dyDescent="0.3"/>
  <cols>
    <col min="1" max="1" width="2.81640625" style="496" customWidth="1"/>
    <col min="2" max="2" width="6" style="496" customWidth="1"/>
    <col min="3" max="3" width="11.54296875" style="1349" customWidth="1" outlineLevel="1"/>
    <col min="4" max="4" width="14.453125" style="496" bestFit="1" customWidth="1"/>
    <col min="5" max="5" width="41.54296875" style="496" bestFit="1" customWidth="1"/>
    <col min="6" max="6" width="39.54296875" style="496" bestFit="1" customWidth="1"/>
    <col min="7" max="7" width="43.54296875" style="496" customWidth="1" outlineLevel="1"/>
    <col min="8" max="9" width="27.54296875" style="496" customWidth="1" outlineLevel="1"/>
    <col min="10" max="10" width="14.1796875" style="496" customWidth="1" outlineLevel="1"/>
    <col min="11" max="22" width="9.453125" style="496" customWidth="1" outlineLevel="1"/>
    <col min="23" max="23" width="9.453125" style="1350" bestFit="1" customWidth="1"/>
    <col min="24" max="24" width="2" style="496" customWidth="1"/>
    <col min="25" max="36" width="9.453125" style="496" hidden="1" customWidth="1" outlineLevel="1"/>
    <col min="37" max="37" width="9.453125" style="1350" bestFit="1" customWidth="1" collapsed="1"/>
    <col min="38" max="38" width="2.54296875" style="496" customWidth="1"/>
    <col min="39" max="39" width="9.453125" style="1350" bestFit="1" customWidth="1"/>
    <col min="40" max="40" width="2.453125" style="496" customWidth="1"/>
    <col min="41" max="41" width="9.453125" style="1350" bestFit="1" customWidth="1"/>
    <col min="42" max="42" width="2.453125" style="496" customWidth="1"/>
    <col min="43" max="43" width="10.81640625" style="496" customWidth="1"/>
    <col min="44" max="44" width="10.453125" style="1351" customWidth="1"/>
    <col min="45" max="16384" width="8.81640625" style="496"/>
  </cols>
  <sheetData>
    <row r="1" spans="2:47" s="36" customFormat="1" ht="13" x14ac:dyDescent="0.35">
      <c r="B1" s="371"/>
      <c r="C1" s="40"/>
      <c r="D1" s="371"/>
      <c r="E1" s="371"/>
      <c r="F1" s="371"/>
      <c r="G1" s="372"/>
      <c r="H1" s="372"/>
      <c r="I1" s="372"/>
      <c r="J1" s="372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1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1"/>
      <c r="AM1" s="81"/>
      <c r="AO1" s="81"/>
      <c r="AR1" s="1321"/>
    </row>
    <row r="2" spans="2:47" s="36" customFormat="1" ht="13" x14ac:dyDescent="0.35">
      <c r="B2" s="40"/>
      <c r="C2" s="40"/>
      <c r="D2" s="2"/>
      <c r="E2" s="1"/>
      <c r="F2" s="1"/>
      <c r="G2" s="1"/>
      <c r="H2" s="372"/>
      <c r="I2" s="372"/>
      <c r="J2" s="372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1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1"/>
      <c r="AM2" s="81"/>
      <c r="AO2" s="81"/>
      <c r="AR2" s="1321"/>
    </row>
    <row r="3" spans="2:47" s="36" customFormat="1" ht="16.399999999999999" customHeight="1" x14ac:dyDescent="0.35">
      <c r="B3" s="138" t="s">
        <v>1644</v>
      </c>
      <c r="C3" s="40"/>
      <c r="D3" s="2"/>
      <c r="E3" s="1"/>
      <c r="F3" s="1"/>
      <c r="G3" s="1"/>
      <c r="H3" s="372"/>
      <c r="I3" s="372"/>
      <c r="J3" s="372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592" t="s">
        <v>233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592"/>
      <c r="AM3" s="592"/>
      <c r="AO3" s="592"/>
      <c r="AR3" s="1321"/>
    </row>
    <row r="4" spans="2:47" s="36" customFormat="1" ht="42" x14ac:dyDescent="0.35">
      <c r="B4" s="377" t="s">
        <v>0</v>
      </c>
      <c r="C4" s="381" t="s">
        <v>2231</v>
      </c>
      <c r="D4" s="668" t="s">
        <v>568</v>
      </c>
      <c r="E4" s="379" t="s">
        <v>470</v>
      </c>
      <c r="F4" s="669" t="s">
        <v>701</v>
      </c>
      <c r="G4" s="377" t="s">
        <v>702</v>
      </c>
      <c r="H4" s="377" t="s">
        <v>2230</v>
      </c>
      <c r="I4" s="377" t="s">
        <v>132</v>
      </c>
      <c r="J4" s="381" t="s">
        <v>2232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2" t="s">
        <v>56</v>
      </c>
      <c r="Z4" s="942" t="s">
        <v>57</v>
      </c>
      <c r="AA4" s="942" t="s">
        <v>58</v>
      </c>
      <c r="AB4" s="942" t="s">
        <v>59</v>
      </c>
      <c r="AC4" s="942" t="s">
        <v>60</v>
      </c>
      <c r="AD4" s="942" t="s">
        <v>61</v>
      </c>
      <c r="AE4" s="942" t="s">
        <v>62</v>
      </c>
      <c r="AF4" s="942" t="s">
        <v>63</v>
      </c>
      <c r="AG4" s="942" t="s">
        <v>64</v>
      </c>
      <c r="AH4" s="942" t="s">
        <v>65</v>
      </c>
      <c r="AI4" s="942" t="s">
        <v>66</v>
      </c>
      <c r="AJ4" s="942" t="s">
        <v>67</v>
      </c>
      <c r="AK4" s="942" t="s">
        <v>405</v>
      </c>
      <c r="AM4" s="942" t="s">
        <v>1942</v>
      </c>
      <c r="AO4" s="942" t="s">
        <v>1943</v>
      </c>
      <c r="AQ4" s="942" t="s">
        <v>2240</v>
      </c>
      <c r="AR4" s="942" t="s">
        <v>749</v>
      </c>
      <c r="AS4" s="944" t="s">
        <v>750</v>
      </c>
    </row>
    <row r="5" spans="2:47" s="36" customFormat="1" ht="14.5" x14ac:dyDescent="0.35">
      <c r="B5" s="138" t="s">
        <v>630</v>
      </c>
      <c r="C5" s="40"/>
      <c r="D5" s="195"/>
      <c r="E5" s="138"/>
      <c r="F5" s="138"/>
      <c r="G5" s="138"/>
      <c r="H5" s="372"/>
      <c r="I5" s="372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37"/>
      <c r="Y5"/>
      <c r="Z5"/>
      <c r="AA5"/>
      <c r="AB5"/>
      <c r="AC5"/>
      <c r="AD5"/>
      <c r="AE5"/>
      <c r="AF5"/>
      <c r="AG5"/>
      <c r="AH5"/>
      <c r="AI5"/>
      <c r="AJ5"/>
      <c r="AK5" s="37"/>
      <c r="AL5"/>
      <c r="AM5" s="37"/>
      <c r="AN5"/>
      <c r="AO5" s="37"/>
      <c r="AP5"/>
      <c r="AQ5" s="37"/>
      <c r="AR5" s="1322"/>
      <c r="AS5"/>
    </row>
    <row r="6" spans="2:47" s="37" customFormat="1" ht="21" customHeight="1" x14ac:dyDescent="0.35">
      <c r="B6" s="389" t="s">
        <v>2</v>
      </c>
      <c r="C6" s="1323"/>
      <c r="D6" s="656"/>
      <c r="E6" s="652" t="s">
        <v>85</v>
      </c>
      <c r="F6" s="657"/>
      <c r="G6" s="657"/>
      <c r="H6" s="657"/>
      <c r="I6" s="657"/>
      <c r="J6" s="657"/>
      <c r="K6" s="1324">
        <f t="shared" ref="K6:W6" ca="1" si="0">SUM(K7:K27)</f>
        <v>584621246.00651312</v>
      </c>
      <c r="L6" s="568">
        <f t="shared" ca="1" si="0"/>
        <v>548760403.06370831</v>
      </c>
      <c r="M6" s="568">
        <f t="shared" ca="1" si="0"/>
        <v>588721741.98744798</v>
      </c>
      <c r="N6" s="568">
        <f t="shared" ca="1" si="0"/>
        <v>629513749.96838284</v>
      </c>
      <c r="O6" s="568">
        <f t="shared" ca="1" si="0"/>
        <v>604651273.96838284</v>
      </c>
      <c r="P6" s="568">
        <f t="shared" ca="1" si="0"/>
        <v>623300367.96838284</v>
      </c>
      <c r="Q6" s="568">
        <f t="shared" ca="1" si="0"/>
        <v>654828818.96838284</v>
      </c>
      <c r="R6" s="568">
        <f t="shared" ca="1" si="0"/>
        <v>666795291.96838284</v>
      </c>
      <c r="S6" s="568">
        <f t="shared" ca="1" si="0"/>
        <v>659769950.96838284</v>
      </c>
      <c r="T6" s="568">
        <f t="shared" ca="1" si="0"/>
        <v>608345000.96838284</v>
      </c>
      <c r="U6" s="568">
        <f t="shared" ca="1" si="0"/>
        <v>623300367.96838284</v>
      </c>
      <c r="V6" s="568">
        <f t="shared" ca="1" si="0"/>
        <v>612946134.96838284</v>
      </c>
      <c r="W6" s="568">
        <f t="shared" ca="1" si="0"/>
        <v>7405554348.7731152</v>
      </c>
      <c r="Y6" s="568">
        <f t="shared" ref="Y6:AO6" si="1">SUM(Y7:Y27)</f>
        <v>458006251</v>
      </c>
      <c r="Z6" s="568">
        <f t="shared" si="1"/>
        <v>514698769</v>
      </c>
      <c r="AA6" s="568">
        <f t="shared" si="1"/>
        <v>565464977</v>
      </c>
      <c r="AB6" s="568">
        <f t="shared" si="1"/>
        <v>545848251</v>
      </c>
      <c r="AC6" s="568">
        <f t="shared" si="1"/>
        <v>471157389</v>
      </c>
      <c r="AD6" s="568">
        <f t="shared" si="1"/>
        <v>510904926</v>
      </c>
      <c r="AE6" s="568">
        <f t="shared" si="1"/>
        <v>596494016</v>
      </c>
      <c r="AF6" s="568">
        <f t="shared" si="1"/>
        <v>504198697</v>
      </c>
      <c r="AG6" s="568">
        <f t="shared" si="1"/>
        <v>489060853</v>
      </c>
      <c r="AH6" s="568">
        <f t="shared" si="1"/>
        <v>587014475.49564302</v>
      </c>
      <c r="AI6" s="568">
        <f t="shared" si="1"/>
        <v>587014475.49564302</v>
      </c>
      <c r="AJ6" s="568">
        <f t="shared" si="1"/>
        <v>587014475.49564302</v>
      </c>
      <c r="AK6" s="568">
        <f t="shared" si="1"/>
        <v>6416877555.4869289</v>
      </c>
      <c r="AM6" s="568">
        <f t="shared" si="1"/>
        <v>5628274897</v>
      </c>
      <c r="AO6" s="568">
        <f t="shared" si="1"/>
        <v>6761252368.499999</v>
      </c>
      <c r="AQ6" s="568">
        <f>SUM(AQ7:AQ27)</f>
        <v>8490240716.1111107</v>
      </c>
      <c r="AR6" s="1325">
        <f ca="1">IFERROR(W6-AK6,0)</f>
        <v>988676793.28618622</v>
      </c>
      <c r="AS6" s="1326">
        <f ca="1">IFERROR((W6/AK6)-1,0)</f>
        <v>0.15407443647429275</v>
      </c>
    </row>
    <row r="7" spans="2:47" s="36" customFormat="1" ht="13" x14ac:dyDescent="0.25">
      <c r="B7" s="570">
        <v>1</v>
      </c>
      <c r="C7" s="588"/>
      <c r="D7" s="997">
        <v>6220002601</v>
      </c>
      <c r="E7" s="584" t="s">
        <v>454</v>
      </c>
      <c r="F7" s="584" t="s">
        <v>569</v>
      </c>
      <c r="G7" s="584" t="s">
        <v>454</v>
      </c>
      <c r="H7" s="588" t="s">
        <v>2238</v>
      </c>
      <c r="I7" s="997" t="s">
        <v>521</v>
      </c>
      <c r="J7" s="588"/>
      <c r="K7" s="915">
        <f>CPSX!K6</f>
        <v>319281001</v>
      </c>
      <c r="L7" s="915">
        <f>CPSX!L6</f>
        <v>315134117</v>
      </c>
      <c r="M7" s="915">
        <f>CPSX!M6</f>
        <v>304474766</v>
      </c>
      <c r="N7" s="915">
        <f>CPSX!N6</f>
        <v>331634117</v>
      </c>
      <c r="O7" s="915">
        <f>CPSX!O6</f>
        <v>303627885</v>
      </c>
      <c r="P7" s="915">
        <f>CPSX!P6</f>
        <v>331634117</v>
      </c>
      <c r="Q7" s="915">
        <f>CPSX!Q6</f>
        <v>322581001</v>
      </c>
      <c r="R7" s="915">
        <f>CPSX!R6</f>
        <v>322581001</v>
      </c>
      <c r="S7" s="915">
        <f>CPSX!S6</f>
        <v>325034117</v>
      </c>
      <c r="T7" s="915">
        <f>CPSX!T6</f>
        <v>313527885</v>
      </c>
      <c r="U7" s="915">
        <f>CPSX!U6</f>
        <v>331634117</v>
      </c>
      <c r="V7" s="915">
        <f>CPSX!V6</f>
        <v>322581001</v>
      </c>
      <c r="W7" s="998">
        <f>SUM(K7:V7)</f>
        <v>3843725125</v>
      </c>
      <c r="Y7" s="915">
        <f>CPSX!Y6</f>
        <v>313398044</v>
      </c>
      <c r="Z7" s="915">
        <f>CPSX!Z6</f>
        <v>334053041</v>
      </c>
      <c r="AA7" s="915">
        <f>CPSX!AA6</f>
        <v>389512950</v>
      </c>
      <c r="AB7" s="915">
        <f>CPSX!AB6</f>
        <v>386175704</v>
      </c>
      <c r="AC7" s="915">
        <f>CPSX!AC6</f>
        <v>315774843</v>
      </c>
      <c r="AD7" s="915">
        <f>CPSX!AD6</f>
        <v>366425376</v>
      </c>
      <c r="AE7" s="915">
        <f>CPSX!AE6</f>
        <v>375641348</v>
      </c>
      <c r="AF7" s="915">
        <f>CPSX!AF6</f>
        <v>365311869</v>
      </c>
      <c r="AG7" s="915">
        <f>CPSX!AG6</f>
        <v>326101430</v>
      </c>
      <c r="AH7" s="915">
        <f>CPSX!AH6</f>
        <v>396356929.33333302</v>
      </c>
      <c r="AI7" s="915">
        <f>CPSX!AI6</f>
        <v>396356929.33333302</v>
      </c>
      <c r="AJ7" s="915">
        <f>CPSX!AJ6</f>
        <v>396356929.33333302</v>
      </c>
      <c r="AK7" s="998">
        <f>SUM(Y7:AJ7)</f>
        <v>4361465392.999999</v>
      </c>
      <c r="AM7" s="915">
        <f>CPSX!AM6</f>
        <v>3659401713</v>
      </c>
      <c r="AO7" s="915">
        <f>CPSX!AO6</f>
        <v>4564471443.3999996</v>
      </c>
      <c r="AQ7" s="915">
        <v>2058664938</v>
      </c>
      <c r="AR7" s="916">
        <f t="shared" ref="AR7:AR70" si="2">IFERROR(W7-AK7,0)</f>
        <v>-517740267.99999905</v>
      </c>
      <c r="AS7" s="1327">
        <f t="shared" ref="AS7:AS70" si="3">IFERROR((W7/AK7)-1,0)</f>
        <v>-0.11870787025639462</v>
      </c>
    </row>
    <row r="8" spans="2:47" s="36" customFormat="1" ht="13" x14ac:dyDescent="0.25">
      <c r="B8" s="575">
        <v>2</v>
      </c>
      <c r="C8" s="588"/>
      <c r="D8" s="981">
        <v>6220002602</v>
      </c>
      <c r="E8" s="638" t="s">
        <v>455</v>
      </c>
      <c r="F8" s="638" t="s">
        <v>569</v>
      </c>
      <c r="G8" s="638" t="s">
        <v>455</v>
      </c>
      <c r="H8" s="588" t="s">
        <v>2238</v>
      </c>
      <c r="I8" s="981" t="s">
        <v>521</v>
      </c>
      <c r="J8" s="588"/>
      <c r="K8" s="915">
        <f>CPSX!K7</f>
        <v>14238964</v>
      </c>
      <c r="L8" s="915">
        <f>CPSX!L7</f>
        <v>14238964</v>
      </c>
      <c r="M8" s="915">
        <f>CPSX!M7</f>
        <v>14238964</v>
      </c>
      <c r="N8" s="915">
        <f>CPSX!N7</f>
        <v>14238964</v>
      </c>
      <c r="O8" s="915">
        <f>CPSX!O7</f>
        <v>14238964</v>
      </c>
      <c r="P8" s="915">
        <f>CPSX!P7</f>
        <v>14238964</v>
      </c>
      <c r="Q8" s="915">
        <f>CPSX!Q7</f>
        <v>14238964</v>
      </c>
      <c r="R8" s="915">
        <f>CPSX!R7</f>
        <v>14238964</v>
      </c>
      <c r="S8" s="915">
        <f>CPSX!S7</f>
        <v>14238964</v>
      </c>
      <c r="T8" s="915">
        <f>CPSX!T7</f>
        <v>14238964</v>
      </c>
      <c r="U8" s="915">
        <f>CPSX!U7</f>
        <v>14238964</v>
      </c>
      <c r="V8" s="915">
        <f>CPSX!V7</f>
        <v>14238964</v>
      </c>
      <c r="W8" s="998">
        <f t="shared" ref="W8:W26" si="4">SUM(K8:V8)</f>
        <v>170867568</v>
      </c>
      <c r="Y8" s="915">
        <f>CPSX!Y7</f>
        <v>15575000</v>
      </c>
      <c r="Z8" s="915">
        <f>CPSX!Z7</f>
        <v>15158333</v>
      </c>
      <c r="AA8" s="915">
        <f>CPSX!AA7</f>
        <v>14741667</v>
      </c>
      <c r="AB8" s="915">
        <f>CPSX!AB7</f>
        <v>13075000</v>
      </c>
      <c r="AC8" s="915">
        <f>CPSX!AC7</f>
        <v>12175000</v>
      </c>
      <c r="AD8" s="915">
        <f>CPSX!AD7</f>
        <v>12591667</v>
      </c>
      <c r="AE8" s="915">
        <f>CPSX!AE7</f>
        <v>12525000</v>
      </c>
      <c r="AF8" s="915">
        <f>CPSX!AF7</f>
        <v>11691667</v>
      </c>
      <c r="AG8" s="915">
        <f>CPSX!AG7</f>
        <v>11691667</v>
      </c>
      <c r="AH8" s="915">
        <f>CPSX!AH7</f>
        <v>11691666.333333343</v>
      </c>
      <c r="AI8" s="915">
        <f>CPSX!AI7</f>
        <v>11691666.333333343</v>
      </c>
      <c r="AJ8" s="915">
        <f>CPSX!AJ7</f>
        <v>11691666.333333343</v>
      </c>
      <c r="AK8" s="998">
        <f t="shared" ref="AK8:AK57" si="5">SUM(Y8:AJ8)</f>
        <v>154300000.00000003</v>
      </c>
      <c r="AM8" s="915">
        <f>CPSX!AM7</f>
        <v>179574999</v>
      </c>
      <c r="AO8" s="915">
        <f>CPSX!AO7</f>
        <v>268976664.44999999</v>
      </c>
      <c r="AQ8" s="915">
        <v>3065755097</v>
      </c>
      <c r="AR8" s="916">
        <f t="shared" si="2"/>
        <v>16567567.99999997</v>
      </c>
      <c r="AS8" s="1327">
        <f t="shared" si="3"/>
        <v>0.10737244329228757</v>
      </c>
      <c r="AU8" s="1201"/>
    </row>
    <row r="9" spans="2:47" s="36" customFormat="1" ht="13" x14ac:dyDescent="0.25">
      <c r="B9" s="575">
        <v>3</v>
      </c>
      <c r="C9" s="588"/>
      <c r="D9" s="981">
        <v>6220002802</v>
      </c>
      <c r="E9" s="638" t="s">
        <v>458</v>
      </c>
      <c r="F9" s="638" t="s">
        <v>570</v>
      </c>
      <c r="G9" s="638" t="s">
        <v>458</v>
      </c>
      <c r="H9" s="588" t="s">
        <v>2238</v>
      </c>
      <c r="I9" s="981" t="s">
        <v>521</v>
      </c>
      <c r="J9" s="588"/>
      <c r="K9" s="915">
        <f>CPSX!K8</f>
        <v>5400000</v>
      </c>
      <c r="L9" s="915">
        <f>CPSX!L8</f>
        <v>0</v>
      </c>
      <c r="M9" s="915">
        <f>CPSX!M8</f>
        <v>0</v>
      </c>
      <c r="N9" s="915">
        <f>CPSX!N8</f>
        <v>0</v>
      </c>
      <c r="O9" s="915">
        <f>CPSX!O8</f>
        <v>10800000</v>
      </c>
      <c r="P9" s="915">
        <f>CPSX!P8</f>
        <v>0</v>
      </c>
      <c r="Q9" s="915">
        <f>CPSX!Q8</f>
        <v>0</v>
      </c>
      <c r="R9" s="915">
        <f>CPSX!R8</f>
        <v>0</v>
      </c>
      <c r="S9" s="915">
        <f>CPSX!S8</f>
        <v>5400000</v>
      </c>
      <c r="T9" s="915">
        <f>CPSX!T8</f>
        <v>0</v>
      </c>
      <c r="U9" s="915">
        <f>CPSX!U8</f>
        <v>0</v>
      </c>
      <c r="V9" s="915">
        <f>CPSX!V8</f>
        <v>0</v>
      </c>
      <c r="W9" s="998">
        <f t="shared" si="4"/>
        <v>21600000</v>
      </c>
      <c r="Y9" s="915">
        <f>CPSX!Y8</f>
        <v>2647625</v>
      </c>
      <c r="Z9" s="915">
        <f>CPSX!Z8</f>
        <v>2576795</v>
      </c>
      <c r="AA9" s="915">
        <f>CPSX!AA8</f>
        <v>2505965</v>
      </c>
      <c r="AB9" s="915">
        <f>CPSX!AB8</f>
        <v>2585145</v>
      </c>
      <c r="AC9" s="915">
        <f>CPSX!AC8</f>
        <v>2069653</v>
      </c>
      <c r="AD9" s="915">
        <f>CPSX!AD8</f>
        <v>2140483</v>
      </c>
      <c r="AE9" s="915">
        <f>CPSX!AE8</f>
        <v>2129150</v>
      </c>
      <c r="AF9" s="915">
        <f>CPSX!AF8</f>
        <v>1987490</v>
      </c>
      <c r="AG9" s="915">
        <f>CPSX!AG8</f>
        <v>1987490</v>
      </c>
      <c r="AH9" s="915">
        <f>CPSX!AH8</f>
        <v>21662489.866666678</v>
      </c>
      <c r="AI9" s="915">
        <f>CPSX!AI8</f>
        <v>21662489.866666678</v>
      </c>
      <c r="AJ9" s="915">
        <f>CPSX!AJ8</f>
        <v>21662489.866666678</v>
      </c>
      <c r="AK9" s="998">
        <f t="shared" si="5"/>
        <v>85617265.600000024</v>
      </c>
      <c r="AM9" s="915">
        <f>CPSX!AM8</f>
        <v>36333936</v>
      </c>
      <c r="AO9" s="915">
        <f>CPSX!AO8</f>
        <v>65147833.649999999</v>
      </c>
      <c r="AQ9" s="915">
        <v>30166352</v>
      </c>
      <c r="AR9" s="916">
        <f t="shared" si="2"/>
        <v>-64017265.600000024</v>
      </c>
      <c r="AS9" s="1327">
        <f t="shared" si="3"/>
        <v>-0.7477144376355791</v>
      </c>
    </row>
    <row r="10" spans="2:47" s="36" customFormat="1" ht="13" x14ac:dyDescent="0.25">
      <c r="B10" s="575">
        <v>4</v>
      </c>
      <c r="C10" s="588"/>
      <c r="D10" s="981">
        <v>6220002806</v>
      </c>
      <c r="E10" s="638" t="s">
        <v>471</v>
      </c>
      <c r="F10" s="638" t="s">
        <v>569</v>
      </c>
      <c r="G10" s="638" t="s">
        <v>471</v>
      </c>
      <c r="H10" s="588" t="s">
        <v>2238</v>
      </c>
      <c r="I10" s="981" t="s">
        <v>521</v>
      </c>
      <c r="J10" s="588"/>
      <c r="K10" s="915">
        <f>CPSX!K9</f>
        <v>1371159</v>
      </c>
      <c r="L10" s="915">
        <f>CPSX!L9</f>
        <v>1371159</v>
      </c>
      <c r="M10" s="915">
        <f>CPSX!M9</f>
        <v>1371159</v>
      </c>
      <c r="N10" s="915">
        <f>CPSX!N9</f>
        <v>1371159</v>
      </c>
      <c r="O10" s="915">
        <f>CPSX!O9</f>
        <v>1371159</v>
      </c>
      <c r="P10" s="915">
        <f>CPSX!P9</f>
        <v>1371159</v>
      </c>
      <c r="Q10" s="915">
        <f>CPSX!Q9</f>
        <v>1371159</v>
      </c>
      <c r="R10" s="915">
        <f>CPSX!R9</f>
        <v>1371159</v>
      </c>
      <c r="S10" s="915">
        <f>CPSX!S9</f>
        <v>1371159</v>
      </c>
      <c r="T10" s="915">
        <f>CPSX!T9</f>
        <v>1371159</v>
      </c>
      <c r="U10" s="915">
        <f>CPSX!U9</f>
        <v>1371159</v>
      </c>
      <c r="V10" s="915">
        <f>CPSX!V9</f>
        <v>1371159</v>
      </c>
      <c r="W10" s="998">
        <f t="shared" si="4"/>
        <v>16453908</v>
      </c>
      <c r="Y10" s="915">
        <f>CPSX!Y9</f>
        <v>0</v>
      </c>
      <c r="Z10" s="915">
        <f>CPSX!Z9</f>
        <v>0</v>
      </c>
      <c r="AA10" s="915">
        <f>CPSX!AA9</f>
        <v>0</v>
      </c>
      <c r="AB10" s="915">
        <f>CPSX!AB9</f>
        <v>0</v>
      </c>
      <c r="AC10" s="915">
        <f>CPSX!AC9</f>
        <v>0</v>
      </c>
      <c r="AD10" s="915">
        <f>CPSX!AD9</f>
        <v>0</v>
      </c>
      <c r="AE10" s="915">
        <f>CPSX!AE9</f>
        <v>0</v>
      </c>
      <c r="AF10" s="915">
        <f>CPSX!AF9</f>
        <v>0</v>
      </c>
      <c r="AG10" s="915">
        <f>CPSX!AG9</f>
        <v>0</v>
      </c>
      <c r="AH10" s="915">
        <f>CPSX!AH9</f>
        <v>0</v>
      </c>
      <c r="AI10" s="915">
        <f>CPSX!AI9</f>
        <v>0</v>
      </c>
      <c r="AJ10" s="915">
        <f>CPSX!AJ9</f>
        <v>0</v>
      </c>
      <c r="AK10" s="998">
        <f t="shared" si="5"/>
        <v>0</v>
      </c>
      <c r="AM10" s="915">
        <f>CPSX!AM9</f>
        <v>0</v>
      </c>
      <c r="AO10" s="915">
        <f>CPSX!AO9</f>
        <v>0</v>
      </c>
      <c r="AQ10" s="915"/>
      <c r="AR10" s="916">
        <f t="shared" si="2"/>
        <v>16453908</v>
      </c>
      <c r="AS10" s="1327">
        <f t="shared" si="3"/>
        <v>0</v>
      </c>
    </row>
    <row r="11" spans="2:47" s="36" customFormat="1" ht="13" x14ac:dyDescent="0.25">
      <c r="B11" s="575">
        <v>5</v>
      </c>
      <c r="C11" s="588"/>
      <c r="D11" s="981">
        <v>6220007202</v>
      </c>
      <c r="E11" s="638" t="s">
        <v>431</v>
      </c>
      <c r="F11" s="638" t="s">
        <v>570</v>
      </c>
      <c r="G11" s="638" t="s">
        <v>431</v>
      </c>
      <c r="H11" s="588" t="s">
        <v>2238</v>
      </c>
      <c r="I11" s="981" t="s">
        <v>521</v>
      </c>
      <c r="J11" s="588"/>
      <c r="K11" s="915">
        <f>CPSX!K10</f>
        <v>0</v>
      </c>
      <c r="L11" s="915">
        <f>CPSX!L10</f>
        <v>19250000</v>
      </c>
      <c r="M11" s="915">
        <f>CPSX!M10</f>
        <v>0</v>
      </c>
      <c r="N11" s="915">
        <f>CPSX!N10</f>
        <v>0</v>
      </c>
      <c r="O11" s="915">
        <f>CPSX!O10</f>
        <v>0</v>
      </c>
      <c r="P11" s="915">
        <f>CPSX!P10</f>
        <v>0</v>
      </c>
      <c r="Q11" s="915">
        <f>CPSX!Q10</f>
        <v>0</v>
      </c>
      <c r="R11" s="915">
        <f>CPSX!R10</f>
        <v>0</v>
      </c>
      <c r="S11" s="915">
        <f>CPSX!S10</f>
        <v>0</v>
      </c>
      <c r="T11" s="915">
        <f>CPSX!T10</f>
        <v>0</v>
      </c>
      <c r="U11" s="915">
        <f>CPSX!U10</f>
        <v>0</v>
      </c>
      <c r="V11" s="915">
        <f>CPSX!V10</f>
        <v>0</v>
      </c>
      <c r="W11" s="998">
        <f t="shared" si="4"/>
        <v>19250000</v>
      </c>
      <c r="Y11" s="915">
        <f>CPSX!Y10</f>
        <v>0</v>
      </c>
      <c r="Z11" s="915">
        <f>CPSX!Z10</f>
        <v>0</v>
      </c>
      <c r="AA11" s="915">
        <f>CPSX!AA10</f>
        <v>0</v>
      </c>
      <c r="AB11" s="915">
        <f>CPSX!AB10</f>
        <v>0</v>
      </c>
      <c r="AC11" s="915">
        <f>CPSX!AC10</f>
        <v>0</v>
      </c>
      <c r="AD11" s="915">
        <f>CPSX!AD10</f>
        <v>0</v>
      </c>
      <c r="AE11" s="915">
        <f>CPSX!AE10</f>
        <v>0</v>
      </c>
      <c r="AF11" s="915">
        <f>CPSX!AF10</f>
        <v>0</v>
      </c>
      <c r="AG11" s="915">
        <f>CPSX!AG10</f>
        <v>0</v>
      </c>
      <c r="AH11" s="915">
        <f>CPSX!AH10</f>
        <v>0</v>
      </c>
      <c r="AI11" s="915">
        <f>CPSX!AI10</f>
        <v>0</v>
      </c>
      <c r="AJ11" s="915">
        <f>CPSX!AJ10</f>
        <v>0</v>
      </c>
      <c r="AK11" s="998">
        <f t="shared" si="5"/>
        <v>0</v>
      </c>
      <c r="AM11" s="915">
        <f>CPSX!AM10</f>
        <v>0</v>
      </c>
      <c r="AO11" s="915">
        <f>CPSX!AO10</f>
        <v>0</v>
      </c>
      <c r="AQ11" s="915"/>
      <c r="AR11" s="916">
        <f t="shared" si="2"/>
        <v>19250000</v>
      </c>
      <c r="AS11" s="1327">
        <f t="shared" si="3"/>
        <v>0</v>
      </c>
    </row>
    <row r="12" spans="2:47" s="36" customFormat="1" ht="13" x14ac:dyDescent="0.25">
      <c r="B12" s="575">
        <v>6</v>
      </c>
      <c r="C12" s="588"/>
      <c r="D12" s="981">
        <v>6220003201</v>
      </c>
      <c r="E12" s="638" t="s">
        <v>460</v>
      </c>
      <c r="F12" s="638" t="s">
        <v>570</v>
      </c>
      <c r="G12" s="638" t="s">
        <v>460</v>
      </c>
      <c r="H12" s="588" t="s">
        <v>2238</v>
      </c>
      <c r="I12" s="981" t="s">
        <v>521</v>
      </c>
      <c r="J12" s="588"/>
      <c r="K12" s="915">
        <f>CPSX!K11</f>
        <v>26775000</v>
      </c>
      <c r="L12" s="915">
        <f>CPSX!L11</f>
        <v>23562000</v>
      </c>
      <c r="M12" s="915">
        <f>CPSX!M11</f>
        <v>25704000</v>
      </c>
      <c r="N12" s="915">
        <f>CPSX!N11</f>
        <v>28917000</v>
      </c>
      <c r="O12" s="915">
        <f>CPSX!O11</f>
        <v>23562000</v>
      </c>
      <c r="P12" s="915">
        <f>CPSX!P11</f>
        <v>28917000</v>
      </c>
      <c r="Q12" s="915">
        <f>CPSX!Q11</f>
        <v>27846000</v>
      </c>
      <c r="R12" s="915">
        <f>CPSX!R11</f>
        <v>27846000</v>
      </c>
      <c r="S12" s="915">
        <f>CPSX!S11</f>
        <v>26775000</v>
      </c>
      <c r="T12" s="915">
        <f>CPSX!T11</f>
        <v>26775000</v>
      </c>
      <c r="U12" s="915">
        <f>CPSX!U11</f>
        <v>28917000</v>
      </c>
      <c r="V12" s="915">
        <f>CPSX!V11</f>
        <v>27846000</v>
      </c>
      <c r="W12" s="998">
        <f t="shared" si="4"/>
        <v>323442000</v>
      </c>
      <c r="Y12" s="915">
        <f>CPSX!Y11</f>
        <v>20700000</v>
      </c>
      <c r="Z12" s="915">
        <f>CPSX!Z11</f>
        <v>33550000</v>
      </c>
      <c r="AA12" s="915">
        <f>CPSX!AA11</f>
        <v>33150000</v>
      </c>
      <c r="AB12" s="915">
        <f>CPSX!AB11</f>
        <v>29225000</v>
      </c>
      <c r="AC12" s="915">
        <f>CPSX!AC11</f>
        <v>31224470</v>
      </c>
      <c r="AD12" s="915">
        <f>CPSX!AD11</f>
        <v>31185000</v>
      </c>
      <c r="AE12" s="915">
        <f>CPSX!AE11</f>
        <v>75480430</v>
      </c>
      <c r="AF12" s="915">
        <f>CPSX!AF11</f>
        <v>-11122709</v>
      </c>
      <c r="AG12" s="915">
        <f>CPSX!AG11</f>
        <v>25963509</v>
      </c>
      <c r="AH12" s="915">
        <f>CPSX!AH11</f>
        <v>25963509</v>
      </c>
      <c r="AI12" s="915">
        <f>CPSX!AI11</f>
        <v>25963509</v>
      </c>
      <c r="AJ12" s="915">
        <f>CPSX!AJ11</f>
        <v>25963509</v>
      </c>
      <c r="AK12" s="998">
        <f t="shared" si="5"/>
        <v>347246227</v>
      </c>
      <c r="AM12" s="915">
        <f>CPSX!AM11</f>
        <v>265910000</v>
      </c>
      <c r="AO12" s="915">
        <f>CPSX!AO11</f>
        <v>326942500</v>
      </c>
      <c r="AQ12" s="915">
        <v>115500000</v>
      </c>
      <c r="AR12" s="916">
        <f t="shared" si="2"/>
        <v>-23804227</v>
      </c>
      <c r="AS12" s="1327">
        <f t="shared" si="3"/>
        <v>-6.855143454157675E-2</v>
      </c>
    </row>
    <row r="13" spans="2:47" s="36" customFormat="1" ht="13" x14ac:dyDescent="0.25">
      <c r="B13" s="575">
        <v>7</v>
      </c>
      <c r="C13" s="588"/>
      <c r="D13" s="981">
        <v>6220002603</v>
      </c>
      <c r="E13" s="638" t="s">
        <v>459</v>
      </c>
      <c r="F13" s="638" t="s">
        <v>569</v>
      </c>
      <c r="G13" s="638" t="s">
        <v>459</v>
      </c>
      <c r="H13" s="588" t="s">
        <v>2238</v>
      </c>
      <c r="I13" s="981" t="s">
        <v>521</v>
      </c>
      <c r="J13" s="588"/>
      <c r="K13" s="915">
        <f>CPSX!K12</f>
        <v>0</v>
      </c>
      <c r="L13" s="915">
        <f>CPSX!L12</f>
        <v>0</v>
      </c>
      <c r="M13" s="915">
        <f>CPSX!M12</f>
        <v>0</v>
      </c>
      <c r="N13" s="915">
        <f>CPSX!N12</f>
        <v>0</v>
      </c>
      <c r="O13" s="915">
        <f>CPSX!O12</f>
        <v>0</v>
      </c>
      <c r="P13" s="915">
        <f>CPSX!P12</f>
        <v>0</v>
      </c>
      <c r="Q13" s="915">
        <f>CPSX!Q12</f>
        <v>0</v>
      </c>
      <c r="R13" s="915">
        <f>CPSX!R12</f>
        <v>0</v>
      </c>
      <c r="S13" s="915">
        <f>CPSX!S12</f>
        <v>0</v>
      </c>
      <c r="T13" s="915">
        <f>CPSX!T12</f>
        <v>0</v>
      </c>
      <c r="U13" s="915">
        <f>CPSX!U12</f>
        <v>0</v>
      </c>
      <c r="V13" s="915">
        <f>CPSX!V12</f>
        <v>0</v>
      </c>
      <c r="W13" s="998">
        <f t="shared" si="4"/>
        <v>0</v>
      </c>
      <c r="Y13" s="915">
        <f>CPSX!Y12</f>
        <v>0</v>
      </c>
      <c r="Z13" s="915">
        <f>CPSX!Z12</f>
        <v>0</v>
      </c>
      <c r="AA13" s="915">
        <f>CPSX!AA12</f>
        <v>0</v>
      </c>
      <c r="AB13" s="915">
        <f>CPSX!AB12</f>
        <v>0</v>
      </c>
      <c r="AC13" s="915">
        <f>CPSX!AC12</f>
        <v>0</v>
      </c>
      <c r="AD13" s="915">
        <f>CPSX!AD12</f>
        <v>0</v>
      </c>
      <c r="AE13" s="915">
        <f>CPSX!AE12</f>
        <v>0</v>
      </c>
      <c r="AF13" s="915">
        <f>CPSX!AF12</f>
        <v>0</v>
      </c>
      <c r="AG13" s="915">
        <f>CPSX!AG12</f>
        <v>0</v>
      </c>
      <c r="AH13" s="915">
        <f>CPSX!AH12</f>
        <v>0</v>
      </c>
      <c r="AI13" s="915">
        <f>CPSX!AI12</f>
        <v>0</v>
      </c>
      <c r="AJ13" s="915">
        <f>CPSX!AJ12</f>
        <v>0</v>
      </c>
      <c r="AK13" s="998">
        <f t="shared" si="5"/>
        <v>0</v>
      </c>
      <c r="AM13" s="915">
        <f>CPSX!AM12</f>
        <v>0</v>
      </c>
      <c r="AO13" s="915">
        <f>CPSX!AO12</f>
        <v>0</v>
      </c>
      <c r="AQ13" s="915"/>
      <c r="AR13" s="916">
        <f t="shared" si="2"/>
        <v>0</v>
      </c>
      <c r="AS13" s="1327">
        <f t="shared" si="3"/>
        <v>0</v>
      </c>
    </row>
    <row r="14" spans="2:47" s="36" customFormat="1" ht="13" x14ac:dyDescent="0.25">
      <c r="B14" s="575">
        <v>8</v>
      </c>
      <c r="C14" s="588"/>
      <c r="D14" s="981">
        <v>6220003401</v>
      </c>
      <c r="E14" s="638" t="s">
        <v>456</v>
      </c>
      <c r="F14" s="638" t="s">
        <v>570</v>
      </c>
      <c r="G14" s="638" t="s">
        <v>456</v>
      </c>
      <c r="H14" s="588" t="s">
        <v>2238</v>
      </c>
      <c r="I14" s="981" t="s">
        <v>521</v>
      </c>
      <c r="J14" s="588"/>
      <c r="K14" s="915">
        <f>CPSX!K13</f>
        <v>35151537</v>
      </c>
      <c r="L14" s="915">
        <f>CPSX!L13</f>
        <v>35151537</v>
      </c>
      <c r="M14" s="915">
        <f>CPSX!M13</f>
        <v>35151537</v>
      </c>
      <c r="N14" s="915">
        <f>CPSX!N13</f>
        <v>35151537</v>
      </c>
      <c r="O14" s="915">
        <f>CPSX!O13</f>
        <v>35151537</v>
      </c>
      <c r="P14" s="915">
        <f>CPSX!P13</f>
        <v>35151537</v>
      </c>
      <c r="Q14" s="915">
        <f>CPSX!Q13</f>
        <v>35151537</v>
      </c>
      <c r="R14" s="915">
        <f>CPSX!R13</f>
        <v>35151537</v>
      </c>
      <c r="S14" s="915">
        <f>CPSX!S13</f>
        <v>35151537</v>
      </c>
      <c r="T14" s="915">
        <f>CPSX!T13</f>
        <v>35151537</v>
      </c>
      <c r="U14" s="915">
        <f>CPSX!U13</f>
        <v>35151537</v>
      </c>
      <c r="V14" s="915">
        <f>CPSX!V13</f>
        <v>35151537</v>
      </c>
      <c r="W14" s="998">
        <f t="shared" si="4"/>
        <v>421818444</v>
      </c>
      <c r="Y14" s="915">
        <f>CPSX!Y13</f>
        <v>39606590</v>
      </c>
      <c r="Z14" s="915">
        <f>CPSX!Z13</f>
        <v>34323000</v>
      </c>
      <c r="AA14" s="915">
        <f>CPSX!AA13</f>
        <v>35639000</v>
      </c>
      <c r="AB14" s="915">
        <f>CPSX!AB13</f>
        <v>34400000</v>
      </c>
      <c r="AC14" s="915">
        <f>CPSX!AC13</f>
        <v>30125000</v>
      </c>
      <c r="AD14" s="915">
        <f>CPSX!AD13</f>
        <v>31425000</v>
      </c>
      <c r="AE14" s="915">
        <f>CPSX!AE13</f>
        <v>30550000</v>
      </c>
      <c r="AF14" s="915">
        <f>CPSX!AF13</f>
        <v>29700000</v>
      </c>
      <c r="AG14" s="915">
        <f>CPSX!AG13</f>
        <v>29025000</v>
      </c>
      <c r="AH14" s="915">
        <f>CPSX!AH13</f>
        <v>41560470</v>
      </c>
      <c r="AI14" s="915">
        <f>CPSX!AI13</f>
        <v>41560470</v>
      </c>
      <c r="AJ14" s="915">
        <f>CPSX!AJ13</f>
        <v>41560470</v>
      </c>
      <c r="AK14" s="998">
        <f t="shared" si="5"/>
        <v>419475000</v>
      </c>
      <c r="AM14" s="915">
        <f>CPSX!AM13</f>
        <v>488871000</v>
      </c>
      <c r="AO14" s="915">
        <f>CPSX!AO13</f>
        <v>566745889</v>
      </c>
      <c r="AQ14" s="915">
        <v>239225314</v>
      </c>
      <c r="AR14" s="916">
        <f t="shared" si="2"/>
        <v>2343444</v>
      </c>
      <c r="AS14" s="1327">
        <f t="shared" si="3"/>
        <v>5.586611836223776E-3</v>
      </c>
    </row>
    <row r="15" spans="2:47" s="36" customFormat="1" ht="13" x14ac:dyDescent="0.25">
      <c r="B15" s="575">
        <v>9</v>
      </c>
      <c r="C15" s="588"/>
      <c r="D15" s="981">
        <v>6220002701</v>
      </c>
      <c r="E15" s="638" t="s">
        <v>457</v>
      </c>
      <c r="F15" s="638" t="s">
        <v>569</v>
      </c>
      <c r="G15" s="638" t="s">
        <v>457</v>
      </c>
      <c r="H15" s="588" t="s">
        <v>2238</v>
      </c>
      <c r="I15" s="981" t="s">
        <v>521</v>
      </c>
      <c r="J15" s="588"/>
      <c r="K15" s="915">
        <f>CPSX!K14</f>
        <v>5753129</v>
      </c>
      <c r="L15" s="915">
        <f>CPSX!L14</f>
        <v>7087837</v>
      </c>
      <c r="M15" s="915">
        <f>CPSX!M14</f>
        <v>16568971</v>
      </c>
      <c r="N15" s="915">
        <f>CPSX!N14</f>
        <v>12426739</v>
      </c>
      <c r="O15" s="915">
        <f>CPSX!O14</f>
        <v>10125495</v>
      </c>
      <c r="P15" s="915">
        <f>CPSX!P14</f>
        <v>6213357</v>
      </c>
      <c r="Q15" s="915">
        <f>CPSX!Q14</f>
        <v>47865924</v>
      </c>
      <c r="R15" s="915">
        <f>CPSX!R14</f>
        <v>59832397</v>
      </c>
      <c r="S15" s="915">
        <f>CPSX!S14</f>
        <v>46024940</v>
      </c>
      <c r="T15" s="915">
        <f>CPSX!T14</f>
        <v>11506222</v>
      </c>
      <c r="U15" s="915">
        <f>CPSX!U14</f>
        <v>6213357</v>
      </c>
      <c r="V15" s="915">
        <f>CPSX!V14</f>
        <v>5983240</v>
      </c>
      <c r="W15" s="998">
        <f t="shared" si="4"/>
        <v>235601608</v>
      </c>
      <c r="Y15" s="915">
        <f>CPSX!Y14</f>
        <v>0</v>
      </c>
      <c r="Z15" s="915">
        <f>CPSX!Z14</f>
        <v>0</v>
      </c>
      <c r="AA15" s="915">
        <f>CPSX!AA14</f>
        <v>0</v>
      </c>
      <c r="AB15" s="915">
        <f>CPSX!AB14</f>
        <v>0</v>
      </c>
      <c r="AC15" s="915">
        <f>CPSX!AC14</f>
        <v>0</v>
      </c>
      <c r="AD15" s="915">
        <f>CPSX!AD14</f>
        <v>0</v>
      </c>
      <c r="AE15" s="915">
        <f>CPSX!AE14</f>
        <v>0</v>
      </c>
      <c r="AF15" s="915">
        <f>CPSX!AF14</f>
        <v>0</v>
      </c>
      <c r="AG15" s="915">
        <f>CPSX!AG14</f>
        <v>0</v>
      </c>
      <c r="AH15" s="915">
        <f>CPSX!AH14</f>
        <v>0</v>
      </c>
      <c r="AI15" s="915">
        <f>CPSX!AI14</f>
        <v>0</v>
      </c>
      <c r="AJ15" s="915">
        <f>CPSX!AJ14</f>
        <v>0</v>
      </c>
      <c r="AK15" s="998">
        <f t="shared" si="5"/>
        <v>0</v>
      </c>
      <c r="AM15" s="915">
        <f>CPSX!AM14</f>
        <v>0</v>
      </c>
      <c r="AO15" s="915">
        <f>CPSX!AO14</f>
        <v>0</v>
      </c>
      <c r="AQ15" s="915"/>
      <c r="AR15" s="916">
        <f t="shared" si="2"/>
        <v>235601608</v>
      </c>
      <c r="AS15" s="1327">
        <f t="shared" si="3"/>
        <v>0</v>
      </c>
    </row>
    <row r="16" spans="2:47" s="36" customFormat="1" ht="13" x14ac:dyDescent="0.25">
      <c r="B16" s="575">
        <v>10</v>
      </c>
      <c r="C16" s="588"/>
      <c r="D16" s="981" t="s">
        <v>809</v>
      </c>
      <c r="E16" s="638" t="s">
        <v>810</v>
      </c>
      <c r="F16" s="638" t="s">
        <v>811</v>
      </c>
      <c r="G16" s="638" t="s">
        <v>810</v>
      </c>
      <c r="H16" s="588" t="s">
        <v>2238</v>
      </c>
      <c r="I16" s="981" t="s">
        <v>521</v>
      </c>
      <c r="J16" s="588"/>
      <c r="K16" s="915">
        <f>CPSX!K15</f>
        <v>0</v>
      </c>
      <c r="L16" s="915">
        <f>CPSX!L15</f>
        <v>0</v>
      </c>
      <c r="M16" s="915">
        <f>CPSX!M15</f>
        <v>0</v>
      </c>
      <c r="N16" s="915">
        <f>CPSX!N15</f>
        <v>0</v>
      </c>
      <c r="O16" s="915">
        <f>CPSX!O15</f>
        <v>0</v>
      </c>
      <c r="P16" s="915">
        <f>CPSX!P15</f>
        <v>0</v>
      </c>
      <c r="Q16" s="915">
        <f>CPSX!Q15</f>
        <v>0</v>
      </c>
      <c r="R16" s="915">
        <f>CPSX!R15</f>
        <v>0</v>
      </c>
      <c r="S16" s="915">
        <f>CPSX!S15</f>
        <v>0</v>
      </c>
      <c r="T16" s="915">
        <f>CPSX!T15</f>
        <v>0</v>
      </c>
      <c r="U16" s="915">
        <f>CPSX!U15</f>
        <v>0</v>
      </c>
      <c r="V16" s="915">
        <f>CPSX!V15</f>
        <v>0</v>
      </c>
      <c r="W16" s="998">
        <f t="shared" si="4"/>
        <v>0</v>
      </c>
      <c r="Y16" s="915">
        <f>CPSX!Y15</f>
        <v>0</v>
      </c>
      <c r="Z16" s="915">
        <f>CPSX!Z15</f>
        <v>0</v>
      </c>
      <c r="AA16" s="915">
        <f>CPSX!AA15</f>
        <v>0</v>
      </c>
      <c r="AB16" s="915">
        <f>CPSX!AB15</f>
        <v>0</v>
      </c>
      <c r="AC16" s="915">
        <f>CPSX!AC15</f>
        <v>0</v>
      </c>
      <c r="AD16" s="915">
        <f>CPSX!AD15</f>
        <v>0</v>
      </c>
      <c r="AE16" s="915">
        <f>CPSX!AE15</f>
        <v>0</v>
      </c>
      <c r="AF16" s="915">
        <f>CPSX!AF15</f>
        <v>0</v>
      </c>
      <c r="AG16" s="915">
        <f>CPSX!AG15</f>
        <v>0</v>
      </c>
      <c r="AH16" s="915">
        <f>CPSX!AH15</f>
        <v>0</v>
      </c>
      <c r="AI16" s="915">
        <f>CPSX!AI15</f>
        <v>0</v>
      </c>
      <c r="AJ16" s="915">
        <f>CPSX!AJ15</f>
        <v>0</v>
      </c>
      <c r="AK16" s="998">
        <f t="shared" si="5"/>
        <v>0</v>
      </c>
      <c r="AM16" s="915">
        <f>CPSX!AM15</f>
        <v>0</v>
      </c>
      <c r="AO16" s="915">
        <f>CPSX!AO15</f>
        <v>0</v>
      </c>
      <c r="AQ16" s="915"/>
      <c r="AR16" s="916">
        <f t="shared" si="2"/>
        <v>0</v>
      </c>
      <c r="AS16" s="1327">
        <f t="shared" si="3"/>
        <v>0</v>
      </c>
    </row>
    <row r="17" spans="2:45" s="36" customFormat="1" ht="13" x14ac:dyDescent="0.25">
      <c r="B17" s="575">
        <v>11</v>
      </c>
      <c r="C17" s="588"/>
      <c r="D17" s="981">
        <v>6220003001</v>
      </c>
      <c r="E17" s="638" t="s">
        <v>430</v>
      </c>
      <c r="F17" s="638" t="s">
        <v>570</v>
      </c>
      <c r="G17" s="638" t="s">
        <v>430</v>
      </c>
      <c r="H17" s="588" t="s">
        <v>2238</v>
      </c>
      <c r="I17" s="981" t="s">
        <v>521</v>
      </c>
      <c r="J17" s="588"/>
      <c r="K17" s="915">
        <f ca="1">CPSX!K16</f>
        <v>1907788.2352941176</v>
      </c>
      <c r="L17" s="915">
        <f ca="1">CPSX!L16</f>
        <v>1907788.2352941176</v>
      </c>
      <c r="M17" s="915">
        <f ca="1">CPSX!M16</f>
        <v>1907788.2352941176</v>
      </c>
      <c r="N17" s="915">
        <f ca="1">CPSX!N16</f>
        <v>1907788.2352941176</v>
      </c>
      <c r="O17" s="915">
        <f ca="1">CPSX!O16</f>
        <v>1907788.2352941176</v>
      </c>
      <c r="P17" s="915">
        <f ca="1">CPSX!P16</f>
        <v>1907788.2352941176</v>
      </c>
      <c r="Q17" s="915">
        <f ca="1">CPSX!Q16</f>
        <v>1907788.2352941176</v>
      </c>
      <c r="R17" s="915">
        <f ca="1">CPSX!R16</f>
        <v>1907788.2352941176</v>
      </c>
      <c r="S17" s="915">
        <f ca="1">CPSX!S16</f>
        <v>1907788.2352941176</v>
      </c>
      <c r="T17" s="915">
        <f ca="1">CPSX!T16</f>
        <v>1907788.2352941176</v>
      </c>
      <c r="U17" s="915">
        <f ca="1">CPSX!U16</f>
        <v>1907788.2352941176</v>
      </c>
      <c r="V17" s="915">
        <f ca="1">CPSX!V16</f>
        <v>1907788.2352941176</v>
      </c>
      <c r="W17" s="998">
        <f t="shared" ca="1" si="4"/>
        <v>22893458.823529419</v>
      </c>
      <c r="Y17" s="915">
        <f>CPSX!Y16</f>
        <v>583333</v>
      </c>
      <c r="Z17" s="915">
        <f>CPSX!Z16</f>
        <v>583333</v>
      </c>
      <c r="AA17" s="915">
        <f>CPSX!AA16</f>
        <v>2583333</v>
      </c>
      <c r="AB17" s="915">
        <f>CPSX!AB16</f>
        <v>3539583</v>
      </c>
      <c r="AC17" s="915">
        <f>CPSX!AC16</f>
        <v>3125609</v>
      </c>
      <c r="AD17" s="915">
        <f>CPSX!AD16</f>
        <v>2956250</v>
      </c>
      <c r="AE17" s="915">
        <f>CPSX!AE16</f>
        <v>2956250</v>
      </c>
      <c r="AF17" s="915">
        <f>CPSX!AF16</f>
        <v>2956250</v>
      </c>
      <c r="AG17" s="915">
        <f>CPSX!AG16</f>
        <v>2956250</v>
      </c>
      <c r="AH17" s="915">
        <f>CPSX!AH16</f>
        <v>2956250</v>
      </c>
      <c r="AI17" s="915">
        <f>CPSX!AI16</f>
        <v>2956250</v>
      </c>
      <c r="AJ17" s="915">
        <f>CPSX!AJ16</f>
        <v>2956250</v>
      </c>
      <c r="AK17" s="998">
        <f t="shared" si="5"/>
        <v>31108941</v>
      </c>
      <c r="AM17" s="915">
        <f>CPSX!AM16</f>
        <v>583333</v>
      </c>
      <c r="AO17" s="915">
        <f>CPSX!AO16</f>
        <v>11793753</v>
      </c>
      <c r="AQ17" s="915"/>
      <c r="AR17" s="916">
        <f t="shared" ca="1" si="2"/>
        <v>-8215482.1764705814</v>
      </c>
      <c r="AS17" s="1327">
        <f t="shared" ca="1" si="3"/>
        <v>-0.26408749100365014</v>
      </c>
    </row>
    <row r="18" spans="2:45" s="36" customFormat="1" ht="13" x14ac:dyDescent="0.25">
      <c r="B18" s="575">
        <v>12</v>
      </c>
      <c r="C18" s="588"/>
      <c r="D18" s="981"/>
      <c r="E18" s="638" t="s">
        <v>441</v>
      </c>
      <c r="F18" s="638" t="s">
        <v>570</v>
      </c>
      <c r="G18" s="638" t="s">
        <v>1946</v>
      </c>
      <c r="H18" s="588" t="s">
        <v>2238</v>
      </c>
      <c r="I18" s="981" t="s">
        <v>521</v>
      </c>
      <c r="J18" s="588"/>
      <c r="K18" s="915">
        <f>CPSX!K17</f>
        <v>0</v>
      </c>
      <c r="L18" s="915">
        <f>CPSX!L17</f>
        <v>0</v>
      </c>
      <c r="M18" s="915">
        <f>CPSX!M17</f>
        <v>0</v>
      </c>
      <c r="N18" s="915">
        <f>CPSX!N17</f>
        <v>0</v>
      </c>
      <c r="O18" s="915">
        <f>CPSX!O17</f>
        <v>0</v>
      </c>
      <c r="P18" s="915">
        <f>CPSX!P17</f>
        <v>0</v>
      </c>
      <c r="Q18" s="915">
        <f>CPSX!Q17</f>
        <v>0</v>
      </c>
      <c r="R18" s="915">
        <f>CPSX!R17</f>
        <v>0</v>
      </c>
      <c r="S18" s="915">
        <f>CPSX!S17</f>
        <v>0</v>
      </c>
      <c r="T18" s="915">
        <f>CPSX!T17</f>
        <v>0</v>
      </c>
      <c r="U18" s="915">
        <f>CPSX!U17</f>
        <v>0</v>
      </c>
      <c r="V18" s="915">
        <f>CPSX!V17</f>
        <v>0</v>
      </c>
      <c r="W18" s="998">
        <f t="shared" si="4"/>
        <v>0</v>
      </c>
      <c r="Y18" s="915">
        <f>CPSX!Y17</f>
        <v>0</v>
      </c>
      <c r="Z18" s="915">
        <f>CPSX!Z17</f>
        <v>0</v>
      </c>
      <c r="AA18" s="915">
        <f>CPSX!AA17</f>
        <v>0</v>
      </c>
      <c r="AB18" s="915">
        <f>CPSX!AB17</f>
        <v>0</v>
      </c>
      <c r="AC18" s="915">
        <f>CPSX!AC17</f>
        <v>0</v>
      </c>
      <c r="AD18" s="915">
        <f>CPSX!AD17</f>
        <v>0</v>
      </c>
      <c r="AE18" s="915">
        <f>CPSX!AE17</f>
        <v>0</v>
      </c>
      <c r="AF18" s="915">
        <f>CPSX!AF17</f>
        <v>0</v>
      </c>
      <c r="AG18" s="915">
        <f>CPSX!AG17</f>
        <v>0</v>
      </c>
      <c r="AH18" s="915">
        <f>CPSX!AH17</f>
        <v>0</v>
      </c>
      <c r="AI18" s="915">
        <f>CPSX!AI17</f>
        <v>0</v>
      </c>
      <c r="AJ18" s="915">
        <f>CPSX!AJ17</f>
        <v>0</v>
      </c>
      <c r="AK18" s="998">
        <f t="shared" si="5"/>
        <v>0</v>
      </c>
      <c r="AM18" s="915">
        <f>CPSX!AM17</f>
        <v>0</v>
      </c>
      <c r="AO18" s="915">
        <f>CPSX!AO17</f>
        <v>0</v>
      </c>
      <c r="AQ18" s="915"/>
      <c r="AR18" s="916">
        <f t="shared" si="2"/>
        <v>0</v>
      </c>
      <c r="AS18" s="1328">
        <f t="shared" si="3"/>
        <v>0</v>
      </c>
    </row>
    <row r="19" spans="2:45" s="36" customFormat="1" ht="13" x14ac:dyDescent="0.25">
      <c r="B19" s="575">
        <v>13</v>
      </c>
      <c r="C19" s="588"/>
      <c r="D19" s="981">
        <v>6275001801</v>
      </c>
      <c r="E19" s="638" t="s">
        <v>428</v>
      </c>
      <c r="F19" s="638" t="s">
        <v>571</v>
      </c>
      <c r="G19" s="638" t="s">
        <v>428</v>
      </c>
      <c r="H19" s="588" t="s">
        <v>2238</v>
      </c>
      <c r="I19" s="981" t="s">
        <v>518</v>
      </c>
      <c r="J19" s="588"/>
      <c r="K19" s="915">
        <f>CPSX!K18</f>
        <v>45584273.661822051</v>
      </c>
      <c r="L19" s="915">
        <f>CPSX!L18</f>
        <v>34188205.246366538</v>
      </c>
      <c r="M19" s="915">
        <f>CPSX!M18</f>
        <v>49382963.133640558</v>
      </c>
      <c r="N19" s="915">
        <f>CPSX!N18</f>
        <v>53181652.605459057</v>
      </c>
      <c r="O19" s="915">
        <f>CPSX!O18</f>
        <v>53181652.605459057</v>
      </c>
      <c r="P19" s="915">
        <f>CPSX!P18</f>
        <v>53181652.605459057</v>
      </c>
      <c r="Q19" s="915">
        <f>CPSX!Q18</f>
        <v>53181652.605459057</v>
      </c>
      <c r="R19" s="915">
        <f>CPSX!R18</f>
        <v>53181652.605459057</v>
      </c>
      <c r="S19" s="915">
        <f>CPSX!S18</f>
        <v>53181652.605459057</v>
      </c>
      <c r="T19" s="915">
        <f>CPSX!T18</f>
        <v>53181652.605459057</v>
      </c>
      <c r="U19" s="915">
        <f>CPSX!U18</f>
        <v>53181652.605459057</v>
      </c>
      <c r="V19" s="915">
        <f>CPSX!V18</f>
        <v>53181652.605459057</v>
      </c>
      <c r="W19" s="998">
        <f t="shared" si="4"/>
        <v>607790315.4909606</v>
      </c>
      <c r="Y19" s="915">
        <f>CPSX!Y18</f>
        <v>21783537</v>
      </c>
      <c r="Z19" s="915">
        <f>CPSX!Z18</f>
        <v>25110006</v>
      </c>
      <c r="AA19" s="915">
        <f>CPSX!AA18</f>
        <v>35465899</v>
      </c>
      <c r="AB19" s="915">
        <f>CPSX!AB18</f>
        <v>38843778</v>
      </c>
      <c r="AC19" s="915">
        <f>CPSX!AC18</f>
        <v>36435793</v>
      </c>
      <c r="AD19" s="915">
        <f>CPSX!AD18</f>
        <v>38605384</v>
      </c>
      <c r="AE19" s="915">
        <f>CPSX!AE18</f>
        <v>55086679</v>
      </c>
      <c r="AF19" s="915">
        <f>CPSX!AF18</f>
        <v>47559092</v>
      </c>
      <c r="AG19" s="915">
        <f>CPSX!AG18</f>
        <v>41047405</v>
      </c>
      <c r="AH19" s="915">
        <f>CPSX!AH18</f>
        <v>37770841</v>
      </c>
      <c r="AI19" s="915">
        <f>CPSX!AI18</f>
        <v>37770841</v>
      </c>
      <c r="AJ19" s="915">
        <f>CPSX!AJ18</f>
        <v>37770841</v>
      </c>
      <c r="AK19" s="998">
        <f t="shared" si="5"/>
        <v>453250096</v>
      </c>
      <c r="AM19" s="915">
        <f>CPSX!AM18</f>
        <v>377182809</v>
      </c>
      <c r="AO19" s="915">
        <f>CPSX!AO18</f>
        <v>326356700</v>
      </c>
      <c r="AQ19" s="915">
        <v>928876704</v>
      </c>
      <c r="AR19" s="916">
        <f t="shared" si="2"/>
        <v>154540219.4909606</v>
      </c>
      <c r="AS19" s="1327">
        <f t="shared" si="3"/>
        <v>0.34096014728910418</v>
      </c>
    </row>
    <row r="20" spans="2:45" s="36" customFormat="1" ht="13" x14ac:dyDescent="0.25">
      <c r="B20" s="575">
        <v>14</v>
      </c>
      <c r="C20" s="588"/>
      <c r="D20" s="981">
        <v>6272000100</v>
      </c>
      <c r="E20" s="638" t="s">
        <v>429</v>
      </c>
      <c r="F20" s="638" t="s">
        <v>572</v>
      </c>
      <c r="G20" s="638" t="s">
        <v>1774</v>
      </c>
      <c r="H20" s="588" t="s">
        <v>2238</v>
      </c>
      <c r="I20" s="981" t="s">
        <v>518</v>
      </c>
      <c r="J20" s="588"/>
      <c r="K20" s="915">
        <f>CPSX!K19</f>
        <v>48205161.290322587</v>
      </c>
      <c r="L20" s="915">
        <f>CPSX!L19</f>
        <v>36153870.967741936</v>
      </c>
      <c r="M20" s="915">
        <f>CPSX!M19</f>
        <v>52222258.064516135</v>
      </c>
      <c r="N20" s="915">
        <f>CPSX!N19</f>
        <v>56239354.838709682</v>
      </c>
      <c r="O20" s="915">
        <f>CPSX!O19</f>
        <v>56239354.838709682</v>
      </c>
      <c r="P20" s="915">
        <f>CPSX!P19</f>
        <v>56239354.838709682</v>
      </c>
      <c r="Q20" s="915">
        <f>CPSX!Q19</f>
        <v>56239354.838709682</v>
      </c>
      <c r="R20" s="915">
        <f>CPSX!R19</f>
        <v>56239354.838709682</v>
      </c>
      <c r="S20" s="915">
        <f>CPSX!S19</f>
        <v>56239354.838709682</v>
      </c>
      <c r="T20" s="915">
        <f>CPSX!T19</f>
        <v>56239354.838709682</v>
      </c>
      <c r="U20" s="915">
        <f>CPSX!U19</f>
        <v>56239354.838709682</v>
      </c>
      <c r="V20" s="915">
        <f>CPSX!V19</f>
        <v>56239354.838709682</v>
      </c>
      <c r="W20" s="998">
        <f t="shared" si="4"/>
        <v>642735483.87096798</v>
      </c>
      <c r="Y20" s="915">
        <f>CPSX!Y19</f>
        <v>39166667</v>
      </c>
      <c r="Z20" s="915">
        <f>CPSX!Z19</f>
        <v>36048385</v>
      </c>
      <c r="AA20" s="915">
        <f>CPSX!AA19</f>
        <v>15000000</v>
      </c>
      <c r="AB20" s="915">
        <f>CPSX!AB19</f>
        <v>0</v>
      </c>
      <c r="AC20" s="915">
        <f>CPSX!AC19</f>
        <v>0</v>
      </c>
      <c r="AD20" s="915">
        <f>CPSX!AD19</f>
        <v>0</v>
      </c>
      <c r="AE20" s="915">
        <f>CPSX!AE19</f>
        <v>0</v>
      </c>
      <c r="AF20" s="915">
        <f>CPSX!AF19</f>
        <v>0</v>
      </c>
      <c r="AG20" s="915">
        <f>CPSX!AG19</f>
        <v>0</v>
      </c>
      <c r="AH20" s="915">
        <f>CPSX!AH19</f>
        <v>0</v>
      </c>
      <c r="AI20" s="915">
        <f>CPSX!AI19</f>
        <v>0</v>
      </c>
      <c r="AJ20" s="915">
        <f>CPSX!AJ19</f>
        <v>0</v>
      </c>
      <c r="AK20" s="998">
        <f t="shared" si="5"/>
        <v>90215052</v>
      </c>
      <c r="AM20" s="915">
        <f>CPSX!AM19</f>
        <v>236720432</v>
      </c>
      <c r="AO20" s="915">
        <f>CPSX!AO19</f>
        <v>106064516</v>
      </c>
      <c r="AQ20" s="915">
        <v>900000000</v>
      </c>
      <c r="AR20" s="916">
        <f t="shared" si="2"/>
        <v>552520431.87096798</v>
      </c>
      <c r="AS20" s="1327">
        <f t="shared" si="3"/>
        <v>6.1244816648885596</v>
      </c>
    </row>
    <row r="21" spans="2:45" s="36" customFormat="1" ht="13" x14ac:dyDescent="0.25">
      <c r="B21" s="575">
        <v>15</v>
      </c>
      <c r="C21" s="588"/>
      <c r="D21" s="981">
        <v>6272000100</v>
      </c>
      <c r="E21" s="638" t="s">
        <v>429</v>
      </c>
      <c r="F21" s="638" t="s">
        <v>572</v>
      </c>
      <c r="G21" s="638" t="s">
        <v>14</v>
      </c>
      <c r="H21" s="588" t="s">
        <v>2238</v>
      </c>
      <c r="I21" s="981" t="s">
        <v>516</v>
      </c>
      <c r="J21" s="588"/>
      <c r="K21" s="915">
        <f>CPSX!K20</f>
        <v>35502652.173913039</v>
      </c>
      <c r="L21" s="915">
        <f>CPSX!L20</f>
        <v>26626989.130434781</v>
      </c>
      <c r="M21" s="915">
        <f>CPSX!M20</f>
        <v>38461206.521739133</v>
      </c>
      <c r="N21" s="915">
        <f>CPSX!N20</f>
        <v>41419760.869565219</v>
      </c>
      <c r="O21" s="915">
        <f>CPSX!O20</f>
        <v>41419760.869565219</v>
      </c>
      <c r="P21" s="915">
        <f>CPSX!P20</f>
        <v>41419760.869565219</v>
      </c>
      <c r="Q21" s="915">
        <f>CPSX!Q20</f>
        <v>41419760.869565219</v>
      </c>
      <c r="R21" s="915">
        <f>CPSX!R20</f>
        <v>41419760.869565219</v>
      </c>
      <c r="S21" s="915">
        <f>CPSX!S20</f>
        <v>41419760.869565219</v>
      </c>
      <c r="T21" s="915">
        <f>CPSX!T20</f>
        <v>41419760.869565219</v>
      </c>
      <c r="U21" s="915">
        <f>CPSX!U20</f>
        <v>41419760.869565219</v>
      </c>
      <c r="V21" s="915">
        <f>CPSX!V20</f>
        <v>41419760.869565219</v>
      </c>
      <c r="W21" s="998">
        <f t="shared" si="4"/>
        <v>473368695.652174</v>
      </c>
      <c r="Y21" s="915">
        <f>CPSX!Y20</f>
        <v>0</v>
      </c>
      <c r="Z21" s="915">
        <f>CPSX!Z20</f>
        <v>26023148</v>
      </c>
      <c r="AA21" s="915">
        <f>CPSX!AA20</f>
        <v>24138889</v>
      </c>
      <c r="AB21" s="915">
        <f>CPSX!AB20</f>
        <v>29822222</v>
      </c>
      <c r="AC21" s="915">
        <f>CPSX!AC20</f>
        <v>31136111</v>
      </c>
      <c r="AD21" s="915">
        <f>CPSX!AD20</f>
        <v>14666667</v>
      </c>
      <c r="AE21" s="915">
        <f>CPSX!AE20</f>
        <v>24532565</v>
      </c>
      <c r="AF21" s="915">
        <f>CPSX!AF20</f>
        <v>35744666</v>
      </c>
      <c r="AG21" s="915">
        <f>CPSX!AG20</f>
        <v>33340726</v>
      </c>
      <c r="AH21" s="915">
        <f>CPSX!AH20</f>
        <v>29369347.826086957</v>
      </c>
      <c r="AI21" s="915">
        <f>CPSX!AI20</f>
        <v>29369347.826086957</v>
      </c>
      <c r="AJ21" s="915">
        <f>CPSX!AJ20</f>
        <v>29369347.826086957</v>
      </c>
      <c r="AK21" s="998">
        <f t="shared" si="5"/>
        <v>307513037.47826087</v>
      </c>
      <c r="AM21" s="915">
        <f>CPSX!AM20</f>
        <v>314069170</v>
      </c>
      <c r="AO21" s="915">
        <f>CPSX!AO20</f>
        <v>441079000</v>
      </c>
      <c r="AQ21" s="915">
        <v>902052311.11111116</v>
      </c>
      <c r="AR21" s="916">
        <f t="shared" si="2"/>
        <v>165855658.17391312</v>
      </c>
      <c r="AS21" s="1327">
        <f t="shared" si="3"/>
        <v>0.53934512674324586</v>
      </c>
    </row>
    <row r="22" spans="2:45" s="36" customFormat="1" ht="13" x14ac:dyDescent="0.25">
      <c r="B22" s="575">
        <v>16</v>
      </c>
      <c r="C22" s="588"/>
      <c r="D22" s="981">
        <v>6272000100</v>
      </c>
      <c r="E22" s="638" t="s">
        <v>429</v>
      </c>
      <c r="F22" s="638" t="s">
        <v>572</v>
      </c>
      <c r="G22" s="638" t="s">
        <v>309</v>
      </c>
      <c r="H22" s="588" t="s">
        <v>2238</v>
      </c>
      <c r="I22" s="981" t="s">
        <v>516</v>
      </c>
      <c r="J22" s="588"/>
      <c r="K22" s="915">
        <f>CPSX!K21</f>
        <v>0</v>
      </c>
      <c r="L22" s="915">
        <f>CPSX!L21</f>
        <v>0</v>
      </c>
      <c r="M22" s="915">
        <f>CPSX!M21</f>
        <v>0</v>
      </c>
      <c r="N22" s="915">
        <f>CPSX!N21</f>
        <v>0</v>
      </c>
      <c r="O22" s="915">
        <f>CPSX!O21</f>
        <v>0</v>
      </c>
      <c r="P22" s="915">
        <f>CPSX!P21</f>
        <v>0</v>
      </c>
      <c r="Q22" s="915">
        <f>CPSX!Q21</f>
        <v>0</v>
      </c>
      <c r="R22" s="915">
        <f>CPSX!R21</f>
        <v>0</v>
      </c>
      <c r="S22" s="915">
        <f>CPSX!S21</f>
        <v>0</v>
      </c>
      <c r="T22" s="915">
        <f>CPSX!T21</f>
        <v>0</v>
      </c>
      <c r="U22" s="915">
        <f>CPSX!U21</f>
        <v>0</v>
      </c>
      <c r="V22" s="915">
        <f>CPSX!V21</f>
        <v>0</v>
      </c>
      <c r="W22" s="998">
        <f t="shared" si="4"/>
        <v>0</v>
      </c>
      <c r="Y22" s="915">
        <f>CPSX!Y21</f>
        <v>0</v>
      </c>
      <c r="Z22" s="915">
        <f>CPSX!Z21</f>
        <v>0</v>
      </c>
      <c r="AA22" s="915">
        <f>CPSX!AA21</f>
        <v>0</v>
      </c>
      <c r="AB22" s="915">
        <f>CPSX!AB21</f>
        <v>0</v>
      </c>
      <c r="AC22" s="915">
        <f>CPSX!AC21</f>
        <v>0</v>
      </c>
      <c r="AD22" s="915">
        <f>CPSX!AD21</f>
        <v>0</v>
      </c>
      <c r="AE22" s="915">
        <f>CPSX!AE21</f>
        <v>0</v>
      </c>
      <c r="AF22" s="915">
        <f>CPSX!AF21</f>
        <v>0</v>
      </c>
      <c r="AG22" s="915">
        <f>CPSX!AG21</f>
        <v>0</v>
      </c>
      <c r="AH22" s="915">
        <f>CPSX!AH21</f>
        <v>0</v>
      </c>
      <c r="AI22" s="915">
        <f>CPSX!AI21</f>
        <v>0</v>
      </c>
      <c r="AJ22" s="915">
        <f>CPSX!AJ21</f>
        <v>0</v>
      </c>
      <c r="AK22" s="998">
        <f t="shared" si="5"/>
        <v>0</v>
      </c>
      <c r="AM22" s="915">
        <f>CPSX!AM21</f>
        <v>0</v>
      </c>
      <c r="AO22" s="915">
        <f>CPSX!AO21</f>
        <v>0</v>
      </c>
      <c r="AQ22" s="915"/>
      <c r="AR22" s="916">
        <f t="shared" si="2"/>
        <v>0</v>
      </c>
      <c r="AS22" s="1327">
        <f t="shared" si="3"/>
        <v>0</v>
      </c>
    </row>
    <row r="23" spans="2:45" s="36" customFormat="1" ht="13" x14ac:dyDescent="0.25">
      <c r="B23" s="575">
        <v>17</v>
      </c>
      <c r="C23" s="588"/>
      <c r="D23" s="981">
        <v>6272000100</v>
      </c>
      <c r="E23" s="638" t="s">
        <v>429</v>
      </c>
      <c r="F23" s="638" t="s">
        <v>572</v>
      </c>
      <c r="G23" s="638" t="s">
        <v>254</v>
      </c>
      <c r="H23" s="588" t="s">
        <v>2238</v>
      </c>
      <c r="I23" s="981" t="s">
        <v>516</v>
      </c>
      <c r="J23" s="588"/>
      <c r="K23" s="915">
        <f>CPSX!K22</f>
        <v>0</v>
      </c>
      <c r="L23" s="915">
        <f>CPSX!L22</f>
        <v>0</v>
      </c>
      <c r="M23" s="915">
        <f>CPSX!M22</f>
        <v>0</v>
      </c>
      <c r="N23" s="915">
        <f>CPSX!N22</f>
        <v>0</v>
      </c>
      <c r="O23" s="915">
        <f>CPSX!O22</f>
        <v>0</v>
      </c>
      <c r="P23" s="915">
        <f>CPSX!P22</f>
        <v>0</v>
      </c>
      <c r="Q23" s="915">
        <f>CPSX!Q22</f>
        <v>0</v>
      </c>
      <c r="R23" s="915">
        <f>CPSX!R22</f>
        <v>0</v>
      </c>
      <c r="S23" s="915">
        <f>CPSX!S22</f>
        <v>0</v>
      </c>
      <c r="T23" s="915">
        <f>CPSX!T22</f>
        <v>0</v>
      </c>
      <c r="U23" s="915">
        <f>CPSX!U22</f>
        <v>0</v>
      </c>
      <c r="V23" s="915">
        <f>CPSX!V22</f>
        <v>0</v>
      </c>
      <c r="W23" s="998">
        <f t="shared" si="4"/>
        <v>0</v>
      </c>
      <c r="Y23" s="915">
        <f>CPSX!Y22</f>
        <v>0</v>
      </c>
      <c r="Z23" s="915">
        <f>CPSX!Z22</f>
        <v>0</v>
      </c>
      <c r="AA23" s="915">
        <f>CPSX!AA22</f>
        <v>0</v>
      </c>
      <c r="AB23" s="915">
        <f>CPSX!AB22</f>
        <v>0</v>
      </c>
      <c r="AC23" s="915">
        <f>CPSX!AC22</f>
        <v>0</v>
      </c>
      <c r="AD23" s="915">
        <f>CPSX!AD22</f>
        <v>0</v>
      </c>
      <c r="AE23" s="915">
        <f>CPSX!AE22</f>
        <v>0</v>
      </c>
      <c r="AF23" s="915">
        <f>CPSX!AF22</f>
        <v>0</v>
      </c>
      <c r="AG23" s="915">
        <f>CPSX!AG22</f>
        <v>0</v>
      </c>
      <c r="AH23" s="915">
        <f>CPSX!AH22</f>
        <v>0</v>
      </c>
      <c r="AI23" s="915">
        <f>CPSX!AI22</f>
        <v>0</v>
      </c>
      <c r="AJ23" s="915">
        <f>CPSX!AJ22</f>
        <v>0</v>
      </c>
      <c r="AK23" s="998">
        <f t="shared" si="5"/>
        <v>0</v>
      </c>
      <c r="AM23" s="915">
        <f>CPSX!AM22</f>
        <v>0</v>
      </c>
      <c r="AO23" s="915">
        <f>CPSX!AO22</f>
        <v>0</v>
      </c>
      <c r="AQ23" s="915"/>
      <c r="AR23" s="916">
        <f t="shared" si="2"/>
        <v>0</v>
      </c>
      <c r="AS23" s="1327">
        <f t="shared" si="3"/>
        <v>0</v>
      </c>
    </row>
    <row r="24" spans="2:45" s="36" customFormat="1" ht="13" x14ac:dyDescent="0.25">
      <c r="B24" s="575">
        <v>18</v>
      </c>
      <c r="C24" s="588"/>
      <c r="D24" s="981">
        <v>6272000100</v>
      </c>
      <c r="E24" s="638" t="s">
        <v>429</v>
      </c>
      <c r="F24" s="638" t="s">
        <v>572</v>
      </c>
      <c r="G24" s="638" t="s">
        <v>389</v>
      </c>
      <c r="H24" s="588" t="s">
        <v>2238</v>
      </c>
      <c r="I24" s="981" t="s">
        <v>516</v>
      </c>
      <c r="J24" s="588"/>
      <c r="K24" s="915">
        <f>CPSX!K23</f>
        <v>20659354.838709679</v>
      </c>
      <c r="L24" s="915">
        <f>CPSX!L23</f>
        <v>15494516.129032258</v>
      </c>
      <c r="M24" s="915">
        <f>CPSX!M23</f>
        <v>22380967.741935484</v>
      </c>
      <c r="N24" s="915">
        <f>CPSX!N23</f>
        <v>24102580.64516129</v>
      </c>
      <c r="O24" s="915">
        <f>CPSX!O23</f>
        <v>24102580.64516129</v>
      </c>
      <c r="P24" s="915">
        <f>CPSX!P23</f>
        <v>24102580.64516129</v>
      </c>
      <c r="Q24" s="915">
        <f>CPSX!Q23</f>
        <v>24102580.64516129</v>
      </c>
      <c r="R24" s="915">
        <f>CPSX!R23</f>
        <v>24102580.64516129</v>
      </c>
      <c r="S24" s="915">
        <f>CPSX!S23</f>
        <v>24102580.64516129</v>
      </c>
      <c r="T24" s="915">
        <f>CPSX!T23</f>
        <v>24102580.64516129</v>
      </c>
      <c r="U24" s="915">
        <f>CPSX!U23</f>
        <v>24102580.64516129</v>
      </c>
      <c r="V24" s="915">
        <f>CPSX!V23</f>
        <v>24102580.64516129</v>
      </c>
      <c r="W24" s="998">
        <f t="shared" si="4"/>
        <v>275458064.51612908</v>
      </c>
      <c r="Y24" s="915">
        <f>CPSX!Y23</f>
        <v>0</v>
      </c>
      <c r="Z24" s="915">
        <f>CPSX!Z23</f>
        <v>0</v>
      </c>
      <c r="AA24" s="915">
        <f>CPSX!AA23</f>
        <v>0</v>
      </c>
      <c r="AB24" s="915">
        <f>CPSX!AB23</f>
        <v>0</v>
      </c>
      <c r="AC24" s="915">
        <f>CPSX!AC23</f>
        <v>0</v>
      </c>
      <c r="AD24" s="915">
        <f>CPSX!AD23</f>
        <v>0</v>
      </c>
      <c r="AE24" s="915">
        <f>CPSX!AE23</f>
        <v>0</v>
      </c>
      <c r="AF24" s="915">
        <f>CPSX!AF23</f>
        <v>0</v>
      </c>
      <c r="AG24" s="915">
        <f>CPSX!AG23</f>
        <v>0</v>
      </c>
      <c r="AH24" s="915">
        <f>CPSX!AH23</f>
        <v>0</v>
      </c>
      <c r="AI24" s="915">
        <f>CPSX!AI23</f>
        <v>0</v>
      </c>
      <c r="AJ24" s="915">
        <f>CPSX!AJ23</f>
        <v>0</v>
      </c>
      <c r="AK24" s="998">
        <f t="shared" si="5"/>
        <v>0</v>
      </c>
      <c r="AM24" s="915">
        <f>CPSX!AM23</f>
        <v>0</v>
      </c>
      <c r="AO24" s="915">
        <f>CPSX!AO23</f>
        <v>0</v>
      </c>
      <c r="AQ24" s="915"/>
      <c r="AR24" s="916">
        <f t="shared" si="2"/>
        <v>275458064.51612908</v>
      </c>
      <c r="AS24" s="1327">
        <f t="shared" si="3"/>
        <v>0</v>
      </c>
    </row>
    <row r="25" spans="2:45" s="36" customFormat="1" ht="13" x14ac:dyDescent="0.25">
      <c r="B25" s="575">
        <v>19</v>
      </c>
      <c r="C25" s="588"/>
      <c r="D25" s="981" t="s">
        <v>901</v>
      </c>
      <c r="E25" s="638" t="s">
        <v>902</v>
      </c>
      <c r="F25" s="638" t="s">
        <v>572</v>
      </c>
      <c r="G25" s="638" t="s">
        <v>1948</v>
      </c>
      <c r="H25" s="588" t="s">
        <v>2238</v>
      </c>
      <c r="I25" s="981" t="s">
        <v>516</v>
      </c>
      <c r="J25" s="588"/>
      <c r="K25" s="915">
        <f>CPSX!K24</f>
        <v>0</v>
      </c>
      <c r="L25" s="915">
        <f>CPSX!L24</f>
        <v>0</v>
      </c>
      <c r="M25" s="915">
        <f>CPSX!M24</f>
        <v>0</v>
      </c>
      <c r="N25" s="915">
        <f>CPSX!N24</f>
        <v>0</v>
      </c>
      <c r="O25" s="915">
        <f>CPSX!O24</f>
        <v>0</v>
      </c>
      <c r="P25" s="915">
        <f>CPSX!P24</f>
        <v>0</v>
      </c>
      <c r="Q25" s="915">
        <f>CPSX!Q24</f>
        <v>0</v>
      </c>
      <c r="R25" s="915">
        <f>CPSX!R24</f>
        <v>0</v>
      </c>
      <c r="S25" s="915">
        <f>CPSX!S24</f>
        <v>0</v>
      </c>
      <c r="T25" s="915">
        <f>CPSX!T24</f>
        <v>0</v>
      </c>
      <c r="U25" s="915">
        <f>CPSX!U24</f>
        <v>0</v>
      </c>
      <c r="V25" s="915">
        <f>CPSX!V24</f>
        <v>0</v>
      </c>
      <c r="W25" s="998">
        <f t="shared" si="4"/>
        <v>0</v>
      </c>
      <c r="Y25" s="915">
        <f>CPSX!Y24</f>
        <v>0</v>
      </c>
      <c r="Z25" s="915">
        <f>CPSX!Z24</f>
        <v>0</v>
      </c>
      <c r="AA25" s="915">
        <f>CPSX!AA24</f>
        <v>0</v>
      </c>
      <c r="AB25" s="915">
        <f>CPSX!AB24</f>
        <v>0</v>
      </c>
      <c r="AC25" s="915">
        <f>CPSX!AC24</f>
        <v>0</v>
      </c>
      <c r="AD25" s="915">
        <f>CPSX!AD24</f>
        <v>0</v>
      </c>
      <c r="AE25" s="915">
        <f>CPSX!AE24</f>
        <v>0</v>
      </c>
      <c r="AF25" s="915">
        <f>CPSX!AF24</f>
        <v>0</v>
      </c>
      <c r="AG25" s="915">
        <f>CPSX!AG24</f>
        <v>0</v>
      </c>
      <c r="AH25" s="915">
        <f>CPSX!AH24</f>
        <v>0</v>
      </c>
      <c r="AI25" s="915">
        <f>CPSX!AI24</f>
        <v>0</v>
      </c>
      <c r="AJ25" s="915">
        <f>CPSX!AJ24</f>
        <v>0</v>
      </c>
      <c r="AK25" s="998">
        <f t="shared" si="5"/>
        <v>0</v>
      </c>
      <c r="AM25" s="915">
        <f>CPSX!AM24</f>
        <v>0</v>
      </c>
      <c r="AO25" s="915">
        <f>CPSX!AO24</f>
        <v>0</v>
      </c>
      <c r="AQ25" s="915"/>
      <c r="AR25" s="916">
        <f t="shared" si="2"/>
        <v>0</v>
      </c>
      <c r="AS25" s="1327">
        <f t="shared" si="3"/>
        <v>0</v>
      </c>
    </row>
    <row r="26" spans="2:45" s="36" customFormat="1" ht="13" x14ac:dyDescent="0.25">
      <c r="B26" s="575">
        <v>20</v>
      </c>
      <c r="C26" s="588"/>
      <c r="D26" s="981">
        <v>6272003502</v>
      </c>
      <c r="E26" s="638" t="s">
        <v>450</v>
      </c>
      <c r="F26" s="638" t="s">
        <v>573</v>
      </c>
      <c r="G26" s="638" t="s">
        <v>87</v>
      </c>
      <c r="H26" s="588" t="s">
        <v>2238</v>
      </c>
      <c r="I26" s="981" t="s">
        <v>517</v>
      </c>
      <c r="J26" s="588"/>
      <c r="K26" s="915">
        <f>CPSX!K25</f>
        <v>24791225.806451615</v>
      </c>
      <c r="L26" s="915">
        <f>CPSX!L25</f>
        <v>18593419.35483871</v>
      </c>
      <c r="M26" s="915">
        <f>CPSX!M25</f>
        <v>26857161.290322583</v>
      </c>
      <c r="N26" s="915">
        <f>CPSX!N25</f>
        <v>28923096.774193548</v>
      </c>
      <c r="O26" s="915">
        <f>CPSX!O25</f>
        <v>28923096.774193548</v>
      </c>
      <c r="P26" s="915">
        <f>CPSX!P25</f>
        <v>28923096.774193548</v>
      </c>
      <c r="Q26" s="915">
        <f>CPSX!Q25</f>
        <v>28923096.774193548</v>
      </c>
      <c r="R26" s="915">
        <f>CPSX!R25</f>
        <v>28923096.774193548</v>
      </c>
      <c r="S26" s="915">
        <f>CPSX!S25</f>
        <v>28923096.774193548</v>
      </c>
      <c r="T26" s="915">
        <f>CPSX!T25</f>
        <v>28923096.774193548</v>
      </c>
      <c r="U26" s="915">
        <f>CPSX!U25</f>
        <v>28923096.774193548</v>
      </c>
      <c r="V26" s="915">
        <f>CPSX!V25</f>
        <v>28923096.774193548</v>
      </c>
      <c r="W26" s="998">
        <f t="shared" si="4"/>
        <v>330549677.4193548</v>
      </c>
      <c r="Y26" s="915">
        <f>CPSX!Y25</f>
        <v>4545455</v>
      </c>
      <c r="Z26" s="915">
        <f>CPSX!Z25</f>
        <v>7272728</v>
      </c>
      <c r="AA26" s="915">
        <f>CPSX!AA25</f>
        <v>12727274</v>
      </c>
      <c r="AB26" s="915">
        <f>CPSX!AB25</f>
        <v>8181819</v>
      </c>
      <c r="AC26" s="915">
        <f>CPSX!AC25</f>
        <v>9090910</v>
      </c>
      <c r="AD26" s="915">
        <f>CPSX!AD25</f>
        <v>10909099</v>
      </c>
      <c r="AE26" s="915">
        <f>CPSX!AE25</f>
        <v>17592594</v>
      </c>
      <c r="AF26" s="915">
        <f>CPSX!AF25</f>
        <v>20370372</v>
      </c>
      <c r="AG26" s="915">
        <f>CPSX!AG25</f>
        <v>16947376</v>
      </c>
      <c r="AH26" s="915">
        <f>CPSX!AH25</f>
        <v>19682972.13622291</v>
      </c>
      <c r="AI26" s="915">
        <f>CPSX!AI25</f>
        <v>19682972.13622291</v>
      </c>
      <c r="AJ26" s="915">
        <f>CPSX!AJ25</f>
        <v>19682972.13622291</v>
      </c>
      <c r="AK26" s="998">
        <f t="shared" si="5"/>
        <v>166686543.40866873</v>
      </c>
      <c r="AM26" s="915">
        <f>CPSX!AM25</f>
        <v>69627505</v>
      </c>
      <c r="AO26" s="915">
        <f>CPSX!AO25</f>
        <v>83674069</v>
      </c>
      <c r="AQ26" s="915">
        <v>250000000</v>
      </c>
      <c r="AR26" s="916">
        <f t="shared" si="2"/>
        <v>163863134.01068607</v>
      </c>
      <c r="AS26" s="1327">
        <f t="shared" si="3"/>
        <v>0.98306156369767383</v>
      </c>
    </row>
    <row r="27" spans="2:45" s="36" customFormat="1" ht="13" x14ac:dyDescent="0.25">
      <c r="B27" s="580"/>
      <c r="C27" s="590"/>
      <c r="D27" s="581"/>
      <c r="E27" s="582"/>
      <c r="F27" s="582"/>
      <c r="G27" s="582"/>
      <c r="H27" s="581"/>
      <c r="I27" s="581"/>
      <c r="J27" s="607"/>
      <c r="K27" s="579">
        <f>IFERROR(([29]CPSX!K26+[29]CPSX!K126)/('[29]3.Thanh pham'!G$97+'[29]3.Thanh pham'!G$136),0)</f>
        <v>0</v>
      </c>
      <c r="L27" s="579">
        <f>IFERROR(([29]CPSX!L26+[29]CPSX!L126)/('[29]3.Thanh pham'!H$97+'[29]3.Thanh pham'!H$136),0)</f>
        <v>0</v>
      </c>
      <c r="M27" s="579">
        <f>IFERROR(([29]CPSX!M26+[29]CPSX!M126)/('[29]3.Thanh pham'!I$97+'[29]3.Thanh pham'!I$136),0)</f>
        <v>0</v>
      </c>
      <c r="N27" s="579">
        <f>IFERROR(([29]CPSX!N26+[29]CPSX!N126)/('[29]3.Thanh pham'!J$97+'[29]3.Thanh pham'!J$136),0)</f>
        <v>0</v>
      </c>
      <c r="O27" s="579">
        <f>IFERROR(([29]CPSX!O26+[29]CPSX!O126)/('[29]3.Thanh pham'!K$97+'[29]3.Thanh pham'!K$136),0)</f>
        <v>0</v>
      </c>
      <c r="P27" s="579">
        <f>IFERROR(([29]CPSX!P26+[29]CPSX!P126)/('[29]3.Thanh pham'!L$97+'[29]3.Thanh pham'!L$136),0)</f>
        <v>0</v>
      </c>
      <c r="Q27" s="579">
        <f>IFERROR(([29]CPSX!Q26+[29]CPSX!Q126)/('[29]3.Thanh pham'!M$97+'[29]3.Thanh pham'!M$136),0)</f>
        <v>0</v>
      </c>
      <c r="R27" s="579">
        <f>IFERROR(([29]CPSX!R26+[29]CPSX!R126)/('[29]3.Thanh pham'!N$97+'[29]3.Thanh pham'!N$136),0)</f>
        <v>0</v>
      </c>
      <c r="S27" s="579">
        <f>IFERROR(([29]CPSX!S26+[29]CPSX!S126)/('[29]3.Thanh pham'!O$97+'[29]3.Thanh pham'!O$136),0)</f>
        <v>0</v>
      </c>
      <c r="T27" s="579">
        <f>IFERROR(([29]CPSX!T26+[29]CPSX!T126)/('[29]3.Thanh pham'!P$97+'[29]3.Thanh pham'!P$136),0)</f>
        <v>0</v>
      </c>
      <c r="U27" s="579">
        <f>IFERROR(([29]CPSX!U26+[29]CPSX!U126)/('[29]3.Thanh pham'!Q$97+'[29]3.Thanh pham'!Q$136),0)</f>
        <v>0</v>
      </c>
      <c r="V27" s="579">
        <f>IFERROR(([29]CPSX!V26+[29]CPSX!V126)/('[29]3.Thanh pham'!R$97+'[29]3.Thanh pham'!R$136),0)</f>
        <v>0</v>
      </c>
      <c r="W27" s="594">
        <f>IFERROR(([29]CPSX!W26+[29]CPSX!W126)/('[29]3.Thanh pham'!S$97+'[29]3.Thanh pham'!S$136),0)</f>
        <v>0</v>
      </c>
      <c r="Y27" s="579">
        <f>IFERROR(([29]CPSX!Y26+[29]CPSX!Y126)/('[29]3.Thanh pham'!U$97+'[29]3.Thanh pham'!U$136),0)</f>
        <v>0</v>
      </c>
      <c r="Z27" s="579">
        <f>IFERROR(([29]CPSX!Z26+[29]CPSX!Z126)/('[29]3.Thanh pham'!V$97+'[29]3.Thanh pham'!V$136),0)</f>
        <v>0</v>
      </c>
      <c r="AA27" s="579">
        <f>IFERROR(([29]CPSX!AA26+[29]CPSX!AA126)/('[29]3.Thanh pham'!W$97+'[29]3.Thanh pham'!W$136),0)</f>
        <v>0</v>
      </c>
      <c r="AB27" s="579">
        <f>IFERROR(([29]CPSX!AB26+[29]CPSX!AB126)/('[29]3.Thanh pham'!X$97+'[29]3.Thanh pham'!X$136),0)</f>
        <v>0</v>
      </c>
      <c r="AC27" s="579">
        <f>IFERROR(([29]CPSX!AC26+[29]CPSX!AC126)/('[29]3.Thanh pham'!Y$97+'[29]3.Thanh pham'!Y$136),0)</f>
        <v>0</v>
      </c>
      <c r="AD27" s="579">
        <f>IFERROR(([29]CPSX!AD26+[29]CPSX!AD126)/('[29]3.Thanh pham'!Z$97+'[29]3.Thanh pham'!Z$136),0)</f>
        <v>0</v>
      </c>
      <c r="AE27" s="579">
        <f>IFERROR(([29]CPSX!AE26+[29]CPSX!AE126)/('[29]3.Thanh pham'!AA$97+'[29]3.Thanh pham'!AA$136),0)</f>
        <v>0</v>
      </c>
      <c r="AF27" s="579">
        <f>IFERROR(([29]CPSX!AF26+[29]CPSX!AF126)/('[29]3.Thanh pham'!AB$97+'[29]3.Thanh pham'!AB$136),0)</f>
        <v>0</v>
      </c>
      <c r="AG27" s="579">
        <f>IFERROR(([29]CPSX!AG26+[29]CPSX!AG126)/('[29]3.Thanh pham'!AC$97+'[29]3.Thanh pham'!AC$136),0)</f>
        <v>0</v>
      </c>
      <c r="AH27" s="579">
        <f>IFERROR(([29]CPSX!AH26+[29]CPSX!AH126)/('[29]3.Thanh pham'!AD$97+'[29]3.Thanh pham'!AD$136),0)</f>
        <v>0</v>
      </c>
      <c r="AI27" s="579">
        <f>IFERROR(([29]CPSX!AI26+[29]CPSX!AI126)/('[29]3.Thanh pham'!AE$97+'[29]3.Thanh pham'!AE$136),0)</f>
        <v>0</v>
      </c>
      <c r="AJ27" s="579">
        <f>IFERROR(([29]CPSX!AJ26+[29]CPSX!AJ126)/('[29]3.Thanh pham'!AF$97+'[29]3.Thanh pham'!AF$136),0)</f>
        <v>0</v>
      </c>
      <c r="AK27" s="998">
        <f t="shared" si="5"/>
        <v>0</v>
      </c>
      <c r="AM27" s="915">
        <f>CPSX!AM26</f>
        <v>0</v>
      </c>
      <c r="AO27" s="915">
        <f>CPSX!AO26</f>
        <v>0</v>
      </c>
      <c r="AQ27" s="915">
        <f>CPSX!AQ26</f>
        <v>0</v>
      </c>
      <c r="AR27" s="579">
        <f t="shared" si="2"/>
        <v>0</v>
      </c>
      <c r="AS27" s="1327">
        <f t="shared" si="3"/>
        <v>0</v>
      </c>
    </row>
    <row r="28" spans="2:45" s="37" customFormat="1" ht="18" customHeight="1" x14ac:dyDescent="0.35">
      <c r="B28" s="483" t="s">
        <v>4</v>
      </c>
      <c r="C28" s="471"/>
      <c r="D28" s="383"/>
      <c r="E28" s="482" t="s">
        <v>86</v>
      </c>
      <c r="F28" s="384"/>
      <c r="G28" s="482"/>
      <c r="H28" s="482"/>
      <c r="I28" s="482"/>
      <c r="J28" s="609"/>
      <c r="K28" s="568">
        <f ca="1">SUM(K29:K57)</f>
        <v>606181506.94803917</v>
      </c>
      <c r="L28" s="479">
        <f t="shared" ref="L28:W28" ca="1" si="6">SUM(L29:L57)</f>
        <v>616011661.54803908</v>
      </c>
      <c r="M28" s="479">
        <f t="shared" ca="1" si="6"/>
        <v>579553107.51470578</v>
      </c>
      <c r="N28" s="479">
        <f t="shared" ca="1" si="6"/>
        <v>598267975.1813724</v>
      </c>
      <c r="O28" s="479">
        <f t="shared" ca="1" si="6"/>
        <v>579344691.38137245</v>
      </c>
      <c r="P28" s="479">
        <f t="shared" ca="1" si="6"/>
        <v>607299600.6480391</v>
      </c>
      <c r="Q28" s="479">
        <f t="shared" ca="1" si="6"/>
        <v>587681127.01470578</v>
      </c>
      <c r="R28" s="479">
        <f t="shared" ca="1" si="6"/>
        <v>593247298.59803915</v>
      </c>
      <c r="S28" s="479">
        <f t="shared" ca="1" si="6"/>
        <v>589804765.21470571</v>
      </c>
      <c r="T28" s="479">
        <f t="shared" ca="1" si="6"/>
        <v>580202605.54803908</v>
      </c>
      <c r="U28" s="479">
        <f t="shared" ca="1" si="6"/>
        <v>584600704.84803915</v>
      </c>
      <c r="V28" s="479">
        <f t="shared" ca="1" si="6"/>
        <v>592314294.1480391</v>
      </c>
      <c r="W28" s="479">
        <f t="shared" ca="1" si="6"/>
        <v>7114509338.5931368</v>
      </c>
      <c r="Y28" s="479">
        <f t="shared" ref="Y28:AK28" si="7">SUM(Y29:Y57)</f>
        <v>443585265.72727287</v>
      </c>
      <c r="Z28" s="479">
        <f t="shared" si="7"/>
        <v>405106706.72727311</v>
      </c>
      <c r="AA28" s="479">
        <f t="shared" si="7"/>
        <v>410095025.72727227</v>
      </c>
      <c r="AB28" s="479">
        <f t="shared" si="7"/>
        <v>478821399.72727263</v>
      </c>
      <c r="AC28" s="479">
        <f t="shared" si="7"/>
        <v>538450648.72727275</v>
      </c>
      <c r="AD28" s="479">
        <f t="shared" si="7"/>
        <v>521275911.72727251</v>
      </c>
      <c r="AE28" s="479">
        <f t="shared" si="7"/>
        <v>539108431.72727227</v>
      </c>
      <c r="AF28" s="479">
        <f t="shared" si="7"/>
        <v>553524746.72727215</v>
      </c>
      <c r="AG28" s="479">
        <f t="shared" si="7"/>
        <v>543805285.72727251</v>
      </c>
      <c r="AH28" s="479">
        <f t="shared" si="7"/>
        <v>574708089.71071422</v>
      </c>
      <c r="AI28" s="479">
        <f t="shared" si="7"/>
        <v>565725729.44285715</v>
      </c>
      <c r="AJ28" s="479">
        <f t="shared" si="7"/>
        <v>539122913.54971647</v>
      </c>
      <c r="AK28" s="479">
        <f t="shared" si="7"/>
        <v>6113330155.2487411</v>
      </c>
      <c r="AM28" s="479">
        <f t="shared" ref="AM28" si="8">SUM(AM29:AM57)</f>
        <v>3767247132</v>
      </c>
      <c r="AO28" s="479">
        <f t="shared" ref="AO28" si="9">SUM(AO29:AO57)</f>
        <v>3130566065.5</v>
      </c>
      <c r="AQ28" s="479">
        <f>SUM(AQ29:AQ57)</f>
        <v>6040929909</v>
      </c>
      <c r="AR28" s="1329">
        <f t="shared" ca="1" si="2"/>
        <v>1001179183.3443956</v>
      </c>
      <c r="AS28" s="1330">
        <f t="shared" ca="1" si="3"/>
        <v>0.16376985340548145</v>
      </c>
    </row>
    <row r="29" spans="2:45" s="36" customFormat="1" ht="13" x14ac:dyDescent="0.25">
      <c r="B29" s="570">
        <v>1</v>
      </c>
      <c r="C29" s="588">
        <v>36</v>
      </c>
      <c r="D29" s="997">
        <v>6271002604</v>
      </c>
      <c r="E29" s="584" t="s">
        <v>461</v>
      </c>
      <c r="F29" s="584" t="s">
        <v>574</v>
      </c>
      <c r="G29" s="584" t="s">
        <v>461</v>
      </c>
      <c r="H29" s="588" t="s">
        <v>2233</v>
      </c>
      <c r="I29" s="997" t="s">
        <v>521</v>
      </c>
      <c r="J29" s="588" t="s">
        <v>2235</v>
      </c>
      <c r="K29" s="915">
        <f>CPSX!K72</f>
        <v>140398500</v>
      </c>
      <c r="L29" s="915">
        <f>CPSX!L72</f>
        <v>144206134.5</v>
      </c>
      <c r="M29" s="915">
        <f>CPSX!M72</f>
        <v>130683230.33333333</v>
      </c>
      <c r="N29" s="915">
        <f>CPSX!N72</f>
        <v>145706134.5</v>
      </c>
      <c r="O29" s="915">
        <f>CPSX!O72</f>
        <v>134790865.5</v>
      </c>
      <c r="P29" s="915">
        <f>CPSX!P72</f>
        <v>145706134.5</v>
      </c>
      <c r="Q29" s="915">
        <f>CPSX!Q72</f>
        <v>140698500</v>
      </c>
      <c r="R29" s="915">
        <f>CPSX!R72</f>
        <v>140698500</v>
      </c>
      <c r="S29" s="915">
        <f>CPSX!S72</f>
        <v>145106134.5</v>
      </c>
      <c r="T29" s="915">
        <f>CPSX!T72</f>
        <v>135690865.5</v>
      </c>
      <c r="U29" s="915">
        <f>CPSX!U72</f>
        <v>145706134.5</v>
      </c>
      <c r="V29" s="915">
        <f>CPSX!V72</f>
        <v>140698500</v>
      </c>
      <c r="W29" s="998">
        <f t="shared" ref="W29:W56" si="10">SUM(K29:V29)</f>
        <v>1690089633.8333333</v>
      </c>
      <c r="Y29" s="915">
        <f>CPSX!Y72</f>
        <v>26318423</v>
      </c>
      <c r="Z29" s="915">
        <f>CPSX!Z72</f>
        <v>23613486</v>
      </c>
      <c r="AA29" s="915">
        <f>CPSX!AA72</f>
        <v>16908804</v>
      </c>
      <c r="AB29" s="915">
        <f>CPSX!AB72</f>
        <v>56205520</v>
      </c>
      <c r="AC29" s="915">
        <f>CPSX!AC72</f>
        <v>78766134</v>
      </c>
      <c r="AD29" s="915">
        <f>CPSX!AD72</f>
        <v>63210856</v>
      </c>
      <c r="AE29" s="915">
        <f>CPSX!AE72</f>
        <v>2963493</v>
      </c>
      <c r="AF29" s="915">
        <f>CPSX!AF72</f>
        <v>68385464</v>
      </c>
      <c r="AG29" s="915">
        <f>CPSX!AG72</f>
        <v>72676235</v>
      </c>
      <c r="AH29" s="915">
        <f>CPSX!AH72</f>
        <v>106666856</v>
      </c>
      <c r="AI29" s="915">
        <f>CPSX!AI72</f>
        <v>106666856</v>
      </c>
      <c r="AJ29" s="915">
        <f>CPSX!AJ72</f>
        <v>106666856</v>
      </c>
      <c r="AK29" s="998">
        <f t="shared" si="5"/>
        <v>729048983</v>
      </c>
      <c r="AM29" s="915">
        <f>CPSX!AM72</f>
        <v>189257213</v>
      </c>
      <c r="AO29" s="915">
        <f>CPSX!AO72</f>
        <v>250551128.60000002</v>
      </c>
      <c r="AQ29" s="915">
        <v>776899471</v>
      </c>
      <c r="AR29" s="916">
        <f t="shared" si="2"/>
        <v>961040650.83333325</v>
      </c>
      <c r="AS29" s="1327">
        <f t="shared" si="3"/>
        <v>1.3182113592404989</v>
      </c>
    </row>
    <row r="30" spans="2:45" s="36" customFormat="1" ht="13" x14ac:dyDescent="0.25">
      <c r="B30" s="575">
        <v>2</v>
      </c>
      <c r="C30" s="588">
        <v>36</v>
      </c>
      <c r="D30" s="981">
        <v>6271002605</v>
      </c>
      <c r="E30" s="638" t="s">
        <v>462</v>
      </c>
      <c r="F30" s="638" t="s">
        <v>574</v>
      </c>
      <c r="G30" s="638" t="s">
        <v>462</v>
      </c>
      <c r="H30" s="588" t="s">
        <v>2233</v>
      </c>
      <c r="I30" s="981" t="s">
        <v>521</v>
      </c>
      <c r="J30" s="588" t="s">
        <v>2235</v>
      </c>
      <c r="K30" s="915">
        <f>CPSX!K73</f>
        <v>9835903.833333334</v>
      </c>
      <c r="L30" s="915">
        <f>CPSX!L73</f>
        <v>9835903.833333334</v>
      </c>
      <c r="M30" s="915">
        <f>CPSX!M73</f>
        <v>9835903.833333334</v>
      </c>
      <c r="N30" s="915">
        <f>CPSX!N73</f>
        <v>9835903.833333334</v>
      </c>
      <c r="O30" s="915">
        <f>CPSX!O73</f>
        <v>9835903.833333334</v>
      </c>
      <c r="P30" s="915">
        <f>CPSX!P73</f>
        <v>9835903.833333334</v>
      </c>
      <c r="Q30" s="915">
        <f>CPSX!Q73</f>
        <v>9835903.833333334</v>
      </c>
      <c r="R30" s="915">
        <f>CPSX!R73</f>
        <v>9835903.833333334</v>
      </c>
      <c r="S30" s="915">
        <f>CPSX!S73</f>
        <v>9835903.833333334</v>
      </c>
      <c r="T30" s="915">
        <f>CPSX!T73</f>
        <v>9835903.833333334</v>
      </c>
      <c r="U30" s="915">
        <f>CPSX!U73</f>
        <v>9835903.833333334</v>
      </c>
      <c r="V30" s="915">
        <f>CPSX!V73</f>
        <v>9835903.833333334</v>
      </c>
      <c r="W30" s="998">
        <f t="shared" si="10"/>
        <v>118030845.99999999</v>
      </c>
      <c r="Y30" s="915">
        <f>CPSX!Y73</f>
        <v>1425000</v>
      </c>
      <c r="Z30" s="915">
        <f>CPSX!Z73</f>
        <v>1425000</v>
      </c>
      <c r="AA30" s="915">
        <f>CPSX!AA73</f>
        <v>1216667</v>
      </c>
      <c r="AB30" s="915">
        <f>CPSX!AB73</f>
        <v>4175000</v>
      </c>
      <c r="AC30" s="915">
        <f>CPSX!AC73</f>
        <v>5908333</v>
      </c>
      <c r="AD30" s="915">
        <f>CPSX!AD73</f>
        <v>4533333</v>
      </c>
      <c r="AE30" s="915">
        <f>CPSX!AE73</f>
        <v>65685985</v>
      </c>
      <c r="AF30" s="915">
        <f>CPSX!AF73</f>
        <v>4533333</v>
      </c>
      <c r="AG30" s="915">
        <f>CPSX!AG73</f>
        <v>4533333</v>
      </c>
      <c r="AH30" s="915">
        <f>CPSX!AH73</f>
        <v>4533333</v>
      </c>
      <c r="AI30" s="915">
        <f>CPSX!AI73</f>
        <v>4533333</v>
      </c>
      <c r="AJ30" s="915">
        <f>CPSX!AJ73</f>
        <v>4533333</v>
      </c>
      <c r="AK30" s="998">
        <f t="shared" si="5"/>
        <v>107035983</v>
      </c>
      <c r="AM30" s="915">
        <f>CPSX!AM73</f>
        <v>8175003</v>
      </c>
      <c r="AO30" s="915">
        <f>CPSX!AO73</f>
        <v>14156666.550000001</v>
      </c>
      <c r="AQ30" s="915">
        <v>51637587</v>
      </c>
      <c r="AR30" s="916">
        <f t="shared" si="2"/>
        <v>10994862.999999985</v>
      </c>
      <c r="AS30" s="1327">
        <f t="shared" si="3"/>
        <v>0.10272118489349502</v>
      </c>
    </row>
    <row r="31" spans="2:45" s="36" customFormat="1" ht="13" x14ac:dyDescent="0.25">
      <c r="B31" s="575">
        <v>3</v>
      </c>
      <c r="C31" s="588">
        <v>37</v>
      </c>
      <c r="D31" s="981">
        <v>6271002802</v>
      </c>
      <c r="E31" s="638" t="s">
        <v>465</v>
      </c>
      <c r="F31" s="638" t="s">
        <v>570</v>
      </c>
      <c r="G31" s="638" t="s">
        <v>465</v>
      </c>
      <c r="H31" s="588" t="s">
        <v>2233</v>
      </c>
      <c r="I31" s="981" t="s">
        <v>521</v>
      </c>
      <c r="J31" s="588" t="s">
        <v>2235</v>
      </c>
      <c r="K31" s="915">
        <f>CPSX!K74</f>
        <v>1700000</v>
      </c>
      <c r="L31" s="915">
        <f>CPSX!L74</f>
        <v>0</v>
      </c>
      <c r="M31" s="915">
        <f>CPSX!M74</f>
        <v>0</v>
      </c>
      <c r="N31" s="915">
        <f>CPSX!N74</f>
        <v>0</v>
      </c>
      <c r="O31" s="915">
        <f>CPSX!O74</f>
        <v>3400000</v>
      </c>
      <c r="P31" s="915">
        <f>CPSX!P74</f>
        <v>0</v>
      </c>
      <c r="Q31" s="915">
        <f>CPSX!Q74</f>
        <v>0</v>
      </c>
      <c r="R31" s="915">
        <f>CPSX!R74</f>
        <v>0</v>
      </c>
      <c r="S31" s="915">
        <f>CPSX!S74</f>
        <v>1700000</v>
      </c>
      <c r="T31" s="915">
        <f>CPSX!T74</f>
        <v>0</v>
      </c>
      <c r="U31" s="915">
        <f>CPSX!U74</f>
        <v>0</v>
      </c>
      <c r="V31" s="915">
        <f>CPSX!V74</f>
        <v>0</v>
      </c>
      <c r="W31" s="998">
        <f t="shared" si="10"/>
        <v>6800000</v>
      </c>
      <c r="Y31" s="915">
        <f>CPSX!Y74</f>
        <v>1310989</v>
      </c>
      <c r="Z31" s="915">
        <f>CPSX!Z74</f>
        <v>1310989</v>
      </c>
      <c r="AA31" s="915">
        <f>CPSX!AA74</f>
        <v>1119324</v>
      </c>
      <c r="AB31" s="915">
        <f>CPSX!AB74</f>
        <v>3840967</v>
      </c>
      <c r="AC31" s="915">
        <f>CPSX!AC74</f>
        <v>5435619</v>
      </c>
      <c r="AD31" s="915">
        <f>CPSX!AD74</f>
        <v>4170630</v>
      </c>
      <c r="AE31" s="915">
        <f>CPSX!AE74</f>
        <v>9527500</v>
      </c>
      <c r="AF31" s="915">
        <f>CPSX!AF74</f>
        <v>4170630</v>
      </c>
      <c r="AG31" s="915">
        <f>CPSX!AG74</f>
        <v>4170630</v>
      </c>
      <c r="AH31" s="915">
        <f>CPSX!AH74</f>
        <v>5251673.8666666644</v>
      </c>
      <c r="AI31" s="915">
        <f>CPSX!AI74</f>
        <v>5251673.8666666644</v>
      </c>
      <c r="AJ31" s="915">
        <f>CPSX!AJ74</f>
        <v>5251673.8666666644</v>
      </c>
      <c r="AK31" s="998">
        <f t="shared" si="5"/>
        <v>50812299.600000001</v>
      </c>
      <c r="AM31" s="915">
        <f>CPSX!AM74</f>
        <v>8831928</v>
      </c>
      <c r="AO31" s="915">
        <f>CPSX!AO74</f>
        <v>3428833.35</v>
      </c>
      <c r="AQ31" s="915">
        <v>69826400</v>
      </c>
      <c r="AR31" s="916">
        <f t="shared" si="2"/>
        <v>-44012299.600000001</v>
      </c>
      <c r="AS31" s="1327">
        <f t="shared" si="3"/>
        <v>-0.86617413394925347</v>
      </c>
    </row>
    <row r="32" spans="2:45" s="36" customFormat="1" ht="13" x14ac:dyDescent="0.25">
      <c r="B32" s="575">
        <v>4</v>
      </c>
      <c r="C32" s="588">
        <v>36</v>
      </c>
      <c r="D32" s="981">
        <v>6271002806</v>
      </c>
      <c r="E32" s="638" t="s">
        <v>472</v>
      </c>
      <c r="F32" s="638" t="s">
        <v>574</v>
      </c>
      <c r="G32" s="638" t="s">
        <v>472</v>
      </c>
      <c r="H32" s="588" t="s">
        <v>2233</v>
      </c>
      <c r="I32" s="981" t="s">
        <v>521</v>
      </c>
      <c r="J32" s="588" t="s">
        <v>2235</v>
      </c>
      <c r="K32" s="915">
        <f>CPSX!K75</f>
        <v>13157839.5</v>
      </c>
      <c r="L32" s="915">
        <f>CPSX!L75</f>
        <v>13157839.5</v>
      </c>
      <c r="M32" s="915">
        <f>CPSX!M75</f>
        <v>13157839.5</v>
      </c>
      <c r="N32" s="915">
        <f>CPSX!N75</f>
        <v>13157839.5</v>
      </c>
      <c r="O32" s="915">
        <f>CPSX!O75</f>
        <v>13157839.5</v>
      </c>
      <c r="P32" s="915">
        <f>CPSX!P75</f>
        <v>13157839.5</v>
      </c>
      <c r="Q32" s="915">
        <f>CPSX!Q75</f>
        <v>13157839.5</v>
      </c>
      <c r="R32" s="915">
        <f>CPSX!R75</f>
        <v>13157839.5</v>
      </c>
      <c r="S32" s="915">
        <f>CPSX!S75</f>
        <v>13157839.5</v>
      </c>
      <c r="T32" s="915">
        <f>CPSX!T75</f>
        <v>13157839.5</v>
      </c>
      <c r="U32" s="915">
        <f>CPSX!U75</f>
        <v>13157839.5</v>
      </c>
      <c r="V32" s="915">
        <f>CPSX!V75</f>
        <v>13157839.5</v>
      </c>
      <c r="W32" s="998">
        <f t="shared" si="10"/>
        <v>157894074</v>
      </c>
      <c r="Y32" s="915">
        <f>CPSX!Y75</f>
        <v>0</v>
      </c>
      <c r="Z32" s="915">
        <f>CPSX!Z75</f>
        <v>0</v>
      </c>
      <c r="AA32" s="915">
        <f>CPSX!AA75</f>
        <v>0</v>
      </c>
      <c r="AB32" s="915">
        <f>CPSX!AB75</f>
        <v>0</v>
      </c>
      <c r="AC32" s="915">
        <f>CPSX!AC75</f>
        <v>0</v>
      </c>
      <c r="AD32" s="915">
        <f>CPSX!AD75</f>
        <v>0</v>
      </c>
      <c r="AE32" s="915">
        <f>CPSX!AE75</f>
        <v>0</v>
      </c>
      <c r="AF32" s="915">
        <f>CPSX!AF75</f>
        <v>0</v>
      </c>
      <c r="AG32" s="915">
        <f>CPSX!AG75</f>
        <v>0</v>
      </c>
      <c r="AH32" s="915">
        <f>CPSX!AH75</f>
        <v>0</v>
      </c>
      <c r="AI32" s="915">
        <f>CPSX!AI75</f>
        <v>0</v>
      </c>
      <c r="AJ32" s="915">
        <f>CPSX!AJ75</f>
        <v>0</v>
      </c>
      <c r="AK32" s="998">
        <f t="shared" si="5"/>
        <v>0</v>
      </c>
      <c r="AM32" s="915">
        <f>CPSX!AM75</f>
        <v>0</v>
      </c>
      <c r="AO32" s="915">
        <f>CPSX!AO75</f>
        <v>0</v>
      </c>
      <c r="AQ32" s="915"/>
      <c r="AR32" s="916">
        <f t="shared" si="2"/>
        <v>157894074</v>
      </c>
      <c r="AS32" s="1327">
        <f t="shared" si="3"/>
        <v>0</v>
      </c>
    </row>
    <row r="33" spans="2:47" s="36" customFormat="1" ht="13" x14ac:dyDescent="0.25">
      <c r="B33" s="575">
        <v>5</v>
      </c>
      <c r="C33" s="588">
        <v>37</v>
      </c>
      <c r="D33" s="981">
        <v>6271007202</v>
      </c>
      <c r="E33" s="638" t="s">
        <v>431</v>
      </c>
      <c r="F33" s="638" t="s">
        <v>570</v>
      </c>
      <c r="G33" s="638" t="s">
        <v>431</v>
      </c>
      <c r="H33" s="588" t="s">
        <v>2233</v>
      </c>
      <c r="I33" s="981" t="s">
        <v>521</v>
      </c>
      <c r="J33" s="588" t="s">
        <v>2235</v>
      </c>
      <c r="K33" s="915">
        <f>CPSX!K76</f>
        <v>0</v>
      </c>
      <c r="L33" s="915">
        <f>CPSX!L76</f>
        <v>19250000</v>
      </c>
      <c r="M33" s="915">
        <f>CPSX!M76</f>
        <v>0</v>
      </c>
      <c r="N33" s="915">
        <f>CPSX!N76</f>
        <v>0</v>
      </c>
      <c r="O33" s="915">
        <f>CPSX!O76</f>
        <v>0</v>
      </c>
      <c r="P33" s="915">
        <f>CPSX!P76</f>
        <v>0</v>
      </c>
      <c r="Q33" s="915">
        <f>CPSX!Q76</f>
        <v>0</v>
      </c>
      <c r="R33" s="915">
        <f>CPSX!R76</f>
        <v>0</v>
      </c>
      <c r="S33" s="915">
        <f>CPSX!S76</f>
        <v>0</v>
      </c>
      <c r="T33" s="915">
        <f>CPSX!T76</f>
        <v>0</v>
      </c>
      <c r="U33" s="915">
        <f>CPSX!U76</f>
        <v>0</v>
      </c>
      <c r="V33" s="915">
        <f>CPSX!V76</f>
        <v>0</v>
      </c>
      <c r="W33" s="998">
        <f t="shared" si="10"/>
        <v>19250000</v>
      </c>
      <c r="Y33" s="915">
        <f>CPSX!Y76</f>
        <v>0</v>
      </c>
      <c r="Z33" s="915">
        <f>CPSX!Z76</f>
        <v>0</v>
      </c>
      <c r="AA33" s="915">
        <f>CPSX!AA76</f>
        <v>0</v>
      </c>
      <c r="AB33" s="915">
        <f>CPSX!AB76</f>
        <v>0</v>
      </c>
      <c r="AC33" s="915">
        <f>CPSX!AC76</f>
        <v>0</v>
      </c>
      <c r="AD33" s="915">
        <f>CPSX!AD76</f>
        <v>0</v>
      </c>
      <c r="AE33" s="915">
        <f>CPSX!AE76</f>
        <v>0</v>
      </c>
      <c r="AF33" s="915">
        <f>CPSX!AF76</f>
        <v>0</v>
      </c>
      <c r="AG33" s="915">
        <f>CPSX!AG76</f>
        <v>0</v>
      </c>
      <c r="AH33" s="915">
        <f>CPSX!AH76</f>
        <v>0</v>
      </c>
      <c r="AI33" s="915">
        <f>CPSX!AI76</f>
        <v>0</v>
      </c>
      <c r="AJ33" s="915">
        <f>CPSX!AJ76</f>
        <v>0</v>
      </c>
      <c r="AK33" s="998">
        <f t="shared" si="5"/>
        <v>0</v>
      </c>
      <c r="AM33" s="915">
        <f>CPSX!AM76</f>
        <v>0</v>
      </c>
      <c r="AO33" s="915">
        <f>CPSX!AO76</f>
        <v>0</v>
      </c>
      <c r="AQ33" s="915"/>
      <c r="AR33" s="916">
        <f t="shared" si="2"/>
        <v>19250000</v>
      </c>
      <c r="AS33" s="1327">
        <f t="shared" si="3"/>
        <v>0</v>
      </c>
    </row>
    <row r="34" spans="2:47" s="36" customFormat="1" ht="13" x14ac:dyDescent="0.25">
      <c r="B34" s="575">
        <v>6</v>
      </c>
      <c r="C34" s="588">
        <v>37</v>
      </c>
      <c r="D34" s="981">
        <v>6271003202</v>
      </c>
      <c r="E34" s="638" t="s">
        <v>467</v>
      </c>
      <c r="F34" s="638" t="s">
        <v>570</v>
      </c>
      <c r="G34" s="638" t="s">
        <v>467</v>
      </c>
      <c r="H34" s="588" t="s">
        <v>2233</v>
      </c>
      <c r="I34" s="981" t="s">
        <v>521</v>
      </c>
      <c r="J34" s="588" t="s">
        <v>2235</v>
      </c>
      <c r="K34" s="915">
        <f>CPSX!K77</f>
        <v>6650000</v>
      </c>
      <c r="L34" s="915">
        <f>CPSX!L77</f>
        <v>5852000</v>
      </c>
      <c r="M34" s="915">
        <f>CPSX!M77</f>
        <v>6384000</v>
      </c>
      <c r="N34" s="915">
        <f>CPSX!N77</f>
        <v>7182000</v>
      </c>
      <c r="O34" s="915">
        <f>CPSX!O77</f>
        <v>5852000</v>
      </c>
      <c r="P34" s="915">
        <f>CPSX!P77</f>
        <v>7182000</v>
      </c>
      <c r="Q34" s="915">
        <f>CPSX!Q77</f>
        <v>6916000</v>
      </c>
      <c r="R34" s="915">
        <f>CPSX!R77</f>
        <v>6916000</v>
      </c>
      <c r="S34" s="915">
        <f>CPSX!S77</f>
        <v>6650000</v>
      </c>
      <c r="T34" s="915">
        <f>CPSX!T77</f>
        <v>6650000</v>
      </c>
      <c r="U34" s="915">
        <f>CPSX!U77</f>
        <v>7182000</v>
      </c>
      <c r="V34" s="915">
        <f>CPSX!V77</f>
        <v>6916000</v>
      </c>
      <c r="W34" s="998">
        <f t="shared" si="10"/>
        <v>80332000</v>
      </c>
      <c r="Y34" s="915">
        <f>CPSX!Y77</f>
        <v>1250000</v>
      </c>
      <c r="Z34" s="915">
        <f>CPSX!Z77</f>
        <v>850000</v>
      </c>
      <c r="AA34" s="915">
        <f>CPSX!AA77</f>
        <v>775000</v>
      </c>
      <c r="AB34" s="915">
        <f>CPSX!AB77</f>
        <v>3575000</v>
      </c>
      <c r="AC34" s="915">
        <f>CPSX!AC77</f>
        <v>3491250</v>
      </c>
      <c r="AD34" s="915">
        <f>CPSX!AD77</f>
        <v>4147500</v>
      </c>
      <c r="AE34" s="915">
        <f>CPSX!AE77</f>
        <v>4170631</v>
      </c>
      <c r="AF34" s="915">
        <f>CPSX!AF77</f>
        <v>3970421</v>
      </c>
      <c r="AG34" s="915">
        <f>CPSX!AG77</f>
        <v>3540477</v>
      </c>
      <c r="AH34" s="915">
        <f>CPSX!AH77</f>
        <v>3540477</v>
      </c>
      <c r="AI34" s="915">
        <f>CPSX!AI77</f>
        <v>3540477</v>
      </c>
      <c r="AJ34" s="915">
        <f>CPSX!AJ77</f>
        <v>3540477</v>
      </c>
      <c r="AK34" s="998">
        <f t="shared" si="5"/>
        <v>36391710</v>
      </c>
      <c r="AM34" s="915">
        <f>CPSX!AM77</f>
        <v>7575000</v>
      </c>
      <c r="AO34" s="915">
        <f>CPSX!AO77</f>
        <v>17207500</v>
      </c>
      <c r="AQ34" s="915">
        <v>49600000</v>
      </c>
      <c r="AR34" s="916">
        <f t="shared" si="2"/>
        <v>43940290</v>
      </c>
      <c r="AS34" s="1327">
        <f t="shared" si="3"/>
        <v>1.2074258120874233</v>
      </c>
    </row>
    <row r="35" spans="2:47" s="36" customFormat="1" ht="13" x14ac:dyDescent="0.25">
      <c r="B35" s="575">
        <v>7</v>
      </c>
      <c r="C35" s="588">
        <v>36</v>
      </c>
      <c r="D35" s="981">
        <v>6271002603</v>
      </c>
      <c r="E35" s="638" t="s">
        <v>466</v>
      </c>
      <c r="F35" s="638" t="s">
        <v>574</v>
      </c>
      <c r="G35" s="638" t="s">
        <v>466</v>
      </c>
      <c r="H35" s="588" t="s">
        <v>2233</v>
      </c>
      <c r="I35" s="981" t="s">
        <v>521</v>
      </c>
      <c r="J35" s="588" t="s">
        <v>2235</v>
      </c>
      <c r="K35" s="915">
        <f>CPSX!K78</f>
        <v>0</v>
      </c>
      <c r="L35" s="915">
        <f>CPSX!L78</f>
        <v>0</v>
      </c>
      <c r="M35" s="915">
        <f>CPSX!M78</f>
        <v>0</v>
      </c>
      <c r="N35" s="915">
        <f>CPSX!N78</f>
        <v>0</v>
      </c>
      <c r="O35" s="915">
        <f>CPSX!O78</f>
        <v>0</v>
      </c>
      <c r="P35" s="915">
        <f>CPSX!P78</f>
        <v>0</v>
      </c>
      <c r="Q35" s="915">
        <f>CPSX!Q78</f>
        <v>0</v>
      </c>
      <c r="R35" s="915">
        <f>CPSX!R78</f>
        <v>0</v>
      </c>
      <c r="S35" s="915">
        <f>CPSX!S78</f>
        <v>0</v>
      </c>
      <c r="T35" s="915">
        <f>CPSX!T78</f>
        <v>0</v>
      </c>
      <c r="U35" s="915">
        <f>CPSX!U78</f>
        <v>0</v>
      </c>
      <c r="V35" s="915">
        <f>CPSX!V78</f>
        <v>0</v>
      </c>
      <c r="W35" s="998">
        <f t="shared" si="10"/>
        <v>0</v>
      </c>
      <c r="Y35" s="915">
        <f>CPSX!Y78</f>
        <v>0</v>
      </c>
      <c r="Z35" s="915">
        <f>CPSX!Z78</f>
        <v>0</v>
      </c>
      <c r="AA35" s="915">
        <f>CPSX!AA78</f>
        <v>0</v>
      </c>
      <c r="AB35" s="915">
        <f>CPSX!AB78</f>
        <v>0</v>
      </c>
      <c r="AC35" s="915">
        <f>CPSX!AC78</f>
        <v>0</v>
      </c>
      <c r="AD35" s="915">
        <f>CPSX!AD78</f>
        <v>0</v>
      </c>
      <c r="AE35" s="915">
        <f>CPSX!AE78</f>
        <v>0</v>
      </c>
      <c r="AF35" s="915">
        <f>CPSX!AF78</f>
        <v>0</v>
      </c>
      <c r="AG35" s="915">
        <f>CPSX!AG78</f>
        <v>0</v>
      </c>
      <c r="AH35" s="915">
        <f>CPSX!AH78</f>
        <v>0</v>
      </c>
      <c r="AI35" s="915">
        <f>CPSX!AI78</f>
        <v>0</v>
      </c>
      <c r="AJ35" s="915">
        <f>CPSX!AJ78</f>
        <v>0</v>
      </c>
      <c r="AK35" s="998">
        <f t="shared" si="5"/>
        <v>0</v>
      </c>
      <c r="AM35" s="915">
        <f>CPSX!AM78</f>
        <v>0</v>
      </c>
      <c r="AO35" s="915">
        <f>CPSX!AO78</f>
        <v>0</v>
      </c>
      <c r="AQ35" s="915"/>
      <c r="AR35" s="916">
        <f t="shared" si="2"/>
        <v>0</v>
      </c>
      <c r="AS35" s="1327">
        <f t="shared" si="3"/>
        <v>0</v>
      </c>
    </row>
    <row r="36" spans="2:47" s="36" customFormat="1" ht="13" x14ac:dyDescent="0.25">
      <c r="B36" s="575">
        <v>8</v>
      </c>
      <c r="C36" s="588">
        <v>37</v>
      </c>
      <c r="D36" s="981">
        <v>6271003401</v>
      </c>
      <c r="E36" s="638" t="s">
        <v>463</v>
      </c>
      <c r="F36" s="638" t="s">
        <v>570</v>
      </c>
      <c r="G36" s="638" t="s">
        <v>463</v>
      </c>
      <c r="H36" s="588" t="s">
        <v>2233</v>
      </c>
      <c r="I36" s="981" t="s">
        <v>521</v>
      </c>
      <c r="J36" s="588" t="s">
        <v>2235</v>
      </c>
      <c r="K36" s="915">
        <f>CPSX!K79</f>
        <v>28763649</v>
      </c>
      <c r="L36" s="915">
        <f>CPSX!L79</f>
        <v>28763649</v>
      </c>
      <c r="M36" s="915">
        <f>CPSX!M79</f>
        <v>28763649</v>
      </c>
      <c r="N36" s="915">
        <f>CPSX!N79</f>
        <v>28763649</v>
      </c>
      <c r="O36" s="915">
        <f>CPSX!O79</f>
        <v>28763649</v>
      </c>
      <c r="P36" s="915">
        <f>CPSX!P79</f>
        <v>28763649</v>
      </c>
      <c r="Q36" s="915">
        <f>CPSX!Q79</f>
        <v>28763649</v>
      </c>
      <c r="R36" s="915">
        <f>CPSX!R79</f>
        <v>28763649</v>
      </c>
      <c r="S36" s="915">
        <f>CPSX!S79</f>
        <v>28763649</v>
      </c>
      <c r="T36" s="915">
        <f>CPSX!T79</f>
        <v>28763649</v>
      </c>
      <c r="U36" s="915">
        <f>CPSX!U79</f>
        <v>28763649</v>
      </c>
      <c r="V36" s="915">
        <f>CPSX!V79</f>
        <v>28763649</v>
      </c>
      <c r="W36" s="998">
        <f t="shared" si="10"/>
        <v>345163788</v>
      </c>
      <c r="Y36" s="915">
        <f>CPSX!Y79</f>
        <v>3025000</v>
      </c>
      <c r="Z36" s="915">
        <f>CPSX!Z79</f>
        <v>3225000</v>
      </c>
      <c r="AA36" s="915">
        <f>CPSX!AA79</f>
        <v>2150000</v>
      </c>
      <c r="AB36" s="915">
        <f>CPSX!AB79</f>
        <v>1075000</v>
      </c>
      <c r="AC36" s="915">
        <f>CPSX!AC79</f>
        <v>2150000</v>
      </c>
      <c r="AD36" s="915">
        <f>CPSX!AD79</f>
        <v>7847500</v>
      </c>
      <c r="AE36" s="915">
        <f>CPSX!AE79</f>
        <v>4533333</v>
      </c>
      <c r="AF36" s="915">
        <f>CPSX!AF79</f>
        <v>9527500</v>
      </c>
      <c r="AG36" s="915">
        <f>CPSX!AG79</f>
        <v>9527500</v>
      </c>
      <c r="AH36" s="915">
        <f>CPSX!AH79</f>
        <v>16627222.333333334</v>
      </c>
      <c r="AI36" s="915">
        <f>CPSX!AI79</f>
        <v>16627222.333333334</v>
      </c>
      <c r="AJ36" s="915">
        <f>CPSX!AJ79</f>
        <v>16627222.333333334</v>
      </c>
      <c r="AK36" s="998">
        <f t="shared" si="5"/>
        <v>92942500</v>
      </c>
      <c r="AM36" s="915">
        <f>CPSX!AM79</f>
        <v>6600000</v>
      </c>
      <c r="AO36" s="915">
        <f>CPSX!AO79</f>
        <v>29828731</v>
      </c>
      <c r="AQ36" s="915">
        <v>153282040</v>
      </c>
      <c r="AR36" s="916">
        <f t="shared" si="2"/>
        <v>252221288</v>
      </c>
      <c r="AS36" s="1327">
        <f t="shared" si="3"/>
        <v>2.7137347069424642</v>
      </c>
    </row>
    <row r="37" spans="2:47" s="36" customFormat="1" ht="13" x14ac:dyDescent="0.25">
      <c r="B37" s="575">
        <v>9</v>
      </c>
      <c r="C37" s="588">
        <v>36</v>
      </c>
      <c r="D37" s="981">
        <v>6271002703</v>
      </c>
      <c r="E37" s="638" t="s">
        <v>464</v>
      </c>
      <c r="F37" s="638" t="s">
        <v>574</v>
      </c>
      <c r="G37" s="638" t="s">
        <v>464</v>
      </c>
      <c r="H37" s="588" t="s">
        <v>2233</v>
      </c>
      <c r="I37" s="981" t="s">
        <v>521</v>
      </c>
      <c r="J37" s="588" t="s">
        <v>2235</v>
      </c>
      <c r="K37" s="915">
        <f>CPSX!K80</f>
        <v>902027.33333333337</v>
      </c>
      <c r="L37" s="915">
        <f>CPSX!L80</f>
        <v>1849278.3333333333</v>
      </c>
      <c r="M37" s="915">
        <f>CPSX!M80</f>
        <v>2918887.1666666665</v>
      </c>
      <c r="N37" s="915">
        <f>CPSX!N80</f>
        <v>2649884.6666666665</v>
      </c>
      <c r="O37" s="915">
        <f>CPSX!O80</f>
        <v>2159166.1666666665</v>
      </c>
      <c r="P37" s="915">
        <f>CPSX!P80</f>
        <v>974186.33333333337</v>
      </c>
      <c r="Q37" s="915">
        <f>CPSX!Q80</f>
        <v>6214060</v>
      </c>
      <c r="R37" s="915">
        <f>CPSX!R80</f>
        <v>7434833.333333333</v>
      </c>
      <c r="S37" s="915">
        <f>CPSX!S80</f>
        <v>5975057</v>
      </c>
      <c r="T37" s="915">
        <f>CPSX!T80</f>
        <v>2453595.3333333335</v>
      </c>
      <c r="U37" s="915">
        <f>CPSX!U80</f>
        <v>2016020.3333333333</v>
      </c>
      <c r="V37" s="915">
        <f>CPSX!V80</f>
        <v>1941353.3333333333</v>
      </c>
      <c r="W37" s="998">
        <f t="shared" si="10"/>
        <v>37488349.333333336</v>
      </c>
      <c r="Y37" s="915">
        <f>CPSX!Y80</f>
        <v>0</v>
      </c>
      <c r="Z37" s="915">
        <f>CPSX!Z80</f>
        <v>0</v>
      </c>
      <c r="AA37" s="915">
        <f>CPSX!AA80</f>
        <v>0</v>
      </c>
      <c r="AB37" s="915">
        <f>CPSX!AB80</f>
        <v>0</v>
      </c>
      <c r="AC37" s="915">
        <f>CPSX!AC80</f>
        <v>0</v>
      </c>
      <c r="AD37" s="915">
        <f>CPSX!AD80</f>
        <v>0</v>
      </c>
      <c r="AE37" s="915">
        <f>CPSX!AE80</f>
        <v>0</v>
      </c>
      <c r="AF37" s="915">
        <f>CPSX!AF80</f>
        <v>0</v>
      </c>
      <c r="AG37" s="915">
        <f>CPSX!AG80</f>
        <v>0</v>
      </c>
      <c r="AH37" s="915">
        <f>CPSX!AH80</f>
        <v>0</v>
      </c>
      <c r="AI37" s="915">
        <f>CPSX!AI80</f>
        <v>0</v>
      </c>
      <c r="AJ37" s="915">
        <f>CPSX!AJ80</f>
        <v>0</v>
      </c>
      <c r="AK37" s="998">
        <f t="shared" si="5"/>
        <v>0</v>
      </c>
      <c r="AM37" s="915">
        <f>CPSX!AM80</f>
        <v>0</v>
      </c>
      <c r="AO37" s="915">
        <f>CPSX!AO80</f>
        <v>0</v>
      </c>
      <c r="AQ37" s="915"/>
      <c r="AR37" s="916">
        <f t="shared" si="2"/>
        <v>37488349.333333336</v>
      </c>
      <c r="AS37" s="1327">
        <f t="shared" si="3"/>
        <v>0</v>
      </c>
    </row>
    <row r="38" spans="2:47" s="36" customFormat="1" ht="13" x14ac:dyDescent="0.25">
      <c r="B38" s="575">
        <v>10</v>
      </c>
      <c r="C38" s="588">
        <v>38</v>
      </c>
      <c r="D38" s="981" t="s">
        <v>854</v>
      </c>
      <c r="E38" s="638" t="s">
        <v>855</v>
      </c>
      <c r="F38" s="638" t="s">
        <v>811</v>
      </c>
      <c r="G38" s="638" t="s">
        <v>855</v>
      </c>
      <c r="H38" s="588" t="s">
        <v>2233</v>
      </c>
      <c r="I38" s="981" t="s">
        <v>521</v>
      </c>
      <c r="J38" s="588" t="s">
        <v>2235</v>
      </c>
      <c r="K38" s="915">
        <f>CPSX!K81</f>
        <v>0</v>
      </c>
      <c r="L38" s="915">
        <f>CPSX!L81</f>
        <v>0</v>
      </c>
      <c r="M38" s="915">
        <f>CPSX!M81</f>
        <v>0</v>
      </c>
      <c r="N38" s="915">
        <f>CPSX!N81</f>
        <v>0</v>
      </c>
      <c r="O38" s="915">
        <f>CPSX!O81</f>
        <v>0</v>
      </c>
      <c r="P38" s="915">
        <f>CPSX!P81</f>
        <v>0</v>
      </c>
      <c r="Q38" s="915">
        <f>CPSX!Q81</f>
        <v>0</v>
      </c>
      <c r="R38" s="915">
        <f>CPSX!R81</f>
        <v>0</v>
      </c>
      <c r="S38" s="915">
        <f>CPSX!S81</f>
        <v>0</v>
      </c>
      <c r="T38" s="915">
        <f>CPSX!T81</f>
        <v>0</v>
      </c>
      <c r="U38" s="915">
        <f>CPSX!U81</f>
        <v>0</v>
      </c>
      <c r="V38" s="915">
        <f>CPSX!V81</f>
        <v>0</v>
      </c>
      <c r="W38" s="998">
        <f t="shared" si="10"/>
        <v>0</v>
      </c>
      <c r="Y38" s="915">
        <f>CPSX!Y81</f>
        <v>0</v>
      </c>
      <c r="Z38" s="915">
        <f>CPSX!Z81</f>
        <v>0</v>
      </c>
      <c r="AA38" s="915">
        <f>CPSX!AA81</f>
        <v>0</v>
      </c>
      <c r="AB38" s="915">
        <f>CPSX!AB81</f>
        <v>0</v>
      </c>
      <c r="AC38" s="915">
        <f>CPSX!AC81</f>
        <v>0</v>
      </c>
      <c r="AD38" s="915">
        <f>CPSX!AD81</f>
        <v>0</v>
      </c>
      <c r="AE38" s="915">
        <f>CPSX!AE81</f>
        <v>0</v>
      </c>
      <c r="AF38" s="915">
        <f>CPSX!AF81</f>
        <v>0</v>
      </c>
      <c r="AG38" s="915">
        <f>CPSX!AG81</f>
        <v>0</v>
      </c>
      <c r="AH38" s="915">
        <f>CPSX!AH81</f>
        <v>0</v>
      </c>
      <c r="AI38" s="915">
        <f>CPSX!AI81</f>
        <v>0</v>
      </c>
      <c r="AJ38" s="915">
        <f>CPSX!AJ81</f>
        <v>0</v>
      </c>
      <c r="AK38" s="998">
        <f t="shared" si="5"/>
        <v>0</v>
      </c>
      <c r="AM38" s="915">
        <f>CPSX!AM81</f>
        <v>0</v>
      </c>
      <c r="AO38" s="915">
        <f>CPSX!AO81</f>
        <v>0</v>
      </c>
      <c r="AQ38" s="915"/>
      <c r="AR38" s="916">
        <f t="shared" si="2"/>
        <v>0</v>
      </c>
      <c r="AS38" s="1327">
        <f t="shared" si="3"/>
        <v>0</v>
      </c>
    </row>
    <row r="39" spans="2:47" s="36" customFormat="1" ht="13" x14ac:dyDescent="0.25">
      <c r="B39" s="575">
        <v>11</v>
      </c>
      <c r="C39" s="588">
        <v>37</v>
      </c>
      <c r="D39" s="981">
        <v>6271003001</v>
      </c>
      <c r="E39" s="638" t="s">
        <v>430</v>
      </c>
      <c r="F39" s="638" t="s">
        <v>570</v>
      </c>
      <c r="G39" s="638" t="s">
        <v>430</v>
      </c>
      <c r="H39" s="588" t="s">
        <v>2233</v>
      </c>
      <c r="I39" s="981" t="s">
        <v>521</v>
      </c>
      <c r="J39" s="588" t="s">
        <v>2235</v>
      </c>
      <c r="K39" s="915">
        <f ca="1">CPSX!K82</f>
        <v>3543261.7647058815</v>
      </c>
      <c r="L39" s="915">
        <f ca="1">CPSX!L82</f>
        <v>3543261.7647058815</v>
      </c>
      <c r="M39" s="915">
        <f ca="1">CPSX!M82</f>
        <v>3543261.7647058815</v>
      </c>
      <c r="N39" s="915">
        <f ca="1">CPSX!N82</f>
        <v>587011.76470588159</v>
      </c>
      <c r="O39" s="915">
        <f ca="1">CPSX!O82</f>
        <v>587011.76470588159</v>
      </c>
      <c r="P39" s="915">
        <f ca="1">CPSX!P82</f>
        <v>587011.76470588159</v>
      </c>
      <c r="Q39" s="915">
        <f ca="1">CPSX!Q82</f>
        <v>587011.76470588159</v>
      </c>
      <c r="R39" s="915">
        <f ca="1">CPSX!R82</f>
        <v>587011.76470588159</v>
      </c>
      <c r="S39" s="915">
        <f ca="1">CPSX!S82</f>
        <v>587011.76470588159</v>
      </c>
      <c r="T39" s="915">
        <f ca="1">CPSX!T82</f>
        <v>587011.76470588159</v>
      </c>
      <c r="U39" s="915">
        <f ca="1">CPSX!U82</f>
        <v>587011.76470588159</v>
      </c>
      <c r="V39" s="915">
        <f ca="1">CPSX!V82</f>
        <v>587011.76470588159</v>
      </c>
      <c r="W39" s="998">
        <f t="shared" ca="1" si="10"/>
        <v>15912891.176470578</v>
      </c>
      <c r="Y39" s="915">
        <f>CPSX!Y82</f>
        <v>0</v>
      </c>
      <c r="Z39" s="915">
        <f>CPSX!Z82</f>
        <v>0</v>
      </c>
      <c r="AA39" s="915">
        <f>CPSX!AA82</f>
        <v>0</v>
      </c>
      <c r="AB39" s="915">
        <f>CPSX!AB82</f>
        <v>0</v>
      </c>
      <c r="AC39" s="915">
        <f>CPSX!AC82</f>
        <v>0</v>
      </c>
      <c r="AD39" s="915">
        <f>CPSX!AD82</f>
        <v>0</v>
      </c>
      <c r="AE39" s="915">
        <f>CPSX!AE82</f>
        <v>0</v>
      </c>
      <c r="AF39" s="915">
        <f>CPSX!AF82</f>
        <v>0</v>
      </c>
      <c r="AG39" s="915">
        <f>CPSX!AG82</f>
        <v>0</v>
      </c>
      <c r="AH39" s="915">
        <f>CPSX!AH82</f>
        <v>0</v>
      </c>
      <c r="AI39" s="915">
        <f>CPSX!AI82</f>
        <v>0</v>
      </c>
      <c r="AJ39" s="915">
        <f>CPSX!AJ82</f>
        <v>0</v>
      </c>
      <c r="AK39" s="998">
        <f t="shared" si="5"/>
        <v>0</v>
      </c>
      <c r="AM39" s="915">
        <f>CPSX!AM82</f>
        <v>0</v>
      </c>
      <c r="AO39" s="915">
        <f>CPSX!AO82</f>
        <v>0</v>
      </c>
      <c r="AQ39" s="915"/>
      <c r="AR39" s="916">
        <f t="shared" ca="1" si="2"/>
        <v>15912891.176470578</v>
      </c>
      <c r="AS39" s="1327">
        <f t="shared" ca="1" si="3"/>
        <v>0</v>
      </c>
    </row>
    <row r="40" spans="2:47" s="36" customFormat="1" ht="13" x14ac:dyDescent="0.25">
      <c r="B40" s="575">
        <v>12</v>
      </c>
      <c r="C40" s="588">
        <v>37</v>
      </c>
      <c r="D40" s="981" t="s">
        <v>1004</v>
      </c>
      <c r="E40" s="638" t="s">
        <v>441</v>
      </c>
      <c r="F40" s="638" t="s">
        <v>570</v>
      </c>
      <c r="G40" s="638" t="s">
        <v>1946</v>
      </c>
      <c r="H40" s="588" t="s">
        <v>2233</v>
      </c>
      <c r="I40" s="981" t="s">
        <v>521</v>
      </c>
      <c r="J40" s="588" t="s">
        <v>2235</v>
      </c>
      <c r="K40" s="915">
        <f ca="1">CPSX!K83</f>
        <v>1454361.5625</v>
      </c>
      <c r="L40" s="915">
        <f ca="1">CPSX!L83</f>
        <v>1454361.5625</v>
      </c>
      <c r="M40" s="915">
        <f ca="1">CPSX!M83</f>
        <v>1454361.5625</v>
      </c>
      <c r="N40" s="915">
        <f ca="1">CPSX!N83</f>
        <v>1454361.5625</v>
      </c>
      <c r="O40" s="915">
        <f ca="1">CPSX!O83</f>
        <v>1454361.5625</v>
      </c>
      <c r="P40" s="915">
        <f ca="1">CPSX!P83</f>
        <v>1454361.5625</v>
      </c>
      <c r="Q40" s="915">
        <f ca="1">CPSX!Q83</f>
        <v>1454361.5625</v>
      </c>
      <c r="R40" s="915">
        <f ca="1">CPSX!R83</f>
        <v>1230361.5625</v>
      </c>
      <c r="S40" s="915">
        <f ca="1">CPSX!S83</f>
        <v>1230361.5625</v>
      </c>
      <c r="T40" s="915">
        <f ca="1">CPSX!T83</f>
        <v>1230361.5625</v>
      </c>
      <c r="U40" s="915">
        <f ca="1">CPSX!U83</f>
        <v>1230361.5625</v>
      </c>
      <c r="V40" s="915">
        <f ca="1">CPSX!V83</f>
        <v>1230361.5625</v>
      </c>
      <c r="W40" s="998">
        <f t="shared" ca="1" si="10"/>
        <v>16332338.75</v>
      </c>
      <c r="Y40" s="915">
        <f>CPSX!Y83</f>
        <v>394153</v>
      </c>
      <c r="Z40" s="915">
        <f>CPSX!Z83</f>
        <v>394153</v>
      </c>
      <c r="AA40" s="915">
        <f>CPSX!AA83</f>
        <v>394153</v>
      </c>
      <c r="AB40" s="915">
        <f>CPSX!AB83</f>
        <v>394153</v>
      </c>
      <c r="AC40" s="915">
        <f>CPSX!AC83</f>
        <v>394153</v>
      </c>
      <c r="AD40" s="915">
        <f>CPSX!AD83</f>
        <v>394153</v>
      </c>
      <c r="AE40" s="915">
        <f>CPSX!AE83</f>
        <v>249028</v>
      </c>
      <c r="AF40" s="915">
        <f>CPSX!AF83</f>
        <v>15399753</v>
      </c>
      <c r="AG40" s="915">
        <f>CPSX!AG83</f>
        <v>399753</v>
      </c>
      <c r="AH40" s="915">
        <f>CPSX!AH83</f>
        <v>269349</v>
      </c>
      <c r="AI40" s="915">
        <f>CPSX!AI83</f>
        <v>224000</v>
      </c>
      <c r="AJ40" s="915">
        <f>CPSX!AJ83</f>
        <v>224000</v>
      </c>
      <c r="AK40" s="998">
        <f t="shared" si="5"/>
        <v>19130801</v>
      </c>
      <c r="AM40" s="915">
        <f>CPSX!AM83</f>
        <v>1792303</v>
      </c>
      <c r="AO40" s="915">
        <f>CPSX!AO83</f>
        <v>4918381</v>
      </c>
      <c r="AQ40" s="915"/>
      <c r="AR40" s="916">
        <f t="shared" ca="1" si="2"/>
        <v>-2798462.25</v>
      </c>
      <c r="AS40" s="1328">
        <f t="shared" ca="1" si="3"/>
        <v>-0.14628045370395104</v>
      </c>
    </row>
    <row r="41" spans="2:47" s="36" customFormat="1" ht="13" x14ac:dyDescent="0.25">
      <c r="B41" s="575">
        <v>13</v>
      </c>
      <c r="C41" s="588">
        <v>7</v>
      </c>
      <c r="D41" s="981">
        <v>6273000100</v>
      </c>
      <c r="E41" s="638" t="s">
        <v>432</v>
      </c>
      <c r="F41" s="638" t="s">
        <v>580</v>
      </c>
      <c r="G41" s="638" t="s">
        <v>1951</v>
      </c>
      <c r="H41" s="588" t="s">
        <v>2233</v>
      </c>
      <c r="I41" s="981" t="s">
        <v>516</v>
      </c>
      <c r="J41" s="588" t="s">
        <v>2236</v>
      </c>
      <c r="K41" s="915">
        <f>CPSX!K84</f>
        <v>17775922.666666668</v>
      </c>
      <c r="L41" s="915">
        <f>CPSX!L84</f>
        <v>12626816.666666668</v>
      </c>
      <c r="M41" s="915">
        <f>CPSX!M84</f>
        <v>9950172.6666666679</v>
      </c>
      <c r="N41" s="915">
        <f>CPSX!N84</f>
        <v>12749666.666666668</v>
      </c>
      <c r="O41" s="915">
        <f>CPSX!O84</f>
        <v>9133072.6666666679</v>
      </c>
      <c r="P41" s="915">
        <f>CPSX!P84</f>
        <v>17417916.666666668</v>
      </c>
      <c r="Q41" s="915">
        <f>CPSX!Q84</f>
        <v>9255922.6666666679</v>
      </c>
      <c r="R41" s="915">
        <f>CPSX!R84</f>
        <v>12626816.666666668</v>
      </c>
      <c r="S41" s="915">
        <f>CPSX!S84</f>
        <v>8739172.6666666679</v>
      </c>
      <c r="T41" s="915">
        <f>CPSX!T84</f>
        <v>12674666.666666668</v>
      </c>
      <c r="U41" s="915">
        <f>CPSX!U84</f>
        <v>8678072.6666666679</v>
      </c>
      <c r="V41" s="915">
        <f>CPSX!V84</f>
        <v>12502916.666666668</v>
      </c>
      <c r="W41" s="998">
        <f t="shared" si="10"/>
        <v>144131136.00000003</v>
      </c>
      <c r="Y41" s="915">
        <f>CPSX!Y84</f>
        <v>1590000</v>
      </c>
      <c r="Z41" s="915">
        <f>CPSX!Z84</f>
        <v>0</v>
      </c>
      <c r="AA41" s="915">
        <f>CPSX!AA84</f>
        <v>9084000</v>
      </c>
      <c r="AB41" s="915">
        <f>CPSX!AB84</f>
        <v>3355347</v>
      </c>
      <c r="AC41" s="915">
        <f>CPSX!AC84</f>
        <v>21014604</v>
      </c>
      <c r="AD41" s="915">
        <f>CPSX!AD84</f>
        <v>0</v>
      </c>
      <c r="AE41" s="915">
        <f>CPSX!AE84</f>
        <v>4020000</v>
      </c>
      <c r="AF41" s="915">
        <f>CPSX!AF84</f>
        <v>0</v>
      </c>
      <c r="AG41" s="915">
        <f>CPSX!AG84</f>
        <v>820000</v>
      </c>
      <c r="AH41" s="915">
        <f>CPSX!AH84</f>
        <v>10431550</v>
      </c>
      <c r="AI41" s="915">
        <f>CPSX!AI84</f>
        <v>10431550</v>
      </c>
      <c r="AJ41" s="915">
        <f>CPSX!AJ84</f>
        <v>10431550</v>
      </c>
      <c r="AK41" s="998">
        <f t="shared" si="5"/>
        <v>71178601</v>
      </c>
      <c r="AM41" s="915">
        <f>CPSX!AM84</f>
        <v>34496194</v>
      </c>
      <c r="AO41" s="915">
        <f>CPSX!AO84</f>
        <v>0</v>
      </c>
      <c r="AQ41" s="915">
        <v>180000000</v>
      </c>
      <c r="AR41" s="916">
        <f t="shared" si="2"/>
        <v>72952535.00000003</v>
      </c>
      <c r="AS41" s="1327">
        <f t="shared" si="3"/>
        <v>1.0249222937101563</v>
      </c>
    </row>
    <row r="42" spans="2:47" s="36" customFormat="1" ht="13" x14ac:dyDescent="0.25">
      <c r="B42" s="575">
        <v>14</v>
      </c>
      <c r="C42" s="588">
        <v>5</v>
      </c>
      <c r="D42" s="981">
        <v>6275001803</v>
      </c>
      <c r="E42" s="638" t="s">
        <v>15</v>
      </c>
      <c r="F42" s="638" t="s">
        <v>573</v>
      </c>
      <c r="G42" s="638" t="s">
        <v>15</v>
      </c>
      <c r="H42" s="588" t="s">
        <v>2233</v>
      </c>
      <c r="I42" s="981" t="s">
        <v>516</v>
      </c>
      <c r="J42" s="588" t="s">
        <v>2236</v>
      </c>
      <c r="K42" s="915">
        <f>CPSX!K85</f>
        <v>937804.26249999995</v>
      </c>
      <c r="L42" s="915">
        <f>CPSX!L85</f>
        <v>937804.26249999995</v>
      </c>
      <c r="M42" s="915">
        <f>CPSX!M85</f>
        <v>937804.26249999995</v>
      </c>
      <c r="N42" s="915">
        <f>CPSX!N85</f>
        <v>937804.26249999995</v>
      </c>
      <c r="O42" s="915">
        <f>CPSX!O85</f>
        <v>937804.26249999995</v>
      </c>
      <c r="P42" s="915">
        <f>CPSX!P85</f>
        <v>937804.26249999995</v>
      </c>
      <c r="Q42" s="915">
        <f>CPSX!Q85</f>
        <v>937804.26249999995</v>
      </c>
      <c r="R42" s="915">
        <f>CPSX!R85</f>
        <v>937804.26249999995</v>
      </c>
      <c r="S42" s="915">
        <f>CPSX!S85</f>
        <v>937804.26249999995</v>
      </c>
      <c r="T42" s="915">
        <f>CPSX!T85</f>
        <v>937804.26249999995</v>
      </c>
      <c r="U42" s="915">
        <f>CPSX!U85</f>
        <v>937804.26249999995</v>
      </c>
      <c r="V42" s="915">
        <f>CPSX!V85</f>
        <v>937804.26249999995</v>
      </c>
      <c r="W42" s="998">
        <f t="shared" si="10"/>
        <v>11253651.149999999</v>
      </c>
      <c r="Y42" s="915">
        <f>CPSX!Y85</f>
        <v>1716352</v>
      </c>
      <c r="Z42" s="915">
        <f>CPSX!Z85</f>
        <v>746577</v>
      </c>
      <c r="AA42" s="915">
        <f>CPSX!AA85</f>
        <v>704286</v>
      </c>
      <c r="AB42" s="915">
        <f>CPSX!AB85</f>
        <v>963388</v>
      </c>
      <c r="AC42" s="915">
        <f>CPSX!AC85</f>
        <v>437143</v>
      </c>
      <c r="AD42" s="915">
        <f>CPSX!AD85</f>
        <v>1190083</v>
      </c>
      <c r="AE42" s="915">
        <f>CPSX!AE85</f>
        <v>979580</v>
      </c>
      <c r="AF42" s="915">
        <f>CPSX!AF85</f>
        <v>922923</v>
      </c>
      <c r="AG42" s="915">
        <f>CPSX!AG85</f>
        <v>518095</v>
      </c>
      <c r="AH42" s="915">
        <f>CPSX!AH85</f>
        <v>908714</v>
      </c>
      <c r="AI42" s="915">
        <f>CPSX!AI85</f>
        <v>908714</v>
      </c>
      <c r="AJ42" s="915">
        <f>CPSX!AJ85</f>
        <v>908714</v>
      </c>
      <c r="AK42" s="998">
        <f t="shared" si="5"/>
        <v>10904569</v>
      </c>
      <c r="AM42" s="915">
        <f>CPSX!AM85</f>
        <v>8473005</v>
      </c>
      <c r="AO42" s="915">
        <f>CPSX!AO85</f>
        <v>6976562</v>
      </c>
      <c r="AQ42" s="915">
        <v>12000000</v>
      </c>
      <c r="AR42" s="916">
        <f t="shared" si="2"/>
        <v>349082.14999999851</v>
      </c>
      <c r="AS42" s="1327">
        <f t="shared" si="3"/>
        <v>3.2012466517475247E-2</v>
      </c>
    </row>
    <row r="43" spans="2:47" s="36" customFormat="1" ht="13" x14ac:dyDescent="0.25">
      <c r="B43" s="575">
        <v>15</v>
      </c>
      <c r="C43" s="588">
        <v>32</v>
      </c>
      <c r="D43" s="981">
        <v>6277002804</v>
      </c>
      <c r="E43" s="638" t="s">
        <v>451</v>
      </c>
      <c r="F43" s="638" t="s">
        <v>575</v>
      </c>
      <c r="G43" s="638" t="s">
        <v>451</v>
      </c>
      <c r="H43" s="588" t="s">
        <v>2233</v>
      </c>
      <c r="I43" s="981" t="s">
        <v>521</v>
      </c>
      <c r="J43" s="588" t="s">
        <v>2236</v>
      </c>
      <c r="K43" s="915">
        <f>CPSX!K86</f>
        <v>4034625</v>
      </c>
      <c r="L43" s="915">
        <f>CPSX!L86</f>
        <v>4034625</v>
      </c>
      <c r="M43" s="915">
        <f>CPSX!M86</f>
        <v>4034625</v>
      </c>
      <c r="N43" s="915">
        <f>CPSX!N86</f>
        <v>4034625</v>
      </c>
      <c r="O43" s="915">
        <f>CPSX!O86</f>
        <v>4034625</v>
      </c>
      <c r="P43" s="915">
        <f>CPSX!P86</f>
        <v>4034625</v>
      </c>
      <c r="Q43" s="915">
        <f>CPSX!Q86</f>
        <v>4034625</v>
      </c>
      <c r="R43" s="915">
        <f>CPSX!R86</f>
        <v>4034625</v>
      </c>
      <c r="S43" s="915">
        <f>CPSX!S86</f>
        <v>4034625</v>
      </c>
      <c r="T43" s="915">
        <f>CPSX!T86</f>
        <v>4034625</v>
      </c>
      <c r="U43" s="915">
        <f>CPSX!U86</f>
        <v>4034625</v>
      </c>
      <c r="V43" s="915">
        <f>CPSX!V86</f>
        <v>4034625</v>
      </c>
      <c r="W43" s="998">
        <f t="shared" si="10"/>
        <v>48415500</v>
      </c>
      <c r="Y43" s="915">
        <f>CPSX!Y86</f>
        <v>770000</v>
      </c>
      <c r="Z43" s="915">
        <f>CPSX!Z86</f>
        <v>1560000</v>
      </c>
      <c r="AA43" s="915">
        <f>CPSX!AA86</f>
        <v>2914000</v>
      </c>
      <c r="AB43" s="915">
        <f>CPSX!AB86</f>
        <v>1105000</v>
      </c>
      <c r="AC43" s="915">
        <f>CPSX!AC86</f>
        <v>3284000</v>
      </c>
      <c r="AD43" s="915">
        <f>CPSX!AD86</f>
        <v>6340000</v>
      </c>
      <c r="AE43" s="915">
        <f>CPSX!AE86</f>
        <v>2988000</v>
      </c>
      <c r="AF43" s="915">
        <f>CPSX!AF86</f>
        <v>1842000</v>
      </c>
      <c r="AG43" s="915">
        <f>CPSX!AG86</f>
        <v>1726000</v>
      </c>
      <c r="AH43" s="915">
        <f>CPSX!AH86</f>
        <v>4503222</v>
      </c>
      <c r="AI43" s="915">
        <f>CPSX!AI86</f>
        <v>4503222</v>
      </c>
      <c r="AJ43" s="915">
        <f>CPSX!AJ86</f>
        <v>4503222</v>
      </c>
      <c r="AK43" s="998">
        <f t="shared" si="5"/>
        <v>36038666</v>
      </c>
      <c r="AM43" s="915">
        <f>CPSX!AM86</f>
        <v>45908000</v>
      </c>
      <c r="AO43" s="915">
        <f>CPSX!AO86</f>
        <v>41246679</v>
      </c>
      <c r="AQ43" s="915"/>
      <c r="AR43" s="916">
        <f t="shared" si="2"/>
        <v>12376834</v>
      </c>
      <c r="AS43" s="1327">
        <f t="shared" si="3"/>
        <v>0.34343207931170361</v>
      </c>
    </row>
    <row r="44" spans="2:47" s="36" customFormat="1" ht="13" x14ac:dyDescent="0.25">
      <c r="B44" s="575">
        <v>16</v>
      </c>
      <c r="C44" s="588">
        <v>31</v>
      </c>
      <c r="D44" s="981">
        <v>6277003702</v>
      </c>
      <c r="E44" s="638" t="s">
        <v>84</v>
      </c>
      <c r="F44" s="638" t="s">
        <v>576</v>
      </c>
      <c r="G44" s="638" t="s">
        <v>84</v>
      </c>
      <c r="H44" s="588" t="s">
        <v>2233</v>
      </c>
      <c r="I44" s="981" t="s">
        <v>513</v>
      </c>
      <c r="J44" s="588" t="s">
        <v>2236</v>
      </c>
      <c r="K44" s="915">
        <f ca="1">CPSX!K87</f>
        <v>2648333.3333333335</v>
      </c>
      <c r="L44" s="915">
        <f ca="1">CPSX!L87</f>
        <v>2648333.3333333335</v>
      </c>
      <c r="M44" s="915">
        <f ca="1">CPSX!M87</f>
        <v>2648333.3333333335</v>
      </c>
      <c r="N44" s="915">
        <f ca="1">CPSX!N87</f>
        <v>2648333.3333333335</v>
      </c>
      <c r="O44" s="915">
        <f ca="1">CPSX!O87</f>
        <v>2648333.3333333335</v>
      </c>
      <c r="P44" s="915">
        <f ca="1">CPSX!P87</f>
        <v>2648333.3333333335</v>
      </c>
      <c r="Q44" s="915">
        <f ca="1">CPSX!Q87</f>
        <v>2648333.3333333335</v>
      </c>
      <c r="R44" s="915">
        <f ca="1">CPSX!R87</f>
        <v>2648333.3333333335</v>
      </c>
      <c r="S44" s="915">
        <f ca="1">CPSX!S87</f>
        <v>2648333.3333333335</v>
      </c>
      <c r="T44" s="915">
        <f ca="1">CPSX!T87</f>
        <v>2648333.3333333335</v>
      </c>
      <c r="U44" s="915">
        <f ca="1">CPSX!U87</f>
        <v>2648333.3333333335</v>
      </c>
      <c r="V44" s="915">
        <f ca="1">CPSX!V87</f>
        <v>2648333.3333333335</v>
      </c>
      <c r="W44" s="998">
        <f t="shared" ca="1" si="10"/>
        <v>31779999.999999996</v>
      </c>
      <c r="Y44" s="915">
        <f>CPSX!Y87</f>
        <v>38700000</v>
      </c>
      <c r="Z44" s="915">
        <f>CPSX!Z87</f>
        <v>0</v>
      </c>
      <c r="AA44" s="915">
        <f>CPSX!AA87</f>
        <v>0</v>
      </c>
      <c r="AB44" s="915">
        <f>CPSX!AB87</f>
        <v>2100000</v>
      </c>
      <c r="AC44" s="915">
        <f>CPSX!AC87</f>
        <v>300000</v>
      </c>
      <c r="AD44" s="915">
        <f>CPSX!AD87</f>
        <v>0</v>
      </c>
      <c r="AE44" s="915">
        <f>CPSX!AE87</f>
        <v>600000</v>
      </c>
      <c r="AF44" s="915">
        <f>CPSX!AF87</f>
        <v>300000</v>
      </c>
      <c r="AG44" s="915">
        <f>CPSX!AG87</f>
        <v>300000</v>
      </c>
      <c r="AH44" s="915">
        <f>CPSX!AH87</f>
        <v>300000</v>
      </c>
      <c r="AI44" s="915">
        <f>CPSX!AI87</f>
        <v>300000</v>
      </c>
      <c r="AJ44" s="915">
        <f>CPSX!AJ87</f>
        <v>300000</v>
      </c>
      <c r="AK44" s="998">
        <f t="shared" si="5"/>
        <v>43200000</v>
      </c>
      <c r="AM44" s="915">
        <f>CPSX!AM87</f>
        <v>0</v>
      </c>
      <c r="AO44" s="915">
        <f>CPSX!AO87</f>
        <v>0</v>
      </c>
      <c r="AQ44" s="915">
        <v>15600000</v>
      </c>
      <c r="AR44" s="916">
        <f t="shared" ca="1" si="2"/>
        <v>-11420000.000000004</v>
      </c>
      <c r="AS44" s="1327">
        <f t="shared" ca="1" si="3"/>
        <v>-0.26435185185185195</v>
      </c>
    </row>
    <row r="45" spans="2:47" s="36" customFormat="1" ht="13" x14ac:dyDescent="0.25">
      <c r="B45" s="575">
        <v>17</v>
      </c>
      <c r="C45" s="588">
        <v>13</v>
      </c>
      <c r="D45" s="981">
        <v>6277005001</v>
      </c>
      <c r="E45" s="638" t="s">
        <v>433</v>
      </c>
      <c r="F45" s="638" t="s">
        <v>578</v>
      </c>
      <c r="G45" s="638" t="s">
        <v>433</v>
      </c>
      <c r="H45" s="588" t="s">
        <v>2233</v>
      </c>
      <c r="I45" s="981" t="s">
        <v>513</v>
      </c>
      <c r="J45" s="588" t="s">
        <v>2236</v>
      </c>
      <c r="K45" s="915">
        <f>CPSX!K88</f>
        <v>150000000</v>
      </c>
      <c r="L45" s="915">
        <f>CPSX!L88</f>
        <v>150000000</v>
      </c>
      <c r="M45" s="915">
        <f>CPSX!M88</f>
        <v>150000000</v>
      </c>
      <c r="N45" s="915">
        <f>CPSX!N88</f>
        <v>150000000</v>
      </c>
      <c r="O45" s="915">
        <f>CPSX!O88</f>
        <v>150000000</v>
      </c>
      <c r="P45" s="915">
        <f>CPSX!P88</f>
        <v>150000000</v>
      </c>
      <c r="Q45" s="915">
        <f>CPSX!Q88</f>
        <v>150000000</v>
      </c>
      <c r="R45" s="915">
        <f>CPSX!R88</f>
        <v>150000000</v>
      </c>
      <c r="S45" s="915">
        <f>CPSX!S88</f>
        <v>150000000</v>
      </c>
      <c r="T45" s="915">
        <f>CPSX!T88</f>
        <v>150000000</v>
      </c>
      <c r="U45" s="915">
        <f>CPSX!U88</f>
        <v>150000000</v>
      </c>
      <c r="V45" s="915">
        <f>CPSX!V88</f>
        <v>150000000</v>
      </c>
      <c r="W45" s="998">
        <f t="shared" si="10"/>
        <v>1800000000</v>
      </c>
      <c r="Y45" s="915">
        <f>CPSX!Y88</f>
        <v>150000000</v>
      </c>
      <c r="Z45" s="915">
        <f>CPSX!Z88</f>
        <v>150000000</v>
      </c>
      <c r="AA45" s="915">
        <f>CPSX!AA88</f>
        <v>150000000</v>
      </c>
      <c r="AB45" s="915">
        <f>CPSX!AB88</f>
        <v>150000000</v>
      </c>
      <c r="AC45" s="915">
        <f>CPSX!AC88</f>
        <v>150000000</v>
      </c>
      <c r="AD45" s="915">
        <f>CPSX!AD88</f>
        <v>150000000</v>
      </c>
      <c r="AE45" s="915">
        <f>CPSX!AE88</f>
        <v>150000000</v>
      </c>
      <c r="AF45" s="915">
        <f>CPSX!AF88</f>
        <v>150000000</v>
      </c>
      <c r="AG45" s="915">
        <f>CPSX!AG88</f>
        <v>150000000</v>
      </c>
      <c r="AH45" s="915">
        <f>CPSX!AH88</f>
        <v>150000000</v>
      </c>
      <c r="AI45" s="915">
        <f>CPSX!AI88</f>
        <v>150000000</v>
      </c>
      <c r="AJ45" s="915">
        <f>CPSX!AJ88</f>
        <v>150000000</v>
      </c>
      <c r="AK45" s="998">
        <f t="shared" si="5"/>
        <v>1800000000</v>
      </c>
      <c r="AM45" s="915">
        <f>CPSX!AM88</f>
        <v>1557000000</v>
      </c>
      <c r="AO45" s="915">
        <f>CPSX!AO88</f>
        <v>1118310000</v>
      </c>
      <c r="AQ45" s="915">
        <v>1800000000</v>
      </c>
      <c r="AR45" s="916">
        <f t="shared" si="2"/>
        <v>0</v>
      </c>
      <c r="AS45" s="1327">
        <f t="shared" si="3"/>
        <v>0</v>
      </c>
    </row>
    <row r="46" spans="2:47" s="36" customFormat="1" ht="13" x14ac:dyDescent="0.25">
      <c r="B46" s="575">
        <v>18</v>
      </c>
      <c r="C46" s="588">
        <v>32</v>
      </c>
      <c r="D46" s="981">
        <v>6278007201</v>
      </c>
      <c r="E46" s="638" t="s">
        <v>96</v>
      </c>
      <c r="F46" s="638" t="s">
        <v>575</v>
      </c>
      <c r="G46" s="638" t="s">
        <v>96</v>
      </c>
      <c r="H46" s="588" t="s">
        <v>2233</v>
      </c>
      <c r="I46" s="981" t="s">
        <v>516</v>
      </c>
      <c r="J46" s="588" t="s">
        <v>2236</v>
      </c>
      <c r="K46" s="915">
        <f>CPSX!K89</f>
        <v>2083333.3333333335</v>
      </c>
      <c r="L46" s="915">
        <f>CPSX!L89</f>
        <v>2083333.3333333335</v>
      </c>
      <c r="M46" s="915">
        <f>CPSX!M89</f>
        <v>2083333.3333333335</v>
      </c>
      <c r="N46" s="915">
        <f>CPSX!N89</f>
        <v>2083333.3333333335</v>
      </c>
      <c r="O46" s="915">
        <f>CPSX!O89</f>
        <v>2083333.3333333335</v>
      </c>
      <c r="P46" s="915">
        <f>CPSX!P89</f>
        <v>2083333.3333333335</v>
      </c>
      <c r="Q46" s="915">
        <f>CPSX!Q89</f>
        <v>2083333.3333333335</v>
      </c>
      <c r="R46" s="915">
        <f>CPSX!R89</f>
        <v>2083333.3333333335</v>
      </c>
      <c r="S46" s="915">
        <f>CPSX!S89</f>
        <v>2083333.3333333335</v>
      </c>
      <c r="T46" s="915">
        <f>CPSX!T89</f>
        <v>2083333.3333333335</v>
      </c>
      <c r="U46" s="915">
        <f>CPSX!U89</f>
        <v>2083333.3333333335</v>
      </c>
      <c r="V46" s="915">
        <f>CPSX!V89</f>
        <v>2083333.3333333335</v>
      </c>
      <c r="W46" s="998">
        <f t="shared" si="10"/>
        <v>25000000</v>
      </c>
      <c r="Y46" s="915">
        <f>CPSX!Y89</f>
        <v>0</v>
      </c>
      <c r="Z46" s="915">
        <f>CPSX!Z89</f>
        <v>0</v>
      </c>
      <c r="AA46" s="915">
        <f>CPSX!AA89</f>
        <v>0</v>
      </c>
      <c r="AB46" s="915">
        <f>CPSX!AB89</f>
        <v>0</v>
      </c>
      <c r="AC46" s="915">
        <f>CPSX!AC89</f>
        <v>13304250</v>
      </c>
      <c r="AD46" s="915">
        <f>CPSX!AD89</f>
        <v>7000000</v>
      </c>
      <c r="AE46" s="915">
        <f>CPSX!AE89</f>
        <v>0</v>
      </c>
      <c r="AF46" s="915">
        <f>CPSX!AF89</f>
        <v>0</v>
      </c>
      <c r="AG46" s="915">
        <f>CPSX!AG89</f>
        <v>0</v>
      </c>
      <c r="AH46" s="915">
        <f>CPSX!AH89</f>
        <v>1478250</v>
      </c>
      <c r="AI46" s="915">
        <f>CPSX!AI89</f>
        <v>1478250</v>
      </c>
      <c r="AJ46" s="915">
        <f>CPSX!AJ89</f>
        <v>1478250</v>
      </c>
      <c r="AK46" s="998">
        <f t="shared" si="5"/>
        <v>24739000</v>
      </c>
      <c r="AM46" s="915">
        <f>CPSX!AM89</f>
        <v>0</v>
      </c>
      <c r="AO46" s="915">
        <f>CPSX!AO89</f>
        <v>0</v>
      </c>
      <c r="AQ46" s="915">
        <v>36000000</v>
      </c>
      <c r="AR46" s="916">
        <f t="shared" si="2"/>
        <v>261000</v>
      </c>
      <c r="AS46" s="1327">
        <f t="shared" si="3"/>
        <v>1.0550143498120335E-2</v>
      </c>
    </row>
    <row r="47" spans="2:47" s="36" customFormat="1" ht="13" x14ac:dyDescent="0.25">
      <c r="B47" s="575">
        <v>19</v>
      </c>
      <c r="C47" s="588">
        <v>6</v>
      </c>
      <c r="D47" s="981" t="s">
        <v>981</v>
      </c>
      <c r="E47" s="638" t="s">
        <v>982</v>
      </c>
      <c r="F47" s="638" t="s">
        <v>579</v>
      </c>
      <c r="G47" s="638" t="s">
        <v>1949</v>
      </c>
      <c r="H47" s="588" t="s">
        <v>2233</v>
      </c>
      <c r="I47" s="981" t="s">
        <v>518</v>
      </c>
      <c r="J47" s="588" t="s">
        <v>2236</v>
      </c>
      <c r="K47" s="915">
        <f>CPSX!K90</f>
        <v>3000000</v>
      </c>
      <c r="L47" s="915">
        <f>CPSX!L90</f>
        <v>0</v>
      </c>
      <c r="M47" s="915">
        <f>CPSX!M90</f>
        <v>0</v>
      </c>
      <c r="N47" s="915">
        <f>CPSX!N90</f>
        <v>0</v>
      </c>
      <c r="O47" s="915">
        <f>CPSX!O90</f>
        <v>0</v>
      </c>
      <c r="P47" s="915">
        <f>CPSX!P90</f>
        <v>3000000</v>
      </c>
      <c r="Q47" s="915">
        <f>CPSX!Q90</f>
        <v>0</v>
      </c>
      <c r="R47" s="915">
        <f>CPSX!R90</f>
        <v>0</v>
      </c>
      <c r="S47" s="915">
        <f>CPSX!S90</f>
        <v>0</v>
      </c>
      <c r="T47" s="915">
        <f>CPSX!T90</f>
        <v>0</v>
      </c>
      <c r="U47" s="915">
        <f>CPSX!U90</f>
        <v>0</v>
      </c>
      <c r="V47" s="915">
        <f>CPSX!V90</f>
        <v>0</v>
      </c>
      <c r="W47" s="998">
        <f t="shared" si="10"/>
        <v>6000000</v>
      </c>
      <c r="Y47" s="915">
        <f>CPSX!Y90</f>
        <v>766000</v>
      </c>
      <c r="Z47" s="915">
        <f>CPSX!Z90</f>
        <v>4605833</v>
      </c>
      <c r="AA47" s="915">
        <f>CPSX!AA90</f>
        <v>866000</v>
      </c>
      <c r="AB47" s="915">
        <f>CPSX!AB90</f>
        <v>0</v>
      </c>
      <c r="AC47" s="915">
        <f>CPSX!AC90</f>
        <v>2590118</v>
      </c>
      <c r="AD47" s="915">
        <f>CPSX!AD90</f>
        <v>0</v>
      </c>
      <c r="AE47" s="915">
        <f>CPSX!AE90</f>
        <v>0</v>
      </c>
      <c r="AF47" s="915">
        <f>CPSX!AF90</f>
        <v>0</v>
      </c>
      <c r="AG47" s="915">
        <f>CPSX!AG90</f>
        <v>9443000</v>
      </c>
      <c r="AH47" s="915">
        <f>CPSX!AH90</f>
        <v>0</v>
      </c>
      <c r="AI47" s="915">
        <f>CPSX!AI90</f>
        <v>0</v>
      </c>
      <c r="AJ47" s="915">
        <f>CPSX!AJ90</f>
        <v>0</v>
      </c>
      <c r="AK47" s="998">
        <f t="shared" si="5"/>
        <v>18270951</v>
      </c>
      <c r="AM47" s="915">
        <f>CPSX!AM90</f>
        <v>0</v>
      </c>
      <c r="AO47" s="915">
        <f>CPSX!AO90</f>
        <v>5929364</v>
      </c>
      <c r="AQ47" s="915"/>
      <c r="AR47" s="916">
        <f t="shared" si="2"/>
        <v>-12270951</v>
      </c>
      <c r="AS47" s="1327">
        <f t="shared" si="3"/>
        <v>-0.67160986858319527</v>
      </c>
    </row>
    <row r="48" spans="2:47" s="36" customFormat="1" ht="13" x14ac:dyDescent="0.25">
      <c r="B48" s="575">
        <v>20</v>
      </c>
      <c r="C48" s="588">
        <v>6</v>
      </c>
      <c r="D48" s="981">
        <v>6273006501</v>
      </c>
      <c r="E48" s="638" t="s">
        <v>469</v>
      </c>
      <c r="F48" s="638" t="s">
        <v>579</v>
      </c>
      <c r="G48" s="638" t="s">
        <v>602</v>
      </c>
      <c r="H48" s="588" t="s">
        <v>2233</v>
      </c>
      <c r="I48" s="981" t="s">
        <v>518</v>
      </c>
      <c r="J48" s="588" t="s">
        <v>2236</v>
      </c>
      <c r="K48" s="915">
        <f ca="1">CPSX!K91</f>
        <v>114057333.23333335</v>
      </c>
      <c r="L48" s="915">
        <f ca="1">CPSX!L91</f>
        <v>113214710.33333334</v>
      </c>
      <c r="M48" s="915">
        <f ca="1">CPSX!M91</f>
        <v>111970760.63333334</v>
      </c>
      <c r="N48" s="915">
        <f ca="1">CPSX!N91</f>
        <v>115290482.63333334</v>
      </c>
      <c r="O48" s="915">
        <f ca="1">CPSX!O91</f>
        <v>109319780.33333334</v>
      </c>
      <c r="P48" s="915">
        <f ca="1">CPSX!P91</f>
        <v>117179552.43333334</v>
      </c>
      <c r="Q48" s="915">
        <f ca="1">CPSX!Q91</f>
        <v>111403170.63333334</v>
      </c>
      <c r="R48" s="915">
        <f ca="1">CPSX!R91</f>
        <v>113001548.88333334</v>
      </c>
      <c r="S48" s="915">
        <f ca="1">CPSX!S91</f>
        <v>109394094.33333334</v>
      </c>
      <c r="T48" s="915">
        <f ca="1">CPSX!T91</f>
        <v>110493171.33333334</v>
      </c>
      <c r="U48" s="915">
        <f ca="1">CPSX!U91</f>
        <v>108778170.63333334</v>
      </c>
      <c r="V48" s="915">
        <f ca="1">CPSX!V91</f>
        <v>116515217.43333334</v>
      </c>
      <c r="W48" s="998">
        <f t="shared" ca="1" si="10"/>
        <v>1350617992.8500004</v>
      </c>
      <c r="Y48" s="915">
        <f>CPSX!Y91</f>
        <v>56197562.115368128</v>
      </c>
      <c r="Z48" s="915">
        <f>CPSX!Z91</f>
        <v>57421483.924892187</v>
      </c>
      <c r="AA48" s="915">
        <f>CPSX!AA91</f>
        <v>60305673.9010818</v>
      </c>
      <c r="AB48" s="915">
        <f>CPSX!AB91</f>
        <v>80082185.067748785</v>
      </c>
      <c r="AC48" s="915">
        <f>CPSX!AC91</f>
        <v>84664859.758225203</v>
      </c>
      <c r="AD48" s="915">
        <f>CPSX!AD91</f>
        <v>117216188.09155822</v>
      </c>
      <c r="AE48" s="915">
        <f>CPSX!AE91</f>
        <v>112819116.4010818</v>
      </c>
      <c r="AF48" s="915">
        <f>CPSX!AF91</f>
        <v>79952320.564347029</v>
      </c>
      <c r="AG48" s="915">
        <f>CPSX!AG91</f>
        <v>96868505.14541316</v>
      </c>
      <c r="AH48" s="915">
        <f>CPSX!AH91</f>
        <v>80588821</v>
      </c>
      <c r="AI48" s="915">
        <f>CPSX!AI91</f>
        <v>76446975</v>
      </c>
      <c r="AJ48" s="915">
        <f>CPSX!AJ91</f>
        <v>55585172</v>
      </c>
      <c r="AK48" s="998">
        <f t="shared" si="5"/>
        <v>958148862.96971631</v>
      </c>
      <c r="AM48" s="915">
        <f>CPSX!AM91</f>
        <v>399145272</v>
      </c>
      <c r="AO48" s="915">
        <f>CPSX!AO91</f>
        <v>471831324</v>
      </c>
      <c r="AQ48" s="915">
        <v>84000000</v>
      </c>
      <c r="AR48" s="916">
        <f t="shared" ca="1" si="2"/>
        <v>392469129.88028407</v>
      </c>
      <c r="AS48" s="1327">
        <f t="shared" ca="1" si="3"/>
        <v>0.40961185161129676</v>
      </c>
      <c r="AU48" s="1201"/>
    </row>
    <row r="49" spans="2:45" s="36" customFormat="1" ht="13" x14ac:dyDescent="0.25">
      <c r="B49" s="575">
        <v>21</v>
      </c>
      <c r="C49" s="588">
        <v>29</v>
      </c>
      <c r="D49" s="981" t="s">
        <v>1017</v>
      </c>
      <c r="E49" s="638" t="s">
        <v>1018</v>
      </c>
      <c r="F49" s="638" t="s">
        <v>1019</v>
      </c>
      <c r="G49" s="638" t="s">
        <v>1018</v>
      </c>
      <c r="H49" s="588" t="s">
        <v>2233</v>
      </c>
      <c r="I49" s="981" t="s">
        <v>518</v>
      </c>
      <c r="J49" s="588" t="s">
        <v>2236</v>
      </c>
      <c r="K49" s="915">
        <f ca="1">CPSX!K92</f>
        <v>966591</v>
      </c>
      <c r="L49" s="915">
        <f ca="1">CPSX!L92</f>
        <v>966591</v>
      </c>
      <c r="M49" s="915">
        <f ca="1">CPSX!M92</f>
        <v>966591</v>
      </c>
      <c r="N49" s="915">
        <f ca="1">CPSX!N92</f>
        <v>966591</v>
      </c>
      <c r="O49" s="915">
        <f ca="1">CPSX!O92</f>
        <v>966591</v>
      </c>
      <c r="P49" s="915">
        <f ca="1">CPSX!P92</f>
        <v>966591</v>
      </c>
      <c r="Q49" s="915">
        <f ca="1">CPSX!Q92</f>
        <v>966591</v>
      </c>
      <c r="R49" s="915">
        <f ca="1">CPSX!R92</f>
        <v>966591</v>
      </c>
      <c r="S49" s="915">
        <f ca="1">CPSX!S92</f>
        <v>966591</v>
      </c>
      <c r="T49" s="915">
        <f ca="1">CPSX!T92</f>
        <v>966591</v>
      </c>
      <c r="U49" s="915">
        <f ca="1">CPSX!U92</f>
        <v>966591</v>
      </c>
      <c r="V49" s="915">
        <f ca="1">CPSX!V92</f>
        <v>966591</v>
      </c>
      <c r="W49" s="998">
        <f t="shared" ca="1" si="10"/>
        <v>11599092</v>
      </c>
      <c r="Y49" s="915">
        <f>CPSX!Y92</f>
        <v>805758</v>
      </c>
      <c r="Z49" s="915">
        <f>CPSX!Z92</f>
        <v>805758</v>
      </c>
      <c r="AA49" s="915">
        <f>CPSX!AA92</f>
        <v>805758</v>
      </c>
      <c r="AB49" s="915">
        <f>CPSX!AB92</f>
        <v>966591</v>
      </c>
      <c r="AC49" s="915">
        <f>CPSX!AC92</f>
        <v>966591</v>
      </c>
      <c r="AD49" s="915">
        <f>CPSX!AD92</f>
        <v>966591</v>
      </c>
      <c r="AE49" s="915">
        <f>CPSX!AE92</f>
        <v>966591</v>
      </c>
      <c r="AF49" s="915">
        <f>CPSX!AF92</f>
        <v>966591</v>
      </c>
      <c r="AG49" s="915">
        <f>CPSX!AG92</f>
        <v>966591</v>
      </c>
      <c r="AH49" s="915">
        <f>CPSX!AH92</f>
        <v>966591</v>
      </c>
      <c r="AI49" s="915">
        <f>CPSX!AI92</f>
        <v>966591</v>
      </c>
      <c r="AJ49" s="915">
        <f>CPSX!AJ92</f>
        <v>966591</v>
      </c>
      <c r="AK49" s="998">
        <f t="shared" si="5"/>
        <v>11116593</v>
      </c>
      <c r="AM49" s="915">
        <f>CPSX!AM92</f>
        <v>431866</v>
      </c>
      <c r="AO49" s="915">
        <f>CPSX!AO92</f>
        <v>0</v>
      </c>
      <c r="AQ49" s="915"/>
      <c r="AR49" s="916">
        <f t="shared" ca="1" si="2"/>
        <v>482499</v>
      </c>
      <c r="AS49" s="1328">
        <f t="shared" ca="1" si="3"/>
        <v>4.3403496017170085E-2</v>
      </c>
    </row>
    <row r="50" spans="2:45" s="36" customFormat="1" ht="13" x14ac:dyDescent="0.25">
      <c r="B50" s="575">
        <v>22</v>
      </c>
      <c r="C50" s="588">
        <v>6</v>
      </c>
      <c r="D50" s="981">
        <v>6277006501</v>
      </c>
      <c r="E50" s="638" t="s">
        <v>469</v>
      </c>
      <c r="F50" s="638" t="s">
        <v>579</v>
      </c>
      <c r="G50" s="638" t="s">
        <v>603</v>
      </c>
      <c r="H50" s="588" t="s">
        <v>2233</v>
      </c>
      <c r="I50" s="981" t="s">
        <v>513</v>
      </c>
      <c r="J50" s="588" t="s">
        <v>2236</v>
      </c>
      <c r="K50" s="915">
        <f>CPSX!K93</f>
        <v>0</v>
      </c>
      <c r="L50" s="915">
        <f>CPSX!L93</f>
        <v>0</v>
      </c>
      <c r="M50" s="915">
        <f>CPSX!M93</f>
        <v>0</v>
      </c>
      <c r="N50" s="915">
        <f>CPSX!N93</f>
        <v>0</v>
      </c>
      <c r="O50" s="915">
        <f>CPSX!O93</f>
        <v>0</v>
      </c>
      <c r="P50" s="915">
        <f>CPSX!P93</f>
        <v>0</v>
      </c>
      <c r="Q50" s="915">
        <f>CPSX!Q93</f>
        <v>0</v>
      </c>
      <c r="R50" s="915">
        <f>CPSX!R93</f>
        <v>0</v>
      </c>
      <c r="S50" s="915">
        <f>CPSX!S93</f>
        <v>0</v>
      </c>
      <c r="T50" s="915">
        <f>CPSX!T93</f>
        <v>0</v>
      </c>
      <c r="U50" s="915">
        <f>CPSX!U93</f>
        <v>0</v>
      </c>
      <c r="V50" s="915">
        <f>CPSX!V93</f>
        <v>0</v>
      </c>
      <c r="W50" s="998">
        <f t="shared" si="10"/>
        <v>0</v>
      </c>
      <c r="Y50" s="915">
        <f>CPSX!Y93</f>
        <v>0</v>
      </c>
      <c r="Z50" s="915">
        <f>CPSX!Z93</f>
        <v>0</v>
      </c>
      <c r="AA50" s="915">
        <f>CPSX!AA93</f>
        <v>0</v>
      </c>
      <c r="AB50" s="915">
        <f>CPSX!AB93</f>
        <v>0</v>
      </c>
      <c r="AC50" s="915">
        <f>CPSX!AC93</f>
        <v>0</v>
      </c>
      <c r="AD50" s="915">
        <f>CPSX!AD93</f>
        <v>0</v>
      </c>
      <c r="AE50" s="915">
        <f>CPSX!AE93</f>
        <v>0</v>
      </c>
      <c r="AF50" s="915">
        <f>CPSX!AF93</f>
        <v>0</v>
      </c>
      <c r="AG50" s="915">
        <f>CPSX!AG93</f>
        <v>0</v>
      </c>
      <c r="AH50" s="915">
        <f>CPSX!AH93</f>
        <v>0</v>
      </c>
      <c r="AI50" s="915">
        <f>CPSX!AI93</f>
        <v>0</v>
      </c>
      <c r="AJ50" s="915">
        <f>CPSX!AJ93</f>
        <v>0</v>
      </c>
      <c r="AK50" s="998">
        <f t="shared" si="5"/>
        <v>0</v>
      </c>
      <c r="AM50" s="915">
        <f>CPSX!AM93</f>
        <v>0</v>
      </c>
      <c r="AO50" s="915">
        <f>CPSX!AO93</f>
        <v>0</v>
      </c>
      <c r="AQ50" s="915"/>
      <c r="AR50" s="916">
        <f t="shared" si="2"/>
        <v>0</v>
      </c>
      <c r="AS50" s="1327">
        <f t="shared" si="3"/>
        <v>0</v>
      </c>
    </row>
    <row r="51" spans="2:45" s="36" customFormat="1" ht="13" x14ac:dyDescent="0.25">
      <c r="B51" s="575">
        <v>23</v>
      </c>
      <c r="C51" s="588">
        <v>6</v>
      </c>
      <c r="D51" s="981">
        <v>6273002001</v>
      </c>
      <c r="E51" s="638" t="s">
        <v>606</v>
      </c>
      <c r="F51" s="638" t="s">
        <v>579</v>
      </c>
      <c r="G51" s="638" t="s">
        <v>447</v>
      </c>
      <c r="H51" s="588" t="s">
        <v>2233</v>
      </c>
      <c r="I51" s="981" t="s">
        <v>514</v>
      </c>
      <c r="J51" s="588" t="s">
        <v>2236</v>
      </c>
      <c r="K51" s="915">
        <f ca="1">CPSX!K94</f>
        <v>6561111.444444445</v>
      </c>
      <c r="L51" s="915">
        <f ca="1">CPSX!L94</f>
        <v>6561109.444444445</v>
      </c>
      <c r="M51" s="915">
        <f ca="1">CPSX!M94</f>
        <v>5194444.444444445</v>
      </c>
      <c r="N51" s="915">
        <f ca="1">CPSX!N94</f>
        <v>5194444.444444445</v>
      </c>
      <c r="O51" s="915">
        <f ca="1">CPSX!O94</f>
        <v>5194444.444444445</v>
      </c>
      <c r="P51" s="915">
        <f ca="1">CPSX!P94</f>
        <v>5194444.444444445</v>
      </c>
      <c r="Q51" s="915">
        <f ca="1">CPSX!Q94</f>
        <v>5194444.444444445</v>
      </c>
      <c r="R51" s="915">
        <f ca="1">CPSX!R94</f>
        <v>5194444.444444445</v>
      </c>
      <c r="S51" s="915">
        <f ca="1">CPSX!S94</f>
        <v>5194444.444444445</v>
      </c>
      <c r="T51" s="915">
        <f ca="1">CPSX!T94</f>
        <v>5194444.444444445</v>
      </c>
      <c r="U51" s="915">
        <f ca="1">CPSX!U94</f>
        <v>5194444.444444445</v>
      </c>
      <c r="V51" s="915">
        <f ca="1">CPSX!V94</f>
        <v>5194444.444444445</v>
      </c>
      <c r="W51" s="998">
        <f t="shared" ca="1" si="10"/>
        <v>65066665.333333358</v>
      </c>
      <c r="Y51" s="915">
        <f>CPSX!Y94</f>
        <v>1447972</v>
      </c>
      <c r="Z51" s="915">
        <f>CPSX!Z94</f>
        <v>1357649</v>
      </c>
      <c r="AA51" s="915">
        <f>CPSX!AA94</f>
        <v>1357649</v>
      </c>
      <c r="AB51" s="915">
        <f>CPSX!AB94</f>
        <v>2392465</v>
      </c>
      <c r="AC51" s="915">
        <f>CPSX!AC94</f>
        <v>2727949</v>
      </c>
      <c r="AD51" s="915">
        <f>CPSX!AD94</f>
        <v>3657162</v>
      </c>
      <c r="AE51" s="915">
        <f>CPSX!AE94</f>
        <v>3657162</v>
      </c>
      <c r="AF51" s="915">
        <f>CPSX!AF94</f>
        <v>3657162</v>
      </c>
      <c r="AG51" s="915">
        <f>CPSX!AG94</f>
        <v>5023829</v>
      </c>
      <c r="AH51" s="915">
        <f>CPSX!AH94</f>
        <v>4352055</v>
      </c>
      <c r="AI51" s="915">
        <f>CPSX!AI94</f>
        <v>3463345</v>
      </c>
      <c r="AJ51" s="915">
        <f>CPSX!AJ94</f>
        <v>1366667</v>
      </c>
      <c r="AK51" s="998">
        <f t="shared" si="5"/>
        <v>34461066</v>
      </c>
      <c r="AM51" s="915">
        <f>CPSX!AM94</f>
        <v>11564100</v>
      </c>
      <c r="AO51" s="915">
        <f>CPSX!AO94</f>
        <v>1401517</v>
      </c>
      <c r="AQ51" s="915"/>
      <c r="AR51" s="916">
        <f t="shared" ca="1" si="2"/>
        <v>30605599.333333358</v>
      </c>
      <c r="AS51" s="1327">
        <f t="shared" ca="1" si="3"/>
        <v>0.88812108520767641</v>
      </c>
    </row>
    <row r="52" spans="2:45" s="36" customFormat="1" ht="13" x14ac:dyDescent="0.25">
      <c r="B52" s="575">
        <v>24</v>
      </c>
      <c r="C52" s="588">
        <v>6</v>
      </c>
      <c r="D52" s="981">
        <v>6277002204</v>
      </c>
      <c r="E52" s="638" t="s">
        <v>605</v>
      </c>
      <c r="F52" s="638" t="s">
        <v>579</v>
      </c>
      <c r="G52" s="638" t="s">
        <v>604</v>
      </c>
      <c r="H52" s="588" t="s">
        <v>2233</v>
      </c>
      <c r="I52" s="981" t="s">
        <v>517</v>
      </c>
      <c r="J52" s="588" t="s">
        <v>2236</v>
      </c>
      <c r="K52" s="915">
        <f ca="1">CPSX!K95</f>
        <v>3460875</v>
      </c>
      <c r="L52" s="915">
        <f ca="1">CPSX!L95</f>
        <v>2275875</v>
      </c>
      <c r="M52" s="915">
        <f ca="1">CPSX!M95</f>
        <v>2275875</v>
      </c>
      <c r="N52" s="915">
        <f ca="1">CPSX!N95</f>
        <v>2275875</v>
      </c>
      <c r="O52" s="915">
        <f ca="1">CPSX!O95</f>
        <v>2275875</v>
      </c>
      <c r="P52" s="915">
        <f ca="1">CPSX!P95</f>
        <v>2275875</v>
      </c>
      <c r="Q52" s="915">
        <f ca="1">CPSX!Q95</f>
        <v>2275875</v>
      </c>
      <c r="R52" s="915">
        <f ca="1">CPSX!R95</f>
        <v>2275875</v>
      </c>
      <c r="S52" s="915">
        <f ca="1">CPSX!S95</f>
        <v>2275875</v>
      </c>
      <c r="T52" s="915">
        <f ca="1">CPSX!T95</f>
        <v>2275875</v>
      </c>
      <c r="U52" s="915">
        <f ca="1">CPSX!U95</f>
        <v>2275875</v>
      </c>
      <c r="V52" s="915">
        <f ca="1">CPSX!V95</f>
        <v>2275875</v>
      </c>
      <c r="W52" s="998">
        <f t="shared" ca="1" si="10"/>
        <v>28495500</v>
      </c>
      <c r="Y52" s="915">
        <f>CPSX!Y95</f>
        <v>4644500</v>
      </c>
      <c r="Z52" s="915">
        <f>CPSX!Z95</f>
        <v>4644500</v>
      </c>
      <c r="AA52" s="915">
        <f>CPSX!AA95</f>
        <v>4644500</v>
      </c>
      <c r="AB52" s="915">
        <f>CPSX!AB95</f>
        <v>4644500</v>
      </c>
      <c r="AC52" s="915">
        <f>CPSX!AC95</f>
        <v>3929572</v>
      </c>
      <c r="AD52" s="915">
        <f>CPSX!AD95</f>
        <v>3000000</v>
      </c>
      <c r="AE52" s="915">
        <f>CPSX!AE95</f>
        <v>3000000</v>
      </c>
      <c r="AF52" s="915">
        <f>CPSX!AF95</f>
        <v>4185000</v>
      </c>
      <c r="AG52" s="915">
        <f>CPSX!AG95</f>
        <v>3257500</v>
      </c>
      <c r="AH52" s="915">
        <f>CPSX!AH95</f>
        <v>1847500</v>
      </c>
      <c r="AI52" s="915">
        <f>CPSX!AI95</f>
        <v>1847500</v>
      </c>
      <c r="AJ52" s="915">
        <f>CPSX!AJ95</f>
        <v>1185000</v>
      </c>
      <c r="AK52" s="998">
        <f t="shared" si="5"/>
        <v>40830072</v>
      </c>
      <c r="AM52" s="915">
        <f>CPSX!AM95</f>
        <v>24110402</v>
      </c>
      <c r="AO52" s="915">
        <f>CPSX!AO95</f>
        <v>800000</v>
      </c>
      <c r="AQ52" s="915"/>
      <c r="AR52" s="916">
        <f t="shared" ca="1" si="2"/>
        <v>-12334572</v>
      </c>
      <c r="AS52" s="1327">
        <f t="shared" ca="1" si="3"/>
        <v>-0.30209527918540036</v>
      </c>
    </row>
    <row r="53" spans="2:45" s="36" customFormat="1" ht="13" x14ac:dyDescent="0.25">
      <c r="B53" s="575">
        <v>25</v>
      </c>
      <c r="C53" s="588">
        <v>17</v>
      </c>
      <c r="D53" s="981">
        <v>6277002301</v>
      </c>
      <c r="E53" s="638" t="s">
        <v>485</v>
      </c>
      <c r="F53" s="638" t="s">
        <v>577</v>
      </c>
      <c r="G53" s="638" t="s">
        <v>485</v>
      </c>
      <c r="H53" s="588" t="s">
        <v>2233</v>
      </c>
      <c r="I53" s="981" t="s">
        <v>522</v>
      </c>
      <c r="J53" s="588" t="s">
        <v>2236</v>
      </c>
      <c r="K53" s="915">
        <f ca="1">CPSX!K96</f>
        <v>1585667.5833333333</v>
      </c>
      <c r="L53" s="915">
        <f ca="1">CPSX!L96</f>
        <v>1585667.5833333333</v>
      </c>
      <c r="M53" s="915">
        <f ca="1">CPSX!M96</f>
        <v>1585667.5833333333</v>
      </c>
      <c r="N53" s="915">
        <f ca="1">CPSX!N96</f>
        <v>1585667.5833333333</v>
      </c>
      <c r="O53" s="915">
        <f ca="1">CPSX!O96</f>
        <v>1585667.5833333333</v>
      </c>
      <c r="P53" s="915">
        <f ca="1">CPSX!P96</f>
        <v>1585667.5833333333</v>
      </c>
      <c r="Q53" s="915">
        <f ca="1">CPSX!Q96</f>
        <v>1585667.5833333333</v>
      </c>
      <c r="R53" s="915">
        <f ca="1">CPSX!R96</f>
        <v>1585667.5833333333</v>
      </c>
      <c r="S53" s="915">
        <f ca="1">CPSX!S96</f>
        <v>1585667.5833333333</v>
      </c>
      <c r="T53" s="915">
        <f ca="1">CPSX!T96</f>
        <v>1585667.5833333333</v>
      </c>
      <c r="U53" s="915">
        <f ca="1">CPSX!U96</f>
        <v>1585667.5833333333</v>
      </c>
      <c r="V53" s="915">
        <f ca="1">CPSX!V96</f>
        <v>1585667.5833333333</v>
      </c>
      <c r="W53" s="998">
        <f t="shared" ca="1" si="10"/>
        <v>19028011</v>
      </c>
      <c r="Y53" s="915">
        <f>CPSX!Y96</f>
        <v>2797159</v>
      </c>
      <c r="Z53" s="915">
        <f>CPSX!Z96</f>
        <v>2797159</v>
      </c>
      <c r="AA53" s="915">
        <f>CPSX!AA96</f>
        <v>2353576</v>
      </c>
      <c r="AB53" s="915">
        <f>CPSX!AB96</f>
        <v>982387</v>
      </c>
      <c r="AC53" s="915">
        <f>CPSX!AC96</f>
        <v>982387</v>
      </c>
      <c r="AD53" s="915">
        <f>CPSX!AD96</f>
        <v>982387</v>
      </c>
      <c r="AE53" s="915">
        <f>CPSX!AE96</f>
        <v>982387</v>
      </c>
      <c r="AF53" s="915">
        <f>CPSX!AF96</f>
        <v>982387</v>
      </c>
      <c r="AG53" s="915">
        <f>CPSX!AG96</f>
        <v>962648</v>
      </c>
      <c r="AH53" s="915">
        <f>CPSX!AH96</f>
        <v>2</v>
      </c>
      <c r="AI53" s="915">
        <f>CPSX!AI96</f>
        <v>772530.25</v>
      </c>
      <c r="AJ53" s="915">
        <f>CPSX!AJ96</f>
        <v>772530.25</v>
      </c>
      <c r="AK53" s="998">
        <f t="shared" si="5"/>
        <v>15367539.5</v>
      </c>
      <c r="AM53" s="915">
        <f>CPSX!AM96</f>
        <v>14672614</v>
      </c>
      <c r="AO53" s="915">
        <f>CPSX!AO96</f>
        <v>18498603</v>
      </c>
      <c r="AQ53" s="915">
        <v>18000000</v>
      </c>
      <c r="AR53" s="916">
        <f t="shared" ca="1" si="2"/>
        <v>3660471.5</v>
      </c>
      <c r="AS53" s="1327">
        <f t="shared" ca="1" si="3"/>
        <v>0.23819502790280778</v>
      </c>
    </row>
    <row r="54" spans="2:45" s="36" customFormat="1" ht="13" x14ac:dyDescent="0.25">
      <c r="B54" s="575">
        <v>26</v>
      </c>
      <c r="C54" s="588">
        <v>11</v>
      </c>
      <c r="D54" s="981" t="s">
        <v>1070</v>
      </c>
      <c r="E54" s="638" t="s">
        <v>1071</v>
      </c>
      <c r="F54" s="638" t="s">
        <v>594</v>
      </c>
      <c r="G54" s="638" t="s">
        <v>1950</v>
      </c>
      <c r="H54" s="588" t="s">
        <v>2233</v>
      </c>
      <c r="I54" s="981" t="s">
        <v>518</v>
      </c>
      <c r="J54" s="588" t="s">
        <v>2236</v>
      </c>
      <c r="K54" s="915">
        <f ca="1">CPSX!K97</f>
        <v>2750000</v>
      </c>
      <c r="L54" s="915">
        <f ca="1">CPSX!L97</f>
        <v>1250000</v>
      </c>
      <c r="M54" s="915">
        <f ca="1">CPSX!M97</f>
        <v>1250000</v>
      </c>
      <c r="N54" s="915">
        <f ca="1">CPSX!N97</f>
        <v>1250000</v>
      </c>
      <c r="O54" s="915">
        <f ca="1">CPSX!O97</f>
        <v>1250000</v>
      </c>
      <c r="P54" s="915">
        <f ca="1">CPSX!P97</f>
        <v>2750000</v>
      </c>
      <c r="Q54" s="915">
        <f ca="1">CPSX!Q97</f>
        <v>1250000</v>
      </c>
      <c r="R54" s="915">
        <f ca="1">CPSX!R97</f>
        <v>1250000</v>
      </c>
      <c r="S54" s="915">
        <f ca="1">CPSX!S97</f>
        <v>1250000</v>
      </c>
      <c r="T54" s="915">
        <f ca="1">CPSX!T97</f>
        <v>1250000</v>
      </c>
      <c r="U54" s="915">
        <f ca="1">CPSX!U97</f>
        <v>1250000</v>
      </c>
      <c r="V54" s="915">
        <f ca="1">CPSX!V97</f>
        <v>2750000</v>
      </c>
      <c r="W54" s="998">
        <f t="shared" ca="1" si="10"/>
        <v>19500000</v>
      </c>
      <c r="Y54" s="915">
        <f>CPSX!Y97</f>
        <v>0</v>
      </c>
      <c r="Z54" s="915">
        <f>CPSX!Z97</f>
        <v>0</v>
      </c>
      <c r="AA54" s="915">
        <f>CPSX!AA97</f>
        <v>2200000</v>
      </c>
      <c r="AB54" s="915">
        <f>CPSX!AB97</f>
        <v>0</v>
      </c>
      <c r="AC54" s="915">
        <f>CPSX!AC97</f>
        <v>0</v>
      </c>
      <c r="AD54" s="915">
        <f>CPSX!AD97</f>
        <v>0</v>
      </c>
      <c r="AE54" s="915">
        <f>CPSX!AE97</f>
        <v>0</v>
      </c>
      <c r="AF54" s="915">
        <f>CPSX!AF97</f>
        <v>0</v>
      </c>
      <c r="AG54" s="915">
        <f>CPSX!AG97</f>
        <v>0</v>
      </c>
      <c r="AH54" s="915">
        <f>CPSX!AH97</f>
        <v>4400000</v>
      </c>
      <c r="AI54" s="915">
        <f>CPSX!AI97</f>
        <v>0</v>
      </c>
      <c r="AJ54" s="915">
        <f>CPSX!AJ97</f>
        <v>0</v>
      </c>
      <c r="AK54" s="998">
        <f t="shared" si="5"/>
        <v>6600000</v>
      </c>
      <c r="AM54" s="915">
        <f>CPSX!AM97</f>
        <v>0</v>
      </c>
      <c r="AO54" s="915">
        <f>CPSX!AO97</f>
        <v>0</v>
      </c>
      <c r="AQ54" s="915"/>
      <c r="AR54" s="916">
        <f t="shared" ca="1" si="2"/>
        <v>12900000</v>
      </c>
      <c r="AS54" s="1327">
        <f t="shared" ca="1" si="3"/>
        <v>1.9545454545454546</v>
      </c>
    </row>
    <row r="55" spans="2:45" s="36" customFormat="1" ht="13" x14ac:dyDescent="0.25">
      <c r="B55" s="575">
        <v>27</v>
      </c>
      <c r="C55" s="588">
        <v>7</v>
      </c>
      <c r="D55" s="981">
        <v>6273001908</v>
      </c>
      <c r="E55" s="638" t="s">
        <v>435</v>
      </c>
      <c r="F55" s="638" t="s">
        <v>580</v>
      </c>
      <c r="G55" s="638" t="s">
        <v>1952</v>
      </c>
      <c r="H55" s="588" t="s">
        <v>2233</v>
      </c>
      <c r="I55" s="981" t="s">
        <v>522</v>
      </c>
      <c r="J55" s="588" t="s">
        <v>2236</v>
      </c>
      <c r="K55" s="915">
        <f ca="1">CPSX!K98</f>
        <v>8586837.333333334</v>
      </c>
      <c r="L55" s="915">
        <f ca="1">CPSX!L98</f>
        <v>8586837.333333334</v>
      </c>
      <c r="M55" s="915">
        <f ca="1">CPSX!M98</f>
        <v>8586837.333333334</v>
      </c>
      <c r="N55" s="915">
        <f ca="1">CPSX!N98</f>
        <v>8586837.333333334</v>
      </c>
      <c r="O55" s="915">
        <f ca="1">CPSX!O98</f>
        <v>8586837.333333334</v>
      </c>
      <c r="P55" s="915">
        <f ca="1">CPSX!P98</f>
        <v>8236841.333333334</v>
      </c>
      <c r="Q55" s="915">
        <f ca="1">CPSX!Q98</f>
        <v>7090504.333333334</v>
      </c>
      <c r="R55" s="915">
        <f ca="1">CPSX!R98</f>
        <v>6690630.333333334</v>
      </c>
      <c r="S55" s="915">
        <f ca="1">CPSX!S98</f>
        <v>6361337.333333334</v>
      </c>
      <c r="T55" s="915">
        <f ca="1">CPSX!T98</f>
        <v>6361337.333333334</v>
      </c>
      <c r="U55" s="915">
        <f ca="1">CPSX!U98</f>
        <v>6361337.333333334</v>
      </c>
      <c r="V55" s="915">
        <f ca="1">CPSX!V98</f>
        <v>6361337.333333334</v>
      </c>
      <c r="W55" s="998">
        <f t="shared" ca="1" si="10"/>
        <v>90397512</v>
      </c>
      <c r="Y55" s="915">
        <f>CPSX!Y98</f>
        <v>4919364</v>
      </c>
      <c r="Z55" s="915">
        <f>CPSX!Z98</f>
        <v>4883882</v>
      </c>
      <c r="AA55" s="915">
        <f>CPSX!AA98</f>
        <v>6867364</v>
      </c>
      <c r="AB55" s="915">
        <f>CPSX!AB98</f>
        <v>6211744</v>
      </c>
      <c r="AC55" s="915">
        <f>CPSX!AC98</f>
        <v>6806414</v>
      </c>
      <c r="AD55" s="915">
        <f>CPSX!AD98</f>
        <v>-3331636</v>
      </c>
      <c r="AE55" s="915">
        <f>CPSX!AE98</f>
        <v>22046805</v>
      </c>
      <c r="AF55" s="915">
        <f>CPSX!AF98</f>
        <v>17892729</v>
      </c>
      <c r="AG55" s="915">
        <f>CPSX!AG98</f>
        <v>9735151</v>
      </c>
      <c r="AH55" s="915">
        <f>CPSX!AH98</f>
        <v>8706875</v>
      </c>
      <c r="AI55" s="915">
        <f>CPSX!AI98</f>
        <v>8428004</v>
      </c>
      <c r="AJ55" s="915">
        <f>CPSX!AJ98</f>
        <v>5445504</v>
      </c>
      <c r="AK55" s="998">
        <f t="shared" si="5"/>
        <v>98612200</v>
      </c>
      <c r="AM55" s="915">
        <f>CPSX!AM98</f>
        <v>67163876</v>
      </c>
      <c r="AO55" s="915">
        <f>CPSX!AO98</f>
        <v>109072506</v>
      </c>
      <c r="AQ55" s="915"/>
      <c r="AR55" s="916">
        <f t="shared" ca="1" si="2"/>
        <v>-8214688</v>
      </c>
      <c r="AS55" s="1327">
        <f t="shared" ca="1" si="3"/>
        <v>-8.330295845747282E-2</v>
      </c>
    </row>
    <row r="56" spans="2:45" s="36" customFormat="1" ht="13" x14ac:dyDescent="0.25">
      <c r="B56" s="575">
        <v>28</v>
      </c>
      <c r="C56" s="588"/>
      <c r="D56" s="981"/>
      <c r="E56" s="638" t="s">
        <v>468</v>
      </c>
      <c r="F56" s="638" t="s">
        <v>617</v>
      </c>
      <c r="G56" s="638" t="s">
        <v>468</v>
      </c>
      <c r="H56" s="588" t="s">
        <v>2233</v>
      </c>
      <c r="I56" s="981" t="s">
        <v>522</v>
      </c>
      <c r="J56" s="588"/>
      <c r="K56" s="915">
        <f ca="1">CPSX!K99</f>
        <v>81327529.763888881</v>
      </c>
      <c r="L56" s="915">
        <f ca="1">CPSX!L99</f>
        <v>81327529.763888881</v>
      </c>
      <c r="M56" s="915">
        <f ca="1">CPSX!M99</f>
        <v>81327529.763888881</v>
      </c>
      <c r="N56" s="915">
        <f ca="1">CPSX!N99</f>
        <v>81327529.763888881</v>
      </c>
      <c r="O56" s="915">
        <f ca="1">CPSX!O99</f>
        <v>81327529.763888881</v>
      </c>
      <c r="P56" s="915">
        <f ca="1">CPSX!P99</f>
        <v>81327529.763888881</v>
      </c>
      <c r="Q56" s="915">
        <f ca="1">CPSX!Q99</f>
        <v>81327529.763888881</v>
      </c>
      <c r="R56" s="915">
        <f ca="1">CPSX!R99</f>
        <v>81327529.763888881</v>
      </c>
      <c r="S56" s="915">
        <f ca="1">CPSX!S99</f>
        <v>81327529.763888881</v>
      </c>
      <c r="T56" s="915">
        <f ca="1">CPSX!T99</f>
        <v>81327529.763888881</v>
      </c>
      <c r="U56" s="915">
        <f ca="1">CPSX!U99</f>
        <v>81327529.763888881</v>
      </c>
      <c r="V56" s="915">
        <f ca="1">CPSX!V99</f>
        <v>81327529.763888881</v>
      </c>
      <c r="W56" s="998">
        <f t="shared" ca="1" si="10"/>
        <v>975930357.16666639</v>
      </c>
      <c r="Y56" s="915">
        <f>CPSX!Y99</f>
        <v>145507033.61190474</v>
      </c>
      <c r="Z56" s="915">
        <f>CPSX!Z99</f>
        <v>145465236.80238095</v>
      </c>
      <c r="AA56" s="915">
        <f>CPSX!AA99</f>
        <v>145428270.82619047</v>
      </c>
      <c r="AB56" s="915">
        <f>CPSX!AB99</f>
        <v>156752152.65952381</v>
      </c>
      <c r="AC56" s="915">
        <f>CPSX!AC99</f>
        <v>151297271.96904761</v>
      </c>
      <c r="AD56" s="915">
        <f>CPSX!AD99</f>
        <v>149951164.63571426</v>
      </c>
      <c r="AE56" s="915">
        <f>CPSX!AE99</f>
        <v>149918820.32619047</v>
      </c>
      <c r="AF56" s="915">
        <f>CPSX!AF99</f>
        <v>186836533.16292515</v>
      </c>
      <c r="AG56" s="915">
        <f>CPSX!AG99</f>
        <v>169336038.58185938</v>
      </c>
      <c r="AH56" s="915">
        <f>CPSX!AH99</f>
        <v>169335598.51071426</v>
      </c>
      <c r="AI56" s="915">
        <f>CPSX!AI99</f>
        <v>169335485.99285713</v>
      </c>
      <c r="AJ56" s="915">
        <f>CPSX!AJ99</f>
        <v>169336151.09971654</v>
      </c>
      <c r="AK56" s="998">
        <f t="shared" si="5"/>
        <v>1908499758.1790252</v>
      </c>
      <c r="AM56" s="915">
        <f>CPSX!AM99</f>
        <v>1382050356</v>
      </c>
      <c r="AO56" s="915">
        <f>CPSX!AO99</f>
        <v>1036408270</v>
      </c>
      <c r="AQ56" s="915">
        <v>2794084411</v>
      </c>
      <c r="AR56" s="916">
        <f t="shared" ca="1" si="2"/>
        <v>-932569401.01235878</v>
      </c>
      <c r="AS56" s="1327">
        <f t="shared" ca="1" si="3"/>
        <v>-0.48864004148586326</v>
      </c>
    </row>
    <row r="57" spans="2:45" s="36" customFormat="1" ht="13" x14ac:dyDescent="0.25">
      <c r="B57" s="580"/>
      <c r="C57" s="1331"/>
      <c r="D57" s="581"/>
      <c r="E57" s="582"/>
      <c r="F57" s="582"/>
      <c r="G57" s="582"/>
      <c r="H57" s="581"/>
      <c r="I57" s="581"/>
      <c r="J57" s="662"/>
      <c r="K57" s="583">
        <f>[29]CPSX!K100+[29]CPSX!K156</f>
        <v>0</v>
      </c>
      <c r="L57" s="583">
        <f>[29]CPSX!L100+[29]CPSX!L156</f>
        <v>0</v>
      </c>
      <c r="M57" s="583">
        <f>[29]CPSX!M100+[29]CPSX!M156</f>
        <v>0</v>
      </c>
      <c r="N57" s="583">
        <f>[29]CPSX!N100+[29]CPSX!N156</f>
        <v>0</v>
      </c>
      <c r="O57" s="583">
        <f>[29]CPSX!O100+[29]CPSX!O156</f>
        <v>0</v>
      </c>
      <c r="P57" s="583">
        <f>[29]CPSX!P100+[29]CPSX!P156</f>
        <v>0</v>
      </c>
      <c r="Q57" s="583">
        <f>[29]CPSX!Q100+[29]CPSX!Q156</f>
        <v>0</v>
      </c>
      <c r="R57" s="583">
        <f>[29]CPSX!R100+[29]CPSX!R156</f>
        <v>0</v>
      </c>
      <c r="S57" s="583">
        <f>[29]CPSX!S100+[29]CPSX!S156</f>
        <v>0</v>
      </c>
      <c r="T57" s="583">
        <f>[29]CPSX!T100+[29]CPSX!T156</f>
        <v>0</v>
      </c>
      <c r="U57" s="583">
        <f>[29]CPSX!U100+[29]CPSX!U156</f>
        <v>0</v>
      </c>
      <c r="V57" s="583">
        <f>[29]CPSX!V100+[29]CPSX!V156</f>
        <v>0</v>
      </c>
      <c r="W57" s="595">
        <f>[29]CPSX!W100+[29]CPSX!W156</f>
        <v>0</v>
      </c>
      <c r="Y57" s="583">
        <f>[29]CPSX!Y100+[29]CPSX!Y156</f>
        <v>0</v>
      </c>
      <c r="Z57" s="583">
        <f>[29]CPSX!Z100+[29]CPSX!Z156</f>
        <v>0</v>
      </c>
      <c r="AA57" s="583">
        <f>[29]CPSX!AA100+[29]CPSX!AA156</f>
        <v>0</v>
      </c>
      <c r="AB57" s="583">
        <f>[29]CPSX!AB100+[29]CPSX!AB156</f>
        <v>0</v>
      </c>
      <c r="AC57" s="583">
        <f>[29]CPSX!AC100+[29]CPSX!AC156</f>
        <v>0</v>
      </c>
      <c r="AD57" s="583">
        <f>[29]CPSX!AD100+[29]CPSX!AD156</f>
        <v>0</v>
      </c>
      <c r="AE57" s="583">
        <f>[29]CPSX!AE100+[29]CPSX!AE156</f>
        <v>0</v>
      </c>
      <c r="AF57" s="583">
        <f>[29]CPSX!AF100+[29]CPSX!AF156</f>
        <v>0</v>
      </c>
      <c r="AG57" s="583">
        <f>[29]CPSX!AG100+[29]CPSX!AG156</f>
        <v>0</v>
      </c>
      <c r="AH57" s="583">
        <f>[29]CPSX!AH100+[29]CPSX!AH156</f>
        <v>0</v>
      </c>
      <c r="AI57" s="583">
        <f>[29]CPSX!AI100+[29]CPSX!AI156</f>
        <v>0</v>
      </c>
      <c r="AJ57" s="583">
        <f>[29]CPSX!AJ100+[29]CPSX!AJ156</f>
        <v>0</v>
      </c>
      <c r="AK57" s="998">
        <f t="shared" si="5"/>
        <v>0</v>
      </c>
      <c r="AM57" s="915"/>
      <c r="AO57" s="915"/>
      <c r="AQ57" s="915"/>
      <c r="AR57" s="579">
        <f t="shared" si="2"/>
        <v>0</v>
      </c>
      <c r="AS57" s="1327">
        <f t="shared" si="3"/>
        <v>0</v>
      </c>
    </row>
    <row r="58" spans="2:45" s="37" customFormat="1" ht="13" x14ac:dyDescent="0.35">
      <c r="B58" s="389"/>
      <c r="C58" s="1332"/>
      <c r="D58" s="388"/>
      <c r="E58" s="650" t="s">
        <v>1610</v>
      </c>
      <c r="F58" s="651"/>
      <c r="G58" s="652"/>
      <c r="H58" s="652"/>
      <c r="I58" s="652"/>
      <c r="J58" s="653"/>
      <c r="K58" s="568">
        <f ca="1">K6+K28</f>
        <v>1190802752.9545522</v>
      </c>
      <c r="L58" s="568">
        <f t="shared" ref="L58:V58" ca="1" si="11">L6+L28</f>
        <v>1164772064.6117473</v>
      </c>
      <c r="M58" s="568">
        <f t="shared" ca="1" si="11"/>
        <v>1168274849.5021539</v>
      </c>
      <c r="N58" s="568">
        <f t="shared" ca="1" si="11"/>
        <v>1227781725.1497552</v>
      </c>
      <c r="O58" s="568">
        <f t="shared" ca="1" si="11"/>
        <v>1183995965.3497553</v>
      </c>
      <c r="P58" s="568">
        <f t="shared" ca="1" si="11"/>
        <v>1230599968.6164219</v>
      </c>
      <c r="Q58" s="568">
        <f t="shared" ca="1" si="11"/>
        <v>1242509945.9830885</v>
      </c>
      <c r="R58" s="568">
        <f t="shared" ca="1" si="11"/>
        <v>1260042590.566422</v>
      </c>
      <c r="S58" s="568">
        <f t="shared" ca="1" si="11"/>
        <v>1249574716.1830885</v>
      </c>
      <c r="T58" s="568">
        <f t="shared" ca="1" si="11"/>
        <v>1188547606.5164218</v>
      </c>
      <c r="U58" s="568">
        <f t="shared" ca="1" si="11"/>
        <v>1207901072.816422</v>
      </c>
      <c r="V58" s="568">
        <f t="shared" ca="1" si="11"/>
        <v>1205260429.1164219</v>
      </c>
      <c r="W58" s="568">
        <f ca="1">W6+W28</f>
        <v>14520063687.366253</v>
      </c>
      <c r="Y58" s="568">
        <f t="shared" ref="Y58:AK58" si="12">Y6+Y28</f>
        <v>901591516.72727287</v>
      </c>
      <c r="Z58" s="568">
        <f t="shared" si="12"/>
        <v>919805475.72727311</v>
      </c>
      <c r="AA58" s="568">
        <f t="shared" si="12"/>
        <v>975560002.72727227</v>
      </c>
      <c r="AB58" s="568">
        <f t="shared" si="12"/>
        <v>1024669650.7272726</v>
      </c>
      <c r="AC58" s="568">
        <f t="shared" si="12"/>
        <v>1009608037.7272727</v>
      </c>
      <c r="AD58" s="568">
        <f t="shared" si="12"/>
        <v>1032180837.7272725</v>
      </c>
      <c r="AE58" s="568">
        <f t="shared" si="12"/>
        <v>1135602447.7272723</v>
      </c>
      <c r="AF58" s="568">
        <f t="shared" si="12"/>
        <v>1057723443.7272722</v>
      </c>
      <c r="AG58" s="568">
        <f t="shared" si="12"/>
        <v>1032866138.7272725</v>
      </c>
      <c r="AH58" s="568">
        <f t="shared" si="12"/>
        <v>1161722565.2063572</v>
      </c>
      <c r="AI58" s="568">
        <f t="shared" si="12"/>
        <v>1152740204.9385002</v>
      </c>
      <c r="AJ58" s="568">
        <f t="shared" si="12"/>
        <v>1126137389.0453596</v>
      </c>
      <c r="AK58" s="568">
        <f t="shared" si="12"/>
        <v>12530207710.73567</v>
      </c>
      <c r="AM58" s="568">
        <f t="shared" ref="AM58" si="13">AM6+AM28</f>
        <v>9395522029</v>
      </c>
      <c r="AO58" s="568">
        <f t="shared" ref="AO58" si="14">AO6+AO28</f>
        <v>9891818434</v>
      </c>
      <c r="AQ58" s="568">
        <f>AQ6+AQ28</f>
        <v>14531170625.111111</v>
      </c>
      <c r="AR58" s="1329">
        <f t="shared" ca="1" si="2"/>
        <v>1989855976.6305828</v>
      </c>
      <c r="AS58" s="1330">
        <f t="shared" ca="1" si="3"/>
        <v>0.15880470799583857</v>
      </c>
    </row>
    <row r="59" spans="2:45" s="36" customFormat="1" ht="13" x14ac:dyDescent="0.35">
      <c r="B59" s="138" t="s">
        <v>538</v>
      </c>
      <c r="C59" s="40"/>
      <c r="D59" s="138"/>
      <c r="E59" s="138"/>
      <c r="F59" s="138"/>
      <c r="G59" s="138"/>
      <c r="K59" s="1321"/>
      <c r="L59" s="1321"/>
      <c r="M59" s="1321"/>
      <c r="N59" s="1321"/>
      <c r="O59" s="1321"/>
      <c r="P59" s="1321"/>
      <c r="Q59" s="1321"/>
      <c r="R59" s="1321"/>
      <c r="S59" s="1321"/>
      <c r="T59" s="1321"/>
      <c r="U59" s="1321"/>
      <c r="V59" s="1321"/>
      <c r="W59" s="1333"/>
      <c r="Y59" s="1321"/>
      <c r="Z59" s="1321"/>
      <c r="AA59" s="1321"/>
      <c r="AB59" s="1321"/>
      <c r="AC59" s="1321"/>
      <c r="AD59" s="1321"/>
      <c r="AE59" s="1321"/>
      <c r="AF59" s="1321"/>
      <c r="AG59" s="1321"/>
      <c r="AH59" s="1321"/>
      <c r="AI59" s="1321"/>
      <c r="AJ59" s="1321"/>
      <c r="AK59" s="1333"/>
      <c r="AM59" s="1333"/>
      <c r="AO59" s="1333"/>
      <c r="AP59" s="80"/>
      <c r="AQ59" s="1333"/>
      <c r="AR59" s="1321"/>
      <c r="AS59" s="268"/>
    </row>
    <row r="60" spans="2:45" s="36" customFormat="1" ht="13" outlineLevel="1" x14ac:dyDescent="0.25">
      <c r="B60" s="570">
        <v>1</v>
      </c>
      <c r="C60" s="588"/>
      <c r="D60" s="572" t="s">
        <v>583</v>
      </c>
      <c r="E60" s="571" t="s">
        <v>581</v>
      </c>
      <c r="F60" s="572" t="s">
        <v>582</v>
      </c>
      <c r="G60" s="584" t="s">
        <v>1643</v>
      </c>
      <c r="H60" s="588" t="s">
        <v>2239</v>
      </c>
      <c r="I60" s="584" t="s">
        <v>517</v>
      </c>
      <c r="J60" s="588"/>
      <c r="K60" s="574">
        <f>CPBH!K5</f>
        <v>114364285.71428572</v>
      </c>
      <c r="L60" s="574">
        <f>CPBH!L5</f>
        <v>85773214.285714284</v>
      </c>
      <c r="M60" s="574">
        <f>CPBH!M5</f>
        <v>123894642.85714285</v>
      </c>
      <c r="N60" s="574">
        <f>CPBH!N5</f>
        <v>133425000</v>
      </c>
      <c r="O60" s="574">
        <f>CPBH!O5</f>
        <v>133425000</v>
      </c>
      <c r="P60" s="574">
        <f>CPBH!P5</f>
        <v>133425000</v>
      </c>
      <c r="Q60" s="574">
        <f>CPBH!Q5</f>
        <v>133425000</v>
      </c>
      <c r="R60" s="574">
        <f>CPBH!R5</f>
        <v>133425000</v>
      </c>
      <c r="S60" s="574">
        <f>CPBH!S5</f>
        <v>133425000</v>
      </c>
      <c r="T60" s="574">
        <f>CPBH!T5</f>
        <v>133425000</v>
      </c>
      <c r="U60" s="574">
        <f>CPBH!U5</f>
        <v>133425000</v>
      </c>
      <c r="V60" s="574">
        <f>CPBH!V5</f>
        <v>133425000</v>
      </c>
      <c r="W60" s="998">
        <f t="shared" ref="W60:W61" si="15">SUM(K60:V60)</f>
        <v>1524857142.8571429</v>
      </c>
      <c r="Y60" s="574">
        <f>CPBH!Y5</f>
        <v>37500000</v>
      </c>
      <c r="Z60" s="574">
        <f>CPBH!Z5</f>
        <v>70500000</v>
      </c>
      <c r="AA60" s="574">
        <f>CPBH!AA5</f>
        <v>103500000</v>
      </c>
      <c r="AB60" s="574">
        <f>CPBH!AB5</f>
        <v>129000000</v>
      </c>
      <c r="AC60" s="574">
        <f>CPBH!AC5</f>
        <v>111000000</v>
      </c>
      <c r="AD60" s="574">
        <f>CPBH!AD5</f>
        <v>116500000</v>
      </c>
      <c r="AE60" s="574">
        <f>CPBH!AE5</f>
        <v>172500000</v>
      </c>
      <c r="AF60" s="574">
        <f>CPBH!AF5</f>
        <v>164700000</v>
      </c>
      <c r="AG60" s="574">
        <f>CPBH!AG5</f>
        <v>127600000</v>
      </c>
      <c r="AH60" s="574">
        <f>CPBH!AH5</f>
        <v>94607142.857142851</v>
      </c>
      <c r="AI60" s="574">
        <f>CPBH!AI5</f>
        <v>94607142.857142851</v>
      </c>
      <c r="AJ60" s="574">
        <f>CPBH!AJ5</f>
        <v>94607142.857142851</v>
      </c>
      <c r="AK60" s="998">
        <f t="shared" ref="AK60:AK63" si="16">SUM(Y60:AJ60)</f>
        <v>1316621428.5714288</v>
      </c>
      <c r="AM60" s="574">
        <f>CPBH!AM5</f>
        <v>1294051828</v>
      </c>
      <c r="AO60" s="574">
        <f>CPBH!AO5</f>
        <v>1478599034</v>
      </c>
      <c r="AQ60" s="915">
        <v>2236055280</v>
      </c>
      <c r="AR60" s="579">
        <f t="shared" si="2"/>
        <v>208235714.28571415</v>
      </c>
      <c r="AS60" s="1327">
        <f t="shared" si="3"/>
        <v>0.15815914109164675</v>
      </c>
    </row>
    <row r="61" spans="2:45" s="36" customFormat="1" ht="13" outlineLevel="1" x14ac:dyDescent="0.25">
      <c r="B61" s="580">
        <v>2</v>
      </c>
      <c r="C61" s="588"/>
      <c r="D61" s="582" t="s">
        <v>583</v>
      </c>
      <c r="E61" s="581" t="s">
        <v>581</v>
      </c>
      <c r="F61" s="582" t="s">
        <v>582</v>
      </c>
      <c r="G61" s="586" t="s">
        <v>1642</v>
      </c>
      <c r="H61" s="588" t="s">
        <v>2239</v>
      </c>
      <c r="I61" s="586" t="s">
        <v>517</v>
      </c>
      <c r="J61" s="588"/>
      <c r="K61" s="583"/>
      <c r="L61" s="583"/>
      <c r="M61" s="583"/>
      <c r="N61" s="583"/>
      <c r="O61" s="583"/>
      <c r="P61" s="583"/>
      <c r="Q61" s="583"/>
      <c r="R61" s="583"/>
      <c r="S61" s="583"/>
      <c r="T61" s="583"/>
      <c r="U61" s="583"/>
      <c r="V61" s="583"/>
      <c r="W61" s="998">
        <f t="shared" si="15"/>
        <v>0</v>
      </c>
      <c r="Y61" s="583"/>
      <c r="Z61" s="583"/>
      <c r="AA61" s="583"/>
      <c r="AB61" s="583"/>
      <c r="AC61" s="583"/>
      <c r="AD61" s="583"/>
      <c r="AE61" s="583"/>
      <c r="AF61" s="583"/>
      <c r="AG61" s="583"/>
      <c r="AH61" s="583"/>
      <c r="AI61" s="583"/>
      <c r="AJ61" s="583"/>
      <c r="AK61" s="998">
        <f t="shared" si="16"/>
        <v>0</v>
      </c>
      <c r="AM61" s="595">
        <f>[29]CPBH!AM$6</f>
        <v>0</v>
      </c>
      <c r="AO61" s="595">
        <f>[29]CPBH!AO$6</f>
        <v>0</v>
      </c>
      <c r="AQ61" s="1002"/>
      <c r="AR61" s="579">
        <f t="shared" si="2"/>
        <v>0</v>
      </c>
      <c r="AS61" s="1327">
        <f t="shared" si="3"/>
        <v>0</v>
      </c>
    </row>
    <row r="62" spans="2:45" s="36" customFormat="1" ht="13" outlineLevel="1" x14ac:dyDescent="0.25">
      <c r="B62" s="580">
        <v>3</v>
      </c>
      <c r="C62" s="588"/>
      <c r="D62" s="582" t="s">
        <v>583</v>
      </c>
      <c r="E62" s="581" t="s">
        <v>581</v>
      </c>
      <c r="F62" s="582" t="s">
        <v>582</v>
      </c>
      <c r="G62" s="586" t="s">
        <v>1641</v>
      </c>
      <c r="H62" s="588" t="s">
        <v>2239</v>
      </c>
      <c r="I62" s="586" t="s">
        <v>517</v>
      </c>
      <c r="J62" s="588"/>
      <c r="K62" s="583">
        <f>[29]CPBH!K$12</f>
        <v>0</v>
      </c>
      <c r="L62" s="583">
        <f>[29]CPBH!L$12</f>
        <v>0</v>
      </c>
      <c r="M62" s="583">
        <f>[29]CPBH!M$12</f>
        <v>0</v>
      </c>
      <c r="N62" s="583">
        <f>[29]CPBH!N$12</f>
        <v>0</v>
      </c>
      <c r="O62" s="583">
        <f>[29]CPBH!O$12</f>
        <v>0</v>
      </c>
      <c r="P62" s="583">
        <f>[29]CPBH!P$12</f>
        <v>0</v>
      </c>
      <c r="Q62" s="583">
        <f>[29]CPBH!Q$12</f>
        <v>0</v>
      </c>
      <c r="R62" s="583">
        <f>[29]CPBH!R$12</f>
        <v>0</v>
      </c>
      <c r="S62" s="583">
        <f>[29]CPBH!S$12</f>
        <v>0</v>
      </c>
      <c r="T62" s="583">
        <f>[29]CPBH!T$12</f>
        <v>0</v>
      </c>
      <c r="U62" s="583">
        <f>[29]CPBH!U$12</f>
        <v>0</v>
      </c>
      <c r="V62" s="583">
        <f>[29]CPBH!V$12</f>
        <v>0</v>
      </c>
      <c r="W62" s="595">
        <f>[29]CPBH!W$12</f>
        <v>0</v>
      </c>
      <c r="Y62" s="583">
        <f>[29]CPBH!Y$12</f>
        <v>0</v>
      </c>
      <c r="Z62" s="583">
        <f>[29]CPBH!Z$12</f>
        <v>0</v>
      </c>
      <c r="AA62" s="583">
        <f>[29]CPBH!AA$12</f>
        <v>0</v>
      </c>
      <c r="AB62" s="583">
        <f>[29]CPBH!AB$12</f>
        <v>0</v>
      </c>
      <c r="AC62" s="583">
        <f>[29]CPBH!AC$12</f>
        <v>0</v>
      </c>
      <c r="AD62" s="583">
        <f>[29]CPBH!AD$12</f>
        <v>0</v>
      </c>
      <c r="AE62" s="583">
        <f>[29]CPBH!AE$12</f>
        <v>0</v>
      </c>
      <c r="AF62" s="583">
        <f>[29]CPBH!AF$12</f>
        <v>0</v>
      </c>
      <c r="AG62" s="583">
        <f>[29]CPBH!AG$12</f>
        <v>0</v>
      </c>
      <c r="AH62" s="583">
        <f>[29]CPBH!AH$12</f>
        <v>0</v>
      </c>
      <c r="AI62" s="583">
        <f>[29]CPBH!AI$12</f>
        <v>0</v>
      </c>
      <c r="AJ62" s="583">
        <f>[29]CPBH!AJ$12</f>
        <v>0</v>
      </c>
      <c r="AK62" s="998">
        <f t="shared" si="16"/>
        <v>0</v>
      </c>
      <c r="AM62" s="595">
        <f>[29]CPBH!AM$12</f>
        <v>0</v>
      </c>
      <c r="AO62" s="595">
        <f>[29]CPBH!AO$12</f>
        <v>0</v>
      </c>
      <c r="AQ62" s="1002"/>
      <c r="AR62" s="579">
        <f t="shared" si="2"/>
        <v>0</v>
      </c>
      <c r="AS62" s="1327">
        <f t="shared" si="3"/>
        <v>0</v>
      </c>
    </row>
    <row r="63" spans="2:45" s="36" customFormat="1" ht="13" outlineLevel="1" x14ac:dyDescent="0.35">
      <c r="B63" s="480"/>
      <c r="C63" s="1334"/>
      <c r="D63" s="475"/>
      <c r="E63" s="675"/>
      <c r="F63" s="676"/>
      <c r="G63" s="677"/>
      <c r="H63" s="677"/>
      <c r="I63" s="677"/>
      <c r="J63" s="678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1335"/>
      <c r="Y63" s="481"/>
      <c r="Z63" s="481"/>
      <c r="AA63" s="481"/>
      <c r="AB63" s="481"/>
      <c r="AC63" s="481"/>
      <c r="AD63" s="481"/>
      <c r="AE63" s="481"/>
      <c r="AF63" s="481"/>
      <c r="AG63" s="481"/>
      <c r="AH63" s="481"/>
      <c r="AI63" s="481"/>
      <c r="AJ63" s="481"/>
      <c r="AK63" s="998">
        <f t="shared" si="16"/>
        <v>0</v>
      </c>
      <c r="AM63" s="1335"/>
      <c r="AO63" s="1335"/>
      <c r="AQ63" s="1354"/>
      <c r="AR63" s="579">
        <f t="shared" si="2"/>
        <v>0</v>
      </c>
      <c r="AS63" s="1327">
        <f t="shared" si="3"/>
        <v>0</v>
      </c>
    </row>
    <row r="64" spans="2:45" s="37" customFormat="1" ht="13" x14ac:dyDescent="0.35">
      <c r="B64" s="389"/>
      <c r="C64" s="1332"/>
      <c r="D64" s="388"/>
      <c r="E64" s="650" t="s">
        <v>1611</v>
      </c>
      <c r="F64" s="651"/>
      <c r="G64" s="652"/>
      <c r="H64" s="652"/>
      <c r="I64" s="652"/>
      <c r="J64" s="653"/>
      <c r="K64" s="568">
        <f>SUM(K60:K62)</f>
        <v>114364285.71428572</v>
      </c>
      <c r="L64" s="568">
        <f t="shared" ref="L64:W64" si="17">SUM(L60:L62)</f>
        <v>85773214.285714284</v>
      </c>
      <c r="M64" s="568">
        <f t="shared" si="17"/>
        <v>123894642.85714285</v>
      </c>
      <c r="N64" s="568">
        <f t="shared" si="17"/>
        <v>133425000</v>
      </c>
      <c r="O64" s="568">
        <f t="shared" si="17"/>
        <v>133425000</v>
      </c>
      <c r="P64" s="568">
        <f t="shared" si="17"/>
        <v>133425000</v>
      </c>
      <c r="Q64" s="568">
        <f t="shared" si="17"/>
        <v>133425000</v>
      </c>
      <c r="R64" s="568">
        <f t="shared" si="17"/>
        <v>133425000</v>
      </c>
      <c r="S64" s="568">
        <f t="shared" si="17"/>
        <v>133425000</v>
      </c>
      <c r="T64" s="568">
        <f t="shared" si="17"/>
        <v>133425000</v>
      </c>
      <c r="U64" s="568">
        <f t="shared" si="17"/>
        <v>133425000</v>
      </c>
      <c r="V64" s="568">
        <f t="shared" si="17"/>
        <v>133425000</v>
      </c>
      <c r="W64" s="568">
        <f t="shared" si="17"/>
        <v>1524857142.8571429</v>
      </c>
      <c r="Y64" s="568">
        <f t="shared" ref="Y64:AK64" si="18">SUM(Y60:Y62)</f>
        <v>37500000</v>
      </c>
      <c r="Z64" s="568">
        <f t="shared" si="18"/>
        <v>70500000</v>
      </c>
      <c r="AA64" s="568">
        <f t="shared" si="18"/>
        <v>103500000</v>
      </c>
      <c r="AB64" s="568">
        <f t="shared" si="18"/>
        <v>129000000</v>
      </c>
      <c r="AC64" s="568">
        <f t="shared" si="18"/>
        <v>111000000</v>
      </c>
      <c r="AD64" s="568">
        <f t="shared" si="18"/>
        <v>116500000</v>
      </c>
      <c r="AE64" s="568">
        <f t="shared" si="18"/>
        <v>172500000</v>
      </c>
      <c r="AF64" s="568">
        <f t="shared" si="18"/>
        <v>164700000</v>
      </c>
      <c r="AG64" s="568">
        <f t="shared" si="18"/>
        <v>127600000</v>
      </c>
      <c r="AH64" s="568">
        <f t="shared" si="18"/>
        <v>94607142.857142851</v>
      </c>
      <c r="AI64" s="568">
        <f t="shared" si="18"/>
        <v>94607142.857142851</v>
      </c>
      <c r="AJ64" s="568">
        <f t="shared" si="18"/>
        <v>94607142.857142851</v>
      </c>
      <c r="AK64" s="568">
        <f t="shared" si="18"/>
        <v>1316621428.5714288</v>
      </c>
      <c r="AM64" s="568">
        <f t="shared" ref="AM64" si="19">SUM(AM60:AM62)</f>
        <v>1294051828</v>
      </c>
      <c r="AO64" s="568">
        <f t="shared" ref="AO64:AQ64" si="20">SUM(AO60:AO62)</f>
        <v>1478599034</v>
      </c>
      <c r="AQ64" s="568">
        <f t="shared" si="20"/>
        <v>2236055280</v>
      </c>
      <c r="AR64" s="1329">
        <f t="shared" si="2"/>
        <v>208235714.28571415</v>
      </c>
      <c r="AS64" s="1330">
        <f t="shared" si="3"/>
        <v>0.15815914109164675</v>
      </c>
    </row>
    <row r="65" spans="2:45" s="6" customFormat="1" x14ac:dyDescent="0.3">
      <c r="B65" s="139" t="s">
        <v>1609</v>
      </c>
      <c r="C65" s="49"/>
      <c r="D65" s="139"/>
      <c r="E65" s="139"/>
      <c r="F65" s="139"/>
      <c r="J65" s="600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1336"/>
      <c r="X65" s="49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1336"/>
      <c r="AM65" s="1336"/>
      <c r="AO65" s="1336"/>
      <c r="AQ65" s="1336"/>
      <c r="AR65" s="1337"/>
      <c r="AS65" s="235"/>
    </row>
    <row r="66" spans="2:45" s="6" customFormat="1" x14ac:dyDescent="0.3">
      <c r="B66" s="588">
        <v>1</v>
      </c>
      <c r="C66" s="588">
        <v>35</v>
      </c>
      <c r="D66" s="997">
        <v>6421002604</v>
      </c>
      <c r="E66" s="584" t="s">
        <v>461</v>
      </c>
      <c r="F66" s="584" t="s">
        <v>569</v>
      </c>
      <c r="G66" s="584" t="s">
        <v>461</v>
      </c>
      <c r="H66" s="588" t="s">
        <v>2234</v>
      </c>
      <c r="I66" s="584" t="s">
        <v>521</v>
      </c>
      <c r="J66" s="588" t="s">
        <v>2235</v>
      </c>
      <c r="K66" s="1245">
        <f>CPQL!K5</f>
        <v>231983584</v>
      </c>
      <c r="L66" s="1245">
        <f>CPQL!L5</f>
        <v>233617224</v>
      </c>
      <c r="M66" s="1245">
        <f>CPQL!M5</f>
        <v>226794841</v>
      </c>
      <c r="N66" s="1245">
        <f>CPQL!N5</f>
        <v>234989696</v>
      </c>
      <c r="O66" s="1245">
        <f>CPQL!O5</f>
        <v>228702976</v>
      </c>
      <c r="P66" s="1245">
        <f>CPQL!P5</f>
        <v>234989696</v>
      </c>
      <c r="Q66" s="1245">
        <f>CPQL!Q5</f>
        <v>232258078</v>
      </c>
      <c r="R66" s="1245">
        <f>CPQL!R5</f>
        <v>232258078</v>
      </c>
      <c r="S66" s="1245">
        <f>CPQL!S5</f>
        <v>234440708</v>
      </c>
      <c r="T66" s="1245">
        <f>CPQL!T5</f>
        <v>229526460</v>
      </c>
      <c r="U66" s="1245">
        <f>CPQL!U5</f>
        <v>234989696</v>
      </c>
      <c r="V66" s="1245">
        <f>CPQL!V5</f>
        <v>232258078</v>
      </c>
      <c r="W66" s="998">
        <f t="shared" ref="W66:W124" si="21">SUM(K66:V66)</f>
        <v>2786809115</v>
      </c>
      <c r="X66" s="496"/>
      <c r="Y66" s="1245">
        <f>CPQL!Y5</f>
        <v>190705181</v>
      </c>
      <c r="Z66" s="1245">
        <f>CPQL!Z5</f>
        <v>193716888</v>
      </c>
      <c r="AA66" s="1245">
        <f>CPQL!AA5</f>
        <v>171808909</v>
      </c>
      <c r="AB66" s="1245">
        <f>CPQL!AB5</f>
        <v>209656919</v>
      </c>
      <c r="AC66" s="1245">
        <f>CPQL!AC5</f>
        <v>190102972</v>
      </c>
      <c r="AD66" s="1245">
        <f>CPQL!AD5</f>
        <v>165743660</v>
      </c>
      <c r="AE66" s="1245">
        <f>CPQL!AE5</f>
        <v>163581380</v>
      </c>
      <c r="AF66" s="1245">
        <f>CPQL!AF5</f>
        <v>177224222</v>
      </c>
      <c r="AG66" s="1245">
        <f>CPQL!AG5</f>
        <v>169296094</v>
      </c>
      <c r="AH66" s="1245">
        <f>CPQL!AH5</f>
        <v>190479156</v>
      </c>
      <c r="AI66" s="1245">
        <f>CPQL!AI5</f>
        <v>190479156</v>
      </c>
      <c r="AJ66" s="1245">
        <f>CPQL!AJ5</f>
        <v>190479156</v>
      </c>
      <c r="AK66" s="998">
        <f t="shared" ref="AK66:AK125" si="22">SUM(Y66:AJ66)</f>
        <v>2203273693</v>
      </c>
      <c r="AM66" s="1245">
        <f>CPQL!AM5</f>
        <v>988310840</v>
      </c>
      <c r="AO66" s="1245">
        <f>CPQL!AO5</f>
        <v>750344536</v>
      </c>
      <c r="AQ66" s="1245">
        <v>2339099715.9999852</v>
      </c>
      <c r="AR66" s="1011">
        <f t="shared" si="2"/>
        <v>583535422</v>
      </c>
      <c r="AS66" s="1338">
        <f t="shared" si="3"/>
        <v>0.26484926673156628</v>
      </c>
    </row>
    <row r="67" spans="2:45" s="6" customFormat="1" x14ac:dyDescent="0.3">
      <c r="B67" s="589">
        <v>2</v>
      </c>
      <c r="C67" s="588">
        <v>36</v>
      </c>
      <c r="D67" s="981">
        <v>6421002605</v>
      </c>
      <c r="E67" s="981" t="s">
        <v>462</v>
      </c>
      <c r="F67" s="638" t="s">
        <v>574</v>
      </c>
      <c r="G67" s="981" t="s">
        <v>462</v>
      </c>
      <c r="H67" s="588" t="s">
        <v>2234</v>
      </c>
      <c r="I67" s="638" t="s">
        <v>521</v>
      </c>
      <c r="J67" s="588" t="s">
        <v>2235</v>
      </c>
      <c r="K67" s="1245">
        <f>CPQL!K6</f>
        <v>17624181</v>
      </c>
      <c r="L67" s="1245">
        <f>CPQL!L6</f>
        <v>17624181</v>
      </c>
      <c r="M67" s="1245">
        <f>CPQL!M6</f>
        <v>17624181</v>
      </c>
      <c r="N67" s="1245">
        <f>CPQL!N6</f>
        <v>17624181</v>
      </c>
      <c r="O67" s="1245">
        <f>CPQL!O6</f>
        <v>17624181</v>
      </c>
      <c r="P67" s="1245">
        <f>CPQL!P6</f>
        <v>17624181</v>
      </c>
      <c r="Q67" s="1245">
        <f>CPQL!Q6</f>
        <v>17624181</v>
      </c>
      <c r="R67" s="1245">
        <f>CPQL!R6</f>
        <v>17624181</v>
      </c>
      <c r="S67" s="1245">
        <f>CPQL!S6</f>
        <v>17624181</v>
      </c>
      <c r="T67" s="1245">
        <f>CPQL!T6</f>
        <v>17624181</v>
      </c>
      <c r="U67" s="1245">
        <f>CPQL!U6</f>
        <v>17624181</v>
      </c>
      <c r="V67" s="1245">
        <f>CPQL!V6</f>
        <v>17624181</v>
      </c>
      <c r="W67" s="998">
        <f t="shared" si="21"/>
        <v>211490172</v>
      </c>
      <c r="X67" s="496"/>
      <c r="Y67" s="1245">
        <f>CPQL!Y6</f>
        <v>14840167</v>
      </c>
      <c r="Z67" s="1245">
        <f>CPQL!Z6</f>
        <v>14840167</v>
      </c>
      <c r="AA67" s="1245">
        <f>CPQL!AA6</f>
        <v>12756833</v>
      </c>
      <c r="AB67" s="1245">
        <f>CPQL!AB6</f>
        <v>14923500</v>
      </c>
      <c r="AC67" s="1245">
        <f>CPQL!AC6</f>
        <v>12756833</v>
      </c>
      <c r="AD67" s="1245">
        <f>CPQL!AD6</f>
        <v>14608685</v>
      </c>
      <c r="AE67" s="1245">
        <f>CPQL!AE6</f>
        <v>15525352</v>
      </c>
      <c r="AF67" s="1245">
        <f>CPQL!AF6</f>
        <v>15525352</v>
      </c>
      <c r="AG67" s="1245">
        <f>CPQL!AG6</f>
        <v>13460352</v>
      </c>
      <c r="AH67" s="1245">
        <f>CPQL!AH6</f>
        <v>15106184.944444457</v>
      </c>
      <c r="AI67" s="1245">
        <f>CPQL!AI6</f>
        <v>15106184.944444457</v>
      </c>
      <c r="AJ67" s="1245">
        <f>CPQL!AJ6</f>
        <v>15106184.944444457</v>
      </c>
      <c r="AK67" s="998">
        <f t="shared" si="22"/>
        <v>174555795.83333334</v>
      </c>
      <c r="AM67" s="1245">
        <f>CPQL!AM6</f>
        <v>139133331</v>
      </c>
      <c r="AO67" s="1245">
        <f>CPQL!AO6</f>
        <v>57900000</v>
      </c>
      <c r="AQ67" s="1245">
        <v>166099896</v>
      </c>
      <c r="AR67" s="1011">
        <f t="shared" si="2"/>
        <v>36934376.166666657</v>
      </c>
      <c r="AS67" s="1338">
        <f t="shared" si="3"/>
        <v>0.21159066068440247</v>
      </c>
    </row>
    <row r="68" spans="2:45" s="6" customFormat="1" x14ac:dyDescent="0.3">
      <c r="B68" s="589">
        <v>3</v>
      </c>
      <c r="C68" s="588">
        <v>37</v>
      </c>
      <c r="D68" s="981">
        <v>6421002802</v>
      </c>
      <c r="E68" s="638" t="s">
        <v>465</v>
      </c>
      <c r="F68" s="638" t="s">
        <v>570</v>
      </c>
      <c r="G68" s="638" t="s">
        <v>465</v>
      </c>
      <c r="H68" s="588" t="s">
        <v>2234</v>
      </c>
      <c r="I68" s="638" t="s">
        <v>521</v>
      </c>
      <c r="J68" s="588" t="s">
        <v>2235</v>
      </c>
      <c r="K68" s="1245">
        <f>CPQL!K7</f>
        <v>1400000</v>
      </c>
      <c r="L68" s="1245">
        <f>CPQL!L7</f>
        <v>0</v>
      </c>
      <c r="M68" s="1245">
        <f>CPQL!M7</f>
        <v>0</v>
      </c>
      <c r="N68" s="1245">
        <f>CPQL!N7</f>
        <v>0</v>
      </c>
      <c r="O68" s="1245">
        <f>CPQL!O7</f>
        <v>2800000</v>
      </c>
      <c r="P68" s="1245">
        <f>CPQL!P7</f>
        <v>0</v>
      </c>
      <c r="Q68" s="1245">
        <f>CPQL!Q7</f>
        <v>0</v>
      </c>
      <c r="R68" s="1245">
        <f>CPQL!R7</f>
        <v>0</v>
      </c>
      <c r="S68" s="1245">
        <f>CPQL!S7</f>
        <v>1400000</v>
      </c>
      <c r="T68" s="1245">
        <f>CPQL!T7</f>
        <v>0</v>
      </c>
      <c r="U68" s="1245">
        <f>CPQL!U7</f>
        <v>0</v>
      </c>
      <c r="V68" s="1245">
        <f>CPQL!V7</f>
        <v>0</v>
      </c>
      <c r="W68" s="998">
        <f t="shared" si="21"/>
        <v>5600000</v>
      </c>
      <c r="X68" s="496"/>
      <c r="Y68" s="1245">
        <f>CPQL!Y7</f>
        <v>13652835</v>
      </c>
      <c r="Z68" s="1245">
        <f>CPQL!Z7</f>
        <v>13652835</v>
      </c>
      <c r="AA68" s="1245">
        <f>CPQL!AA7</f>
        <v>11736185</v>
      </c>
      <c r="AB68" s="1245">
        <f>CPQL!AB7</f>
        <v>13729501</v>
      </c>
      <c r="AC68" s="1245">
        <f>CPQL!AC7</f>
        <v>11736185</v>
      </c>
      <c r="AD68" s="1245">
        <f>CPQL!AD7</f>
        <v>13439873</v>
      </c>
      <c r="AE68" s="1245">
        <f>CPQL!AE7</f>
        <v>14283199</v>
      </c>
      <c r="AF68" s="1245">
        <f>CPQL!AF7</f>
        <v>14283199</v>
      </c>
      <c r="AG68" s="1245">
        <f>CPQL!AG7</f>
        <v>12383416</v>
      </c>
      <c r="AH68" s="1245">
        <f>CPQL!AH7</f>
        <v>17368687.842321347</v>
      </c>
      <c r="AI68" s="1245">
        <f>CPQL!AI7</f>
        <v>17368687.842321347</v>
      </c>
      <c r="AJ68" s="1245">
        <f>CPQL!AJ7</f>
        <v>17368687.842321347</v>
      </c>
      <c r="AK68" s="998">
        <f t="shared" si="22"/>
        <v>171003291.52696401</v>
      </c>
      <c r="AM68" s="1245">
        <f>CPQL!AM7</f>
        <v>78295387</v>
      </c>
      <c r="AO68" s="1245">
        <f>CPQL!AO7</f>
        <v>111750000</v>
      </c>
      <c r="AQ68" s="1245">
        <v>253295600</v>
      </c>
      <c r="AR68" s="1011">
        <f t="shared" si="2"/>
        <v>-165403291.52696401</v>
      </c>
      <c r="AS68" s="1338">
        <f t="shared" si="3"/>
        <v>-0.96725209234281329</v>
      </c>
    </row>
    <row r="69" spans="2:45" s="6" customFormat="1" x14ac:dyDescent="0.3">
      <c r="B69" s="589">
        <v>4</v>
      </c>
      <c r="C69" s="588">
        <v>36</v>
      </c>
      <c r="D69" s="981">
        <v>6421002806</v>
      </c>
      <c r="E69" s="981" t="s">
        <v>584</v>
      </c>
      <c r="F69" s="638" t="s">
        <v>574</v>
      </c>
      <c r="G69" s="981" t="s">
        <v>472</v>
      </c>
      <c r="H69" s="588" t="s">
        <v>2234</v>
      </c>
      <c r="I69" s="638" t="s">
        <v>521</v>
      </c>
      <c r="J69" s="588" t="s">
        <v>2235</v>
      </c>
      <c r="K69" s="1245">
        <f>CPQL!K8</f>
        <v>23931782</v>
      </c>
      <c r="L69" s="1245">
        <f>CPQL!L8</f>
        <v>23931782</v>
      </c>
      <c r="M69" s="1245">
        <f>CPQL!M8</f>
        <v>23931782</v>
      </c>
      <c r="N69" s="1245">
        <f>CPQL!N8</f>
        <v>23931782</v>
      </c>
      <c r="O69" s="1245">
        <f>CPQL!O8</f>
        <v>23931782</v>
      </c>
      <c r="P69" s="1245">
        <f>CPQL!P8</f>
        <v>23931782</v>
      </c>
      <c r="Q69" s="1245">
        <f>CPQL!Q8</f>
        <v>23931782</v>
      </c>
      <c r="R69" s="1245">
        <f>CPQL!R8</f>
        <v>23931782</v>
      </c>
      <c r="S69" s="1245">
        <f>CPQL!S8</f>
        <v>23931782</v>
      </c>
      <c r="T69" s="1245">
        <f>CPQL!T8</f>
        <v>23931782</v>
      </c>
      <c r="U69" s="1245">
        <f>CPQL!U8</f>
        <v>23931782</v>
      </c>
      <c r="V69" s="1245">
        <f>CPQL!V8</f>
        <v>23931782</v>
      </c>
      <c r="W69" s="998">
        <f t="shared" si="21"/>
        <v>287181384</v>
      </c>
      <c r="X69" s="496"/>
      <c r="Y69" s="1245">
        <f>CPQL!Y8</f>
        <v>0</v>
      </c>
      <c r="Z69" s="1245">
        <f>CPQL!Z8</f>
        <v>0</v>
      </c>
      <c r="AA69" s="1245">
        <f>CPQL!AA8</f>
        <v>0</v>
      </c>
      <c r="AB69" s="1245">
        <f>CPQL!AB8</f>
        <v>0</v>
      </c>
      <c r="AC69" s="1245">
        <f>CPQL!AC8</f>
        <v>0</v>
      </c>
      <c r="AD69" s="1245">
        <f>CPQL!AD8</f>
        <v>0</v>
      </c>
      <c r="AE69" s="1245">
        <f>CPQL!AE8</f>
        <v>0</v>
      </c>
      <c r="AF69" s="1245">
        <f>CPQL!AF8</f>
        <v>0</v>
      </c>
      <c r="AG69" s="1245">
        <f>CPQL!AG8</f>
        <v>0</v>
      </c>
      <c r="AH69" s="1245">
        <f>CPQL!AH8</f>
        <v>0</v>
      </c>
      <c r="AI69" s="1245">
        <f>CPQL!AI8</f>
        <v>0</v>
      </c>
      <c r="AJ69" s="1245">
        <f>CPQL!AJ8</f>
        <v>0</v>
      </c>
      <c r="AK69" s="998">
        <f t="shared" si="22"/>
        <v>0</v>
      </c>
      <c r="AM69" s="1245">
        <f>CPQL!AM8</f>
        <v>0</v>
      </c>
      <c r="AO69" s="1245">
        <f>CPQL!AO8</f>
        <v>0</v>
      </c>
      <c r="AQ69" s="1245"/>
      <c r="AR69" s="1011">
        <f t="shared" si="2"/>
        <v>287181384</v>
      </c>
      <c r="AS69" s="1338">
        <f t="shared" si="3"/>
        <v>0</v>
      </c>
    </row>
    <row r="70" spans="2:45" s="6" customFormat="1" x14ac:dyDescent="0.3">
      <c r="B70" s="589">
        <v>5</v>
      </c>
      <c r="C70" s="588">
        <v>37</v>
      </c>
      <c r="D70" s="981">
        <v>6421007202</v>
      </c>
      <c r="E70" s="638" t="s">
        <v>431</v>
      </c>
      <c r="F70" s="638" t="s">
        <v>570</v>
      </c>
      <c r="G70" s="638" t="s">
        <v>431</v>
      </c>
      <c r="H70" s="588" t="s">
        <v>2234</v>
      </c>
      <c r="I70" s="638" t="s">
        <v>521</v>
      </c>
      <c r="J70" s="588" t="s">
        <v>2235</v>
      </c>
      <c r="K70" s="1245">
        <f>CPQL!K9</f>
        <v>0</v>
      </c>
      <c r="L70" s="1245">
        <f>CPQL!L9</f>
        <v>38500000</v>
      </c>
      <c r="M70" s="1245">
        <f>CPQL!M9</f>
        <v>0</v>
      </c>
      <c r="N70" s="1245">
        <f>CPQL!N9</f>
        <v>0</v>
      </c>
      <c r="O70" s="1245">
        <f>CPQL!O9</f>
        <v>0</v>
      </c>
      <c r="P70" s="1245">
        <f>CPQL!P9</f>
        <v>0</v>
      </c>
      <c r="Q70" s="1245">
        <f>CPQL!Q9</f>
        <v>0</v>
      </c>
      <c r="R70" s="1245">
        <f>CPQL!R9</f>
        <v>0</v>
      </c>
      <c r="S70" s="1245">
        <f>CPQL!S9</f>
        <v>0</v>
      </c>
      <c r="T70" s="1245">
        <f>CPQL!T9</f>
        <v>0</v>
      </c>
      <c r="U70" s="1245">
        <f>CPQL!U9</f>
        <v>0</v>
      </c>
      <c r="V70" s="1245">
        <f>CPQL!V9</f>
        <v>0</v>
      </c>
      <c r="W70" s="998">
        <f t="shared" si="21"/>
        <v>38500000</v>
      </c>
      <c r="X70" s="496"/>
      <c r="Y70" s="1245">
        <f>CPQL!Y9</f>
        <v>0</v>
      </c>
      <c r="Z70" s="1245">
        <f>CPQL!Z9</f>
        <v>0</v>
      </c>
      <c r="AA70" s="1245">
        <f>CPQL!AA9</f>
        <v>0</v>
      </c>
      <c r="AB70" s="1245">
        <f>CPQL!AB9</f>
        <v>0</v>
      </c>
      <c r="AC70" s="1245">
        <f>CPQL!AC9</f>
        <v>0</v>
      </c>
      <c r="AD70" s="1245">
        <f>CPQL!AD9</f>
        <v>0</v>
      </c>
      <c r="AE70" s="1245">
        <f>CPQL!AE9</f>
        <v>0</v>
      </c>
      <c r="AF70" s="1245">
        <f>CPQL!AF9</f>
        <v>0</v>
      </c>
      <c r="AG70" s="1245">
        <f>CPQL!AG9</f>
        <v>0</v>
      </c>
      <c r="AH70" s="1245">
        <f>CPQL!AH9</f>
        <v>0</v>
      </c>
      <c r="AI70" s="1245">
        <f>CPQL!AI9</f>
        <v>0</v>
      </c>
      <c r="AJ70" s="1245">
        <f>CPQL!AJ9</f>
        <v>0</v>
      </c>
      <c r="AK70" s="998">
        <f t="shared" si="22"/>
        <v>0</v>
      </c>
      <c r="AM70" s="1245">
        <f>CPQL!AM9</f>
        <v>0</v>
      </c>
      <c r="AO70" s="1245">
        <f>CPQL!AO9</f>
        <v>58000000</v>
      </c>
      <c r="AQ70" s="1245"/>
      <c r="AR70" s="1011">
        <f t="shared" si="2"/>
        <v>38500000</v>
      </c>
      <c r="AS70" s="1338">
        <f t="shared" si="3"/>
        <v>0</v>
      </c>
    </row>
    <row r="71" spans="2:45" s="6" customFormat="1" x14ac:dyDescent="0.3">
      <c r="B71" s="589">
        <v>6</v>
      </c>
      <c r="C71" s="588">
        <v>37</v>
      </c>
      <c r="D71" s="981">
        <v>6421003202</v>
      </c>
      <c r="E71" s="981" t="s">
        <v>467</v>
      </c>
      <c r="F71" s="638" t="s">
        <v>570</v>
      </c>
      <c r="G71" s="981" t="s">
        <v>467</v>
      </c>
      <c r="H71" s="588" t="s">
        <v>2234</v>
      </c>
      <c r="I71" s="638" t="s">
        <v>521</v>
      </c>
      <c r="J71" s="588" t="s">
        <v>2235</v>
      </c>
      <c r="K71" s="1245">
        <f>CPQL!K10</f>
        <v>5600000</v>
      </c>
      <c r="L71" s="1245">
        <f>CPQL!L10</f>
        <v>4928000</v>
      </c>
      <c r="M71" s="1245">
        <f>CPQL!M10</f>
        <v>5376000</v>
      </c>
      <c r="N71" s="1245">
        <f>CPQL!N10</f>
        <v>6048000</v>
      </c>
      <c r="O71" s="1245">
        <f>CPQL!O10</f>
        <v>4928000</v>
      </c>
      <c r="P71" s="1245">
        <f>CPQL!P10</f>
        <v>6048000</v>
      </c>
      <c r="Q71" s="1245">
        <f>CPQL!Q10</f>
        <v>5824000</v>
      </c>
      <c r="R71" s="1245">
        <f>CPQL!R10</f>
        <v>5824000</v>
      </c>
      <c r="S71" s="1245">
        <f>CPQL!S10</f>
        <v>5600000</v>
      </c>
      <c r="T71" s="1245">
        <f>CPQL!T10</f>
        <v>5600000</v>
      </c>
      <c r="U71" s="1245">
        <f>CPQL!U10</f>
        <v>6048000</v>
      </c>
      <c r="V71" s="1245">
        <f>CPQL!V10</f>
        <v>5824000</v>
      </c>
      <c r="W71" s="998">
        <f t="shared" si="21"/>
        <v>67648000</v>
      </c>
      <c r="X71" s="496"/>
      <c r="Y71" s="1245">
        <f>CPQL!Y10</f>
        <v>2800000</v>
      </c>
      <c r="Z71" s="1245">
        <f>CPQL!Z10</f>
        <v>1900000</v>
      </c>
      <c r="AA71" s="1245">
        <f>CPQL!AA10</f>
        <v>2875000</v>
      </c>
      <c r="AB71" s="1245">
        <f>CPQL!AB10</f>
        <v>2975000</v>
      </c>
      <c r="AC71" s="1245">
        <f>CPQL!AC10</f>
        <v>2782500</v>
      </c>
      <c r="AD71" s="1245">
        <f>CPQL!AD10</f>
        <v>3648750</v>
      </c>
      <c r="AE71" s="1245">
        <f>CPQL!AE10</f>
        <v>5439160</v>
      </c>
      <c r="AF71" s="1245">
        <f>CPQL!AF10</f>
        <v>4632157</v>
      </c>
      <c r="AG71" s="1245">
        <f>CPQL!AG10</f>
        <v>4130560</v>
      </c>
      <c r="AH71" s="1245">
        <f>CPQL!AH10</f>
        <v>4632157</v>
      </c>
      <c r="AI71" s="1245">
        <f>CPQL!AI10</f>
        <v>4632157</v>
      </c>
      <c r="AJ71" s="1245">
        <f>CPQL!AJ10</f>
        <v>4632157</v>
      </c>
      <c r="AK71" s="998">
        <f t="shared" si="22"/>
        <v>45079598</v>
      </c>
      <c r="AM71" s="1245">
        <f>CPQL!AM10</f>
        <v>15800000</v>
      </c>
      <c r="AO71" s="1245">
        <f>CPQL!AO10</f>
        <v>0</v>
      </c>
      <c r="AQ71" s="1245">
        <v>45300000</v>
      </c>
      <c r="AR71" s="1011">
        <f t="shared" ref="AR71:AR127" si="23">IFERROR(W71-AK71,0)</f>
        <v>22568402</v>
      </c>
      <c r="AS71" s="1338">
        <f t="shared" ref="AS71:AS126" si="24">IFERROR((W71/AK71)-1,0)</f>
        <v>0.50063449989061581</v>
      </c>
    </row>
    <row r="72" spans="2:45" s="6" customFormat="1" x14ac:dyDescent="0.3">
      <c r="B72" s="589">
        <v>7</v>
      </c>
      <c r="C72" s="588">
        <v>36</v>
      </c>
      <c r="D72" s="981">
        <v>6421002603</v>
      </c>
      <c r="E72" s="638" t="s">
        <v>466</v>
      </c>
      <c r="F72" s="638" t="s">
        <v>574</v>
      </c>
      <c r="G72" s="638" t="s">
        <v>466</v>
      </c>
      <c r="H72" s="588" t="s">
        <v>2234</v>
      </c>
      <c r="I72" s="638" t="s">
        <v>521</v>
      </c>
      <c r="J72" s="588" t="s">
        <v>2235</v>
      </c>
      <c r="K72" s="1245">
        <f>CPQL!K11</f>
        <v>0</v>
      </c>
      <c r="L72" s="1245">
        <f>CPQL!L11</f>
        <v>0</v>
      </c>
      <c r="M72" s="1245">
        <f>CPQL!M11</f>
        <v>0</v>
      </c>
      <c r="N72" s="1245">
        <f>CPQL!N11</f>
        <v>0</v>
      </c>
      <c r="O72" s="1245">
        <f>CPQL!O11</f>
        <v>0</v>
      </c>
      <c r="P72" s="1245">
        <f>CPQL!P11</f>
        <v>0</v>
      </c>
      <c r="Q72" s="1245">
        <f>CPQL!Q11</f>
        <v>0</v>
      </c>
      <c r="R72" s="1245">
        <f>CPQL!R11</f>
        <v>0</v>
      </c>
      <c r="S72" s="1245">
        <f>CPQL!S11</f>
        <v>0</v>
      </c>
      <c r="T72" s="1245">
        <f>CPQL!T11</f>
        <v>0</v>
      </c>
      <c r="U72" s="1245">
        <f>CPQL!U11</f>
        <v>0</v>
      </c>
      <c r="V72" s="1245">
        <f>CPQL!V11</f>
        <v>0</v>
      </c>
      <c r="W72" s="998">
        <f t="shared" si="21"/>
        <v>0</v>
      </c>
      <c r="X72" s="496"/>
      <c r="Y72" s="1245">
        <f>CPQL!Y11</f>
        <v>0</v>
      </c>
      <c r="Z72" s="1245">
        <f>CPQL!Z11</f>
        <v>0</v>
      </c>
      <c r="AA72" s="1245">
        <f>CPQL!AA11</f>
        <v>0</v>
      </c>
      <c r="AB72" s="1245">
        <f>CPQL!AB11</f>
        <v>0</v>
      </c>
      <c r="AC72" s="1245">
        <f>CPQL!AC11</f>
        <v>0</v>
      </c>
      <c r="AD72" s="1245">
        <f>CPQL!AD11</f>
        <v>0</v>
      </c>
      <c r="AE72" s="1245">
        <f>CPQL!AE11</f>
        <v>0</v>
      </c>
      <c r="AF72" s="1245">
        <f>CPQL!AF11</f>
        <v>0</v>
      </c>
      <c r="AG72" s="1245">
        <f>CPQL!AG11</f>
        <v>0</v>
      </c>
      <c r="AH72" s="1245">
        <f>CPQL!AH11</f>
        <v>0</v>
      </c>
      <c r="AI72" s="1245">
        <f>CPQL!AI11</f>
        <v>0</v>
      </c>
      <c r="AJ72" s="1245">
        <f>CPQL!AJ11</f>
        <v>0</v>
      </c>
      <c r="AK72" s="998">
        <f t="shared" si="22"/>
        <v>0</v>
      </c>
      <c r="AM72" s="1245">
        <f>CPQL!AM11</f>
        <v>0</v>
      </c>
      <c r="AO72" s="1245">
        <f>CPQL!AO11</f>
        <v>0</v>
      </c>
      <c r="AQ72" s="1245"/>
      <c r="AR72" s="1011">
        <f t="shared" si="23"/>
        <v>0</v>
      </c>
      <c r="AS72" s="1338">
        <f t="shared" si="24"/>
        <v>0</v>
      </c>
    </row>
    <row r="73" spans="2:45" s="6" customFormat="1" x14ac:dyDescent="0.3">
      <c r="B73" s="589">
        <v>8</v>
      </c>
      <c r="C73" s="588">
        <v>37</v>
      </c>
      <c r="D73" s="981">
        <v>6421003401</v>
      </c>
      <c r="E73" s="981" t="s">
        <v>463</v>
      </c>
      <c r="F73" s="638" t="s">
        <v>570</v>
      </c>
      <c r="G73" s="981" t="s">
        <v>463</v>
      </c>
      <c r="H73" s="588" t="s">
        <v>2234</v>
      </c>
      <c r="I73" s="638" t="s">
        <v>521</v>
      </c>
      <c r="J73" s="588" t="s">
        <v>2235</v>
      </c>
      <c r="K73" s="1245">
        <f>CPQL!K12</f>
        <v>43405987</v>
      </c>
      <c r="L73" s="1245">
        <f>CPQL!L12</f>
        <v>43405987</v>
      </c>
      <c r="M73" s="1245">
        <f>CPQL!M12</f>
        <v>43405987</v>
      </c>
      <c r="N73" s="1245">
        <f>CPQL!N12</f>
        <v>43405987</v>
      </c>
      <c r="O73" s="1245">
        <f>CPQL!O12</f>
        <v>43405987</v>
      </c>
      <c r="P73" s="1245">
        <f>CPQL!P12</f>
        <v>43405987</v>
      </c>
      <c r="Q73" s="1245">
        <f>CPQL!Q12</f>
        <v>43405987</v>
      </c>
      <c r="R73" s="1245">
        <f>CPQL!R12</f>
        <v>43405987</v>
      </c>
      <c r="S73" s="1245">
        <f>CPQL!S12</f>
        <v>43405987</v>
      </c>
      <c r="T73" s="1245">
        <f>CPQL!T12</f>
        <v>43405987</v>
      </c>
      <c r="U73" s="1245">
        <f>CPQL!U12</f>
        <v>43405987</v>
      </c>
      <c r="V73" s="1245">
        <f>CPQL!V12</f>
        <v>43405987</v>
      </c>
      <c r="W73" s="998">
        <f t="shared" si="21"/>
        <v>520871844</v>
      </c>
      <c r="X73" s="496"/>
      <c r="Y73" s="1245">
        <f>CPQL!Y12</f>
        <v>21723540</v>
      </c>
      <c r="Z73" s="1245">
        <f>CPQL!Z12</f>
        <v>25957130</v>
      </c>
      <c r="AA73" s="1245">
        <f>CPQL!AA12</f>
        <v>25831130</v>
      </c>
      <c r="AB73" s="1245">
        <f>CPQL!AB12</f>
        <v>24270130</v>
      </c>
      <c r="AC73" s="1245">
        <f>CPQL!AC12</f>
        <v>24770130</v>
      </c>
      <c r="AD73" s="1245">
        <f>CPQL!AD12</f>
        <v>24770130</v>
      </c>
      <c r="AE73" s="1245">
        <f>CPQL!AE12</f>
        <v>23377430</v>
      </c>
      <c r="AF73" s="1245">
        <f>CPQL!AF12</f>
        <v>23377430</v>
      </c>
      <c r="AG73" s="1245">
        <f>CPQL!AG12</f>
        <v>23377430</v>
      </c>
      <c r="AH73" s="1245">
        <f>CPQL!AH12</f>
        <v>29242510.476190448</v>
      </c>
      <c r="AI73" s="1245">
        <f>CPQL!AI12</f>
        <v>29242510.476190448</v>
      </c>
      <c r="AJ73" s="1245">
        <f>CPQL!AJ12</f>
        <v>29242510.476190448</v>
      </c>
      <c r="AK73" s="998">
        <f t="shared" si="22"/>
        <v>305182011.42857134</v>
      </c>
      <c r="AM73" s="1245">
        <f>CPQL!AM12</f>
        <v>191037000</v>
      </c>
      <c r="AO73" s="1245">
        <f>CPQL!AO12</f>
        <v>146390901</v>
      </c>
      <c r="AQ73" s="1245">
        <v>403414440</v>
      </c>
      <c r="AR73" s="1011">
        <f t="shared" si="23"/>
        <v>215689832.57142866</v>
      </c>
      <c r="AS73" s="1338">
        <f t="shared" si="24"/>
        <v>0.70675801487045198</v>
      </c>
    </row>
    <row r="74" spans="2:45" s="6" customFormat="1" x14ac:dyDescent="0.3">
      <c r="B74" s="589">
        <v>9</v>
      </c>
      <c r="C74" s="588">
        <v>36</v>
      </c>
      <c r="D74" s="981">
        <v>6421002703</v>
      </c>
      <c r="E74" s="638" t="s">
        <v>464</v>
      </c>
      <c r="F74" s="638" t="s">
        <v>574</v>
      </c>
      <c r="G74" s="638" t="s">
        <v>464</v>
      </c>
      <c r="H74" s="588" t="s">
        <v>2234</v>
      </c>
      <c r="I74" s="638" t="s">
        <v>521</v>
      </c>
      <c r="J74" s="588" t="s">
        <v>2235</v>
      </c>
      <c r="K74" s="1245">
        <f>CPQL!K13</f>
        <v>0</v>
      </c>
      <c r="L74" s="1245">
        <f>CPQL!L13</f>
        <v>0</v>
      </c>
      <c r="M74" s="1245">
        <f>CPQL!M13</f>
        <v>0</v>
      </c>
      <c r="N74" s="1245">
        <f>CPQL!N13</f>
        <v>0</v>
      </c>
      <c r="O74" s="1245">
        <f>CPQL!O13</f>
        <v>0</v>
      </c>
      <c r="P74" s="1245">
        <f>CPQL!P13</f>
        <v>0</v>
      </c>
      <c r="Q74" s="1245">
        <f>CPQL!Q13</f>
        <v>0</v>
      </c>
      <c r="R74" s="1245">
        <f>CPQL!R13</f>
        <v>0</v>
      </c>
      <c r="S74" s="1245">
        <f>CPQL!S13</f>
        <v>0</v>
      </c>
      <c r="T74" s="1245">
        <f>CPQL!T13</f>
        <v>0</v>
      </c>
      <c r="U74" s="1245">
        <f>CPQL!U13</f>
        <v>0</v>
      </c>
      <c r="V74" s="1245">
        <f>CPQL!V13</f>
        <v>0</v>
      </c>
      <c r="W74" s="998">
        <f t="shared" si="21"/>
        <v>0</v>
      </c>
      <c r="X74" s="496"/>
      <c r="Y74" s="1245">
        <f>CPQL!Y13</f>
        <v>0</v>
      </c>
      <c r="Z74" s="1245">
        <f>CPQL!Z13</f>
        <v>0</v>
      </c>
      <c r="AA74" s="1245">
        <f>CPQL!AA13</f>
        <v>0</v>
      </c>
      <c r="AB74" s="1245">
        <f>CPQL!AB13</f>
        <v>0</v>
      </c>
      <c r="AC74" s="1245">
        <f>CPQL!AC13</f>
        <v>0</v>
      </c>
      <c r="AD74" s="1245">
        <f>CPQL!AD13</f>
        <v>0</v>
      </c>
      <c r="AE74" s="1245">
        <f>CPQL!AE13</f>
        <v>0</v>
      </c>
      <c r="AF74" s="1245">
        <f>CPQL!AF13</f>
        <v>0</v>
      </c>
      <c r="AG74" s="1245">
        <f>CPQL!AG13</f>
        <v>0</v>
      </c>
      <c r="AH74" s="1245">
        <f>CPQL!AH13</f>
        <v>0</v>
      </c>
      <c r="AI74" s="1245">
        <f>CPQL!AI13</f>
        <v>0</v>
      </c>
      <c r="AJ74" s="1245">
        <f>CPQL!AJ13</f>
        <v>0</v>
      </c>
      <c r="AK74" s="998">
        <f t="shared" si="22"/>
        <v>0</v>
      </c>
      <c r="AM74" s="1245">
        <f>CPQL!AM13</f>
        <v>0</v>
      </c>
      <c r="AO74" s="1245">
        <f>CPQL!AO13</f>
        <v>0</v>
      </c>
      <c r="AQ74" s="1245"/>
      <c r="AR74" s="1011">
        <f t="shared" si="23"/>
        <v>0</v>
      </c>
      <c r="AS74" s="1338">
        <f t="shared" si="24"/>
        <v>0</v>
      </c>
    </row>
    <row r="75" spans="2:45" s="6" customFormat="1" x14ac:dyDescent="0.3">
      <c r="B75" s="589">
        <v>10</v>
      </c>
      <c r="C75" s="588">
        <v>38</v>
      </c>
      <c r="D75" s="981" t="s">
        <v>1429</v>
      </c>
      <c r="E75" s="638" t="s">
        <v>855</v>
      </c>
      <c r="F75" s="638" t="s">
        <v>811</v>
      </c>
      <c r="G75" s="638" t="s">
        <v>855</v>
      </c>
      <c r="H75" s="588" t="s">
        <v>2234</v>
      </c>
      <c r="I75" s="638" t="s">
        <v>521</v>
      </c>
      <c r="J75" s="588" t="s">
        <v>2235</v>
      </c>
      <c r="K75" s="1245">
        <f>CPQL!K14</f>
        <v>0</v>
      </c>
      <c r="L75" s="1245">
        <f>CPQL!L14</f>
        <v>0</v>
      </c>
      <c r="M75" s="1245">
        <f>CPQL!M14</f>
        <v>0</v>
      </c>
      <c r="N75" s="1245">
        <f>CPQL!N14</f>
        <v>0</v>
      </c>
      <c r="O75" s="1245">
        <f>CPQL!O14</f>
        <v>0</v>
      </c>
      <c r="P75" s="1245">
        <f>CPQL!P14</f>
        <v>0</v>
      </c>
      <c r="Q75" s="1245">
        <f>CPQL!Q14</f>
        <v>0</v>
      </c>
      <c r="R75" s="1245">
        <f>CPQL!R14</f>
        <v>0</v>
      </c>
      <c r="S75" s="1245">
        <f>CPQL!S14</f>
        <v>0</v>
      </c>
      <c r="T75" s="1245">
        <f>CPQL!T14</f>
        <v>0</v>
      </c>
      <c r="U75" s="1245">
        <f>CPQL!U14</f>
        <v>0</v>
      </c>
      <c r="V75" s="1245">
        <f>CPQL!V14</f>
        <v>0</v>
      </c>
      <c r="W75" s="998">
        <f t="shared" si="21"/>
        <v>0</v>
      </c>
      <c r="X75" s="496"/>
      <c r="Y75" s="1245">
        <f>CPQL!Y14</f>
        <v>0</v>
      </c>
      <c r="Z75" s="1245">
        <f>CPQL!Z14</f>
        <v>0</v>
      </c>
      <c r="AA75" s="1245">
        <f>CPQL!AA14</f>
        <v>0</v>
      </c>
      <c r="AB75" s="1245">
        <f>CPQL!AB14</f>
        <v>0</v>
      </c>
      <c r="AC75" s="1245">
        <f>CPQL!AC14</f>
        <v>0</v>
      </c>
      <c r="AD75" s="1245">
        <f>CPQL!AD14</f>
        <v>0</v>
      </c>
      <c r="AE75" s="1245">
        <f>CPQL!AE14</f>
        <v>0</v>
      </c>
      <c r="AF75" s="1245">
        <f>CPQL!AF14</f>
        <v>0</v>
      </c>
      <c r="AG75" s="1245">
        <f>CPQL!AG14</f>
        <v>0</v>
      </c>
      <c r="AH75" s="1245">
        <f>CPQL!AH14</f>
        <v>0</v>
      </c>
      <c r="AI75" s="1245">
        <f>CPQL!AI14</f>
        <v>0</v>
      </c>
      <c r="AJ75" s="1245">
        <f>CPQL!AJ14</f>
        <v>0</v>
      </c>
      <c r="AK75" s="998">
        <f t="shared" si="22"/>
        <v>0</v>
      </c>
      <c r="AM75" s="1245">
        <f>CPQL!AM14</f>
        <v>0</v>
      </c>
      <c r="AO75" s="1245">
        <f>CPQL!AO14</f>
        <v>0</v>
      </c>
      <c r="AQ75" s="1245"/>
      <c r="AR75" s="1011">
        <f t="shared" si="23"/>
        <v>0</v>
      </c>
      <c r="AS75" s="1338">
        <f t="shared" si="24"/>
        <v>0</v>
      </c>
    </row>
    <row r="76" spans="2:45" s="6" customFormat="1" x14ac:dyDescent="0.3">
      <c r="B76" s="589">
        <v>11</v>
      </c>
      <c r="C76" s="588">
        <v>37</v>
      </c>
      <c r="D76" s="981">
        <v>6421003001</v>
      </c>
      <c r="E76" s="638" t="s">
        <v>430</v>
      </c>
      <c r="F76" s="638" t="s">
        <v>570</v>
      </c>
      <c r="G76" s="1019" t="s">
        <v>430</v>
      </c>
      <c r="H76" s="588" t="s">
        <v>2234</v>
      </c>
      <c r="I76" s="638" t="s">
        <v>521</v>
      </c>
      <c r="J76" s="588" t="s">
        <v>2235</v>
      </c>
      <c r="K76" s="1245">
        <f ca="1">CPQL!K15</f>
        <v>666225</v>
      </c>
      <c r="L76" s="1245">
        <f ca="1">CPQL!L15</f>
        <v>666225</v>
      </c>
      <c r="M76" s="1245">
        <f ca="1">CPQL!M15</f>
        <v>666225</v>
      </c>
      <c r="N76" s="1245">
        <f ca="1">CPQL!N15</f>
        <v>666225</v>
      </c>
      <c r="O76" s="1245">
        <f ca="1">CPQL!O15</f>
        <v>666225</v>
      </c>
      <c r="P76" s="1245">
        <f ca="1">CPQL!P15</f>
        <v>666225</v>
      </c>
      <c r="Q76" s="1245">
        <f ca="1">CPQL!Q15</f>
        <v>666225</v>
      </c>
      <c r="R76" s="1245">
        <f ca="1">CPQL!R15</f>
        <v>666225</v>
      </c>
      <c r="S76" s="1245">
        <f ca="1">CPQL!S15</f>
        <v>666225</v>
      </c>
      <c r="T76" s="1245">
        <f ca="1">CPQL!T15</f>
        <v>666225</v>
      </c>
      <c r="U76" s="1245">
        <f ca="1">CPQL!U15</f>
        <v>666225</v>
      </c>
      <c r="V76" s="1245">
        <f ca="1">CPQL!V15</f>
        <v>666225</v>
      </c>
      <c r="W76" s="998">
        <f t="shared" ca="1" si="21"/>
        <v>7994700</v>
      </c>
      <c r="X76" s="496"/>
      <c r="Y76" s="1245">
        <f>CPQL!Y15</f>
        <v>0</v>
      </c>
      <c r="Z76" s="1245">
        <f>CPQL!Z15</f>
        <v>0</v>
      </c>
      <c r="AA76" s="1245">
        <f>CPQL!AA15</f>
        <v>0</v>
      </c>
      <c r="AB76" s="1245">
        <f>CPQL!AB15</f>
        <v>0</v>
      </c>
      <c r="AC76" s="1245">
        <f>CPQL!AC15</f>
        <v>0</v>
      </c>
      <c r="AD76" s="1245">
        <f>CPQL!AD15</f>
        <v>0</v>
      </c>
      <c r="AE76" s="1245">
        <f>CPQL!AE15</f>
        <v>0</v>
      </c>
      <c r="AF76" s="1245">
        <f>CPQL!AF15</f>
        <v>0</v>
      </c>
      <c r="AG76" s="1245">
        <f>CPQL!AG15</f>
        <v>0</v>
      </c>
      <c r="AH76" s="1245">
        <f>CPQL!AH15</f>
        <v>0</v>
      </c>
      <c r="AI76" s="1245">
        <f>CPQL!AI15</f>
        <v>0</v>
      </c>
      <c r="AJ76" s="1245">
        <f>CPQL!AJ15</f>
        <v>0</v>
      </c>
      <c r="AK76" s="998">
        <f t="shared" si="22"/>
        <v>0</v>
      </c>
      <c r="AM76" s="1245">
        <f>CPQL!AM15</f>
        <v>3931247</v>
      </c>
      <c r="AO76" s="1245">
        <f>CPQL!AO15</f>
        <v>0</v>
      </c>
      <c r="AQ76" s="1245"/>
      <c r="AR76" s="1011">
        <f t="shared" ca="1" si="23"/>
        <v>7994700</v>
      </c>
      <c r="AS76" s="1338">
        <f t="shared" ca="1" si="24"/>
        <v>0</v>
      </c>
    </row>
    <row r="77" spans="2:45" s="6" customFormat="1" x14ac:dyDescent="0.3">
      <c r="B77" s="589">
        <v>12</v>
      </c>
      <c r="C77" s="588">
        <v>37</v>
      </c>
      <c r="D77" s="981">
        <v>6427003101</v>
      </c>
      <c r="E77" s="638" t="s">
        <v>441</v>
      </c>
      <c r="F77" s="638" t="s">
        <v>570</v>
      </c>
      <c r="G77" s="578" t="str">
        <f>E77</f>
        <v>Chi phí y tế, BH sức khỏe</v>
      </c>
      <c r="H77" s="588" t="s">
        <v>2234</v>
      </c>
      <c r="I77" s="638" t="s">
        <v>521</v>
      </c>
      <c r="J77" s="588" t="s">
        <v>2235</v>
      </c>
      <c r="K77" s="1245">
        <f ca="1">CPQL!K16</f>
        <v>2982856.5125000002</v>
      </c>
      <c r="L77" s="1245">
        <f ca="1">CPQL!L16</f>
        <v>2982856.5125000002</v>
      </c>
      <c r="M77" s="1245">
        <f ca="1">CPQL!M16</f>
        <v>2982856.5125000002</v>
      </c>
      <c r="N77" s="1245">
        <f ca="1">CPQL!N16</f>
        <v>2982856.5125000002</v>
      </c>
      <c r="O77" s="1245">
        <f ca="1">CPQL!O16</f>
        <v>2982856.5125000002</v>
      </c>
      <c r="P77" s="1245">
        <f ca="1">CPQL!P16</f>
        <v>2982856.5125000002</v>
      </c>
      <c r="Q77" s="1245">
        <f ca="1">CPQL!Q16</f>
        <v>2982856.5125000002</v>
      </c>
      <c r="R77" s="1245">
        <f ca="1">CPQL!R16</f>
        <v>2982855.5125000002</v>
      </c>
      <c r="S77" s="1245">
        <f ca="1">CPQL!S16</f>
        <v>1527804.5125000002</v>
      </c>
      <c r="T77" s="1245">
        <f ca="1">CPQL!T16</f>
        <v>1527804.5125000002</v>
      </c>
      <c r="U77" s="1245">
        <f ca="1">CPQL!U16</f>
        <v>1527804.5125000002</v>
      </c>
      <c r="V77" s="1245">
        <f ca="1">CPQL!V16</f>
        <v>1527804.5125000002</v>
      </c>
      <c r="W77" s="998">
        <f t="shared" ca="1" si="21"/>
        <v>29974069.149999995</v>
      </c>
      <c r="X77" s="496"/>
      <c r="Y77" s="1245">
        <f>CPQL!Y16</f>
        <v>649328</v>
      </c>
      <c r="Z77" s="1245">
        <f>CPQL!Z16</f>
        <v>649328</v>
      </c>
      <c r="AA77" s="1245">
        <f>CPQL!AA16</f>
        <v>649328</v>
      </c>
      <c r="AB77" s="1245">
        <f>CPQL!AB16</f>
        <v>415996</v>
      </c>
      <c r="AC77" s="1245">
        <f>CPQL!AC16</f>
        <v>415995</v>
      </c>
      <c r="AD77" s="1245">
        <f>CPQL!AD16</f>
        <v>415995</v>
      </c>
      <c r="AE77" s="1245">
        <f>CPQL!AE16</f>
        <v>415995</v>
      </c>
      <c r="AF77" s="1245">
        <f>CPQL!AF16</f>
        <v>415995</v>
      </c>
      <c r="AG77" s="1245">
        <f>CPQL!AG16</f>
        <v>1871046</v>
      </c>
      <c r="AH77" s="1245">
        <f>CPQL!AH16</f>
        <v>1455052</v>
      </c>
      <c r="AI77" s="1245">
        <f>CPQL!AI16</f>
        <v>1455052</v>
      </c>
      <c r="AJ77" s="1245">
        <f>CPQL!AJ16</f>
        <v>1455052</v>
      </c>
      <c r="AK77" s="998">
        <f t="shared" si="22"/>
        <v>10264162</v>
      </c>
      <c r="AM77" s="1245">
        <f>CPQL!AM16</f>
        <v>2667573</v>
      </c>
      <c r="AO77" s="1245">
        <f>CPQL!AO16</f>
        <v>5093815</v>
      </c>
      <c r="AQ77" s="1245">
        <v>18000000</v>
      </c>
      <c r="AR77" s="1011">
        <f t="shared" ca="1" si="23"/>
        <v>19709907.149999995</v>
      </c>
      <c r="AS77" s="1338">
        <f t="shared" ca="1" si="24"/>
        <v>1.9202646207259777</v>
      </c>
    </row>
    <row r="78" spans="2:45" s="6" customFormat="1" x14ac:dyDescent="0.3">
      <c r="B78" s="589">
        <v>13</v>
      </c>
      <c r="C78" s="588">
        <v>3</v>
      </c>
      <c r="D78" s="981">
        <v>6422003502</v>
      </c>
      <c r="E78" s="638" t="s">
        <v>450</v>
      </c>
      <c r="F78" s="638" t="s">
        <v>599</v>
      </c>
      <c r="G78" s="578" t="str">
        <f>E78</f>
        <v>Chi phí xăng dầu xe du lịch, xe gắn máy, xe nâng</v>
      </c>
      <c r="H78" s="588" t="s">
        <v>2234</v>
      </c>
      <c r="I78" s="638" t="s">
        <v>521</v>
      </c>
      <c r="J78" s="588" t="s">
        <v>2236</v>
      </c>
      <c r="K78" s="1245">
        <f>CPQL!K17</f>
        <v>0</v>
      </c>
      <c r="L78" s="1245">
        <f>CPQL!L17</f>
        <v>0</v>
      </c>
      <c r="M78" s="1245">
        <f>CPQL!M17</f>
        <v>0</v>
      </c>
      <c r="N78" s="1245">
        <f>CPQL!N17</f>
        <v>0</v>
      </c>
      <c r="O78" s="1245">
        <f>CPQL!O17</f>
        <v>0</v>
      </c>
      <c r="P78" s="1245">
        <f>CPQL!P17</f>
        <v>0</v>
      </c>
      <c r="Q78" s="1245">
        <f>CPQL!Q17</f>
        <v>0</v>
      </c>
      <c r="R78" s="1245">
        <f>CPQL!R17</f>
        <v>0</v>
      </c>
      <c r="S78" s="1245">
        <f>CPQL!S17</f>
        <v>0</v>
      </c>
      <c r="T78" s="1245">
        <f>CPQL!T17</f>
        <v>0</v>
      </c>
      <c r="U78" s="1245">
        <f>CPQL!U17</f>
        <v>0</v>
      </c>
      <c r="V78" s="1245">
        <f>CPQL!V17</f>
        <v>0</v>
      </c>
      <c r="W78" s="998">
        <f t="shared" si="21"/>
        <v>0</v>
      </c>
      <c r="X78" s="496"/>
      <c r="Y78" s="1245">
        <f>CPQL!Y17</f>
        <v>0</v>
      </c>
      <c r="Z78" s="1245">
        <f>CPQL!Z17</f>
        <v>0</v>
      </c>
      <c r="AA78" s="1245">
        <f>CPQL!AA17</f>
        <v>0</v>
      </c>
      <c r="AB78" s="1245">
        <f>CPQL!AB17</f>
        <v>0</v>
      </c>
      <c r="AC78" s="1245">
        <f>CPQL!AC17</f>
        <v>0</v>
      </c>
      <c r="AD78" s="1245">
        <f>CPQL!AD17</f>
        <v>0</v>
      </c>
      <c r="AE78" s="1245">
        <f>CPQL!AE17</f>
        <v>0</v>
      </c>
      <c r="AF78" s="1245">
        <f>CPQL!AF17</f>
        <v>0</v>
      </c>
      <c r="AG78" s="1245">
        <f>CPQL!AG17</f>
        <v>0</v>
      </c>
      <c r="AH78" s="1245">
        <f>CPQL!AH17</f>
        <v>0</v>
      </c>
      <c r="AI78" s="1245">
        <f>CPQL!AI17</f>
        <v>0</v>
      </c>
      <c r="AJ78" s="1245">
        <f>CPQL!AJ17</f>
        <v>0</v>
      </c>
      <c r="AK78" s="998">
        <f t="shared" si="22"/>
        <v>0</v>
      </c>
      <c r="AM78" s="1245">
        <f>CPQL!AM17</f>
        <v>0</v>
      </c>
      <c r="AO78" s="1245">
        <f>CPQL!AO17</f>
        <v>0</v>
      </c>
      <c r="AQ78" s="1245"/>
      <c r="AR78" s="1011">
        <f t="shared" si="23"/>
        <v>0</v>
      </c>
      <c r="AS78" s="1338">
        <f t="shared" si="24"/>
        <v>0</v>
      </c>
    </row>
    <row r="79" spans="2:45" s="6" customFormat="1" x14ac:dyDescent="0.3">
      <c r="B79" s="589">
        <v>14</v>
      </c>
      <c r="C79" s="588">
        <v>7</v>
      </c>
      <c r="D79" s="981">
        <v>6423003002</v>
      </c>
      <c r="E79" s="638" t="s">
        <v>449</v>
      </c>
      <c r="F79" s="638" t="s">
        <v>580</v>
      </c>
      <c r="G79" s="578" t="str">
        <f>E79</f>
        <v>Chi phí đồ BHLĐ</v>
      </c>
      <c r="H79" s="588" t="s">
        <v>2234</v>
      </c>
      <c r="I79" s="638" t="s">
        <v>521</v>
      </c>
      <c r="J79" s="588" t="s">
        <v>2236</v>
      </c>
      <c r="K79" s="1245">
        <f ca="1">CPQL!K18</f>
        <v>1997592.5925925924</v>
      </c>
      <c r="L79" s="1245">
        <f ca="1">CPQL!L18</f>
        <v>1997592.5925925924</v>
      </c>
      <c r="M79" s="1245">
        <f ca="1">CPQL!M18</f>
        <v>1997592.5925925924</v>
      </c>
      <c r="N79" s="1245">
        <f ca="1">CPQL!N18</f>
        <v>1997592.5925925924</v>
      </c>
      <c r="O79" s="1245">
        <f ca="1">CPQL!O18</f>
        <v>1997592.5925925924</v>
      </c>
      <c r="P79" s="1245">
        <f ca="1">CPQL!P18</f>
        <v>1997592.5925925924</v>
      </c>
      <c r="Q79" s="1245">
        <f ca="1">CPQL!Q18</f>
        <v>1997592.5925925924</v>
      </c>
      <c r="R79" s="1245">
        <f ca="1">CPQL!R18</f>
        <v>1997592.5925925924</v>
      </c>
      <c r="S79" s="1245">
        <f ca="1">CPQL!S18</f>
        <v>1997592.5925925924</v>
      </c>
      <c r="T79" s="1245">
        <f ca="1">CPQL!T18</f>
        <v>1997592.5925925924</v>
      </c>
      <c r="U79" s="1245">
        <f ca="1">CPQL!U18</f>
        <v>1997592.5925925924</v>
      </c>
      <c r="V79" s="1245">
        <f ca="1">CPQL!V18</f>
        <v>1997592.5925925924</v>
      </c>
      <c r="W79" s="998">
        <f t="shared" ca="1" si="21"/>
        <v>23971111.111111116</v>
      </c>
      <c r="X79" s="496"/>
      <c r="Y79" s="1245">
        <f>CPQL!Y18</f>
        <v>0</v>
      </c>
      <c r="Z79" s="1245">
        <f>CPQL!Z18</f>
        <v>0</v>
      </c>
      <c r="AA79" s="1245">
        <f>CPQL!AA18</f>
        <v>1625000</v>
      </c>
      <c r="AB79" s="1245">
        <f>CPQL!AB18</f>
        <v>1625000</v>
      </c>
      <c r="AC79" s="1245">
        <f>CPQL!AC18</f>
        <v>1625000</v>
      </c>
      <c r="AD79" s="1245">
        <f>CPQL!AD18</f>
        <v>0</v>
      </c>
      <c r="AE79" s="1245">
        <f>CPQL!AE18</f>
        <v>0</v>
      </c>
      <c r="AF79" s="1245">
        <f>CPQL!AF18</f>
        <v>0</v>
      </c>
      <c r="AG79" s="1245">
        <f>CPQL!AG18</f>
        <v>0</v>
      </c>
      <c r="AH79" s="1245">
        <f>CPQL!AH18</f>
        <v>0</v>
      </c>
      <c r="AI79" s="1245">
        <f>CPQL!AI18</f>
        <v>0</v>
      </c>
      <c r="AJ79" s="1245">
        <f>CPQL!AJ18</f>
        <v>0</v>
      </c>
      <c r="AK79" s="998">
        <f t="shared" si="22"/>
        <v>4875000</v>
      </c>
      <c r="AM79" s="1245">
        <f>CPQL!AM18</f>
        <v>207750</v>
      </c>
      <c r="AO79" s="1245">
        <f>CPQL!AO18</f>
        <v>0</v>
      </c>
      <c r="AQ79" s="1245"/>
      <c r="AR79" s="1011">
        <f t="shared" ca="1" si="23"/>
        <v>19096111.111111116</v>
      </c>
      <c r="AS79" s="1338">
        <f t="shared" ca="1" si="24"/>
        <v>3.9171509971509977</v>
      </c>
    </row>
    <row r="80" spans="2:45" s="6" customFormat="1" x14ac:dyDescent="0.3">
      <c r="B80" s="589">
        <v>15</v>
      </c>
      <c r="C80" s="588">
        <v>7</v>
      </c>
      <c r="D80" s="981">
        <v>6423002402</v>
      </c>
      <c r="E80" s="638" t="s">
        <v>436</v>
      </c>
      <c r="F80" s="638" t="s">
        <v>580</v>
      </c>
      <c r="G80" s="578" t="str">
        <f>E80</f>
        <v>Chi phí CCDC, thiết bị - Phục vụ quản lý</v>
      </c>
      <c r="H80" s="588" t="s">
        <v>2234</v>
      </c>
      <c r="I80" s="638" t="s">
        <v>521</v>
      </c>
      <c r="J80" s="588" t="s">
        <v>2236</v>
      </c>
      <c r="K80" s="1245">
        <f ca="1">CPQL!K19</f>
        <v>6566102.222222222</v>
      </c>
      <c r="L80" s="1245">
        <f ca="1">CPQL!L19</f>
        <v>4566102.222222222</v>
      </c>
      <c r="M80" s="1245">
        <f ca="1">CPQL!M19</f>
        <v>4566102.222222222</v>
      </c>
      <c r="N80" s="1245">
        <f ca="1">CPQL!N19</f>
        <v>5904819.222222222</v>
      </c>
      <c r="O80" s="1245">
        <f ca="1">CPQL!O19</f>
        <v>3607211.222222222</v>
      </c>
      <c r="P80" s="1245">
        <f ca="1">CPQL!P19</f>
        <v>2572222.222222222</v>
      </c>
      <c r="Q80" s="1245">
        <f ca="1">CPQL!Q19</f>
        <v>4572222.222222222</v>
      </c>
      <c r="R80" s="1245">
        <f ca="1">CPQL!R19</f>
        <v>2572222.222222222</v>
      </c>
      <c r="S80" s="1245">
        <f ca="1">CPQL!S19</f>
        <v>2572222.222222222</v>
      </c>
      <c r="T80" s="1245">
        <f ca="1">CPQL!T19</f>
        <v>4572222.222222222</v>
      </c>
      <c r="U80" s="1245">
        <f ca="1">CPQL!U19</f>
        <v>2572222.222222222</v>
      </c>
      <c r="V80" s="1245">
        <f ca="1">CPQL!V19</f>
        <v>2572222.222222222</v>
      </c>
      <c r="W80" s="998">
        <f t="shared" ca="1" si="21"/>
        <v>47215892.666666679</v>
      </c>
      <c r="X80" s="496"/>
      <c r="Y80" s="1245">
        <f>CPQL!Y19</f>
        <v>5935925</v>
      </c>
      <c r="Z80" s="1245">
        <f>CPQL!Z19</f>
        <v>3925925</v>
      </c>
      <c r="AA80" s="1245">
        <f>CPQL!AA19</f>
        <v>3617216</v>
      </c>
      <c r="AB80" s="1245">
        <f>CPQL!AB19</f>
        <v>3617213</v>
      </c>
      <c r="AC80" s="1245">
        <f>CPQL!AC19</f>
        <v>4025393</v>
      </c>
      <c r="AD80" s="1245">
        <f>CPQL!AD19</f>
        <v>7931547</v>
      </c>
      <c r="AE80" s="1245">
        <f>CPQL!AE19</f>
        <v>4505547</v>
      </c>
      <c r="AF80" s="1245">
        <f>CPQL!AF19</f>
        <v>4235547</v>
      </c>
      <c r="AG80" s="1245">
        <f>CPQL!AG19</f>
        <v>3322210</v>
      </c>
      <c r="AH80" s="1245">
        <f>CPQL!AH19</f>
        <v>1993880</v>
      </c>
      <c r="AI80" s="1245">
        <f>CPQL!AI19</f>
        <v>1993880</v>
      </c>
      <c r="AJ80" s="1245">
        <f>CPQL!AJ19</f>
        <v>1993880</v>
      </c>
      <c r="AK80" s="998">
        <f t="shared" si="22"/>
        <v>47098163</v>
      </c>
      <c r="AM80" s="1245">
        <f>CPQL!AM19</f>
        <v>26505093</v>
      </c>
      <c r="AO80" s="1245">
        <f>CPQL!AO19</f>
        <v>11594124</v>
      </c>
      <c r="AQ80" s="1245">
        <v>36000000</v>
      </c>
      <c r="AR80" s="1011">
        <f t="shared" ca="1" si="23"/>
        <v>117729.66666667908</v>
      </c>
      <c r="AS80" s="1338">
        <f t="shared" ca="1" si="24"/>
        <v>2.4996657866822591E-3</v>
      </c>
    </row>
    <row r="81" spans="2:45" s="6" customFormat="1" x14ac:dyDescent="0.3">
      <c r="B81" s="589">
        <v>16</v>
      </c>
      <c r="C81" s="588">
        <v>8</v>
      </c>
      <c r="D81" s="981">
        <v>6423005101</v>
      </c>
      <c r="E81" s="638" t="s">
        <v>91</v>
      </c>
      <c r="F81" s="638" t="s">
        <v>572</v>
      </c>
      <c r="G81" s="578" t="s">
        <v>91</v>
      </c>
      <c r="H81" s="588" t="s">
        <v>2234</v>
      </c>
      <c r="I81" s="638" t="s">
        <v>521</v>
      </c>
      <c r="J81" s="588" t="s">
        <v>2236</v>
      </c>
      <c r="K81" s="1245">
        <f>CPQL!K20</f>
        <v>8611353.0749999993</v>
      </c>
      <c r="L81" s="1245">
        <f>CPQL!L20</f>
        <v>6948103.0750000002</v>
      </c>
      <c r="M81" s="1245">
        <f>CPQL!M20</f>
        <v>6770203.0750000002</v>
      </c>
      <c r="N81" s="1245">
        <f>CPQL!N20</f>
        <v>7460303.0750000002</v>
      </c>
      <c r="O81" s="1245">
        <f>CPQL!O20</f>
        <v>6680203.0750000002</v>
      </c>
      <c r="P81" s="1245">
        <f>CPQL!P20</f>
        <v>7892353.0750000002</v>
      </c>
      <c r="Q81" s="1245">
        <f>CPQL!Q20</f>
        <v>6810703.0750000002</v>
      </c>
      <c r="R81" s="1245">
        <f>CPQL!R20</f>
        <v>7369703.0750000002</v>
      </c>
      <c r="S81" s="1245">
        <f>CPQL!S20</f>
        <v>6837403.0750000002</v>
      </c>
      <c r="T81" s="1245">
        <f>CPQL!T20</f>
        <v>6929303.0750000002</v>
      </c>
      <c r="U81" s="1245">
        <f>CPQL!U20</f>
        <v>6782003.0750000002</v>
      </c>
      <c r="V81" s="1245">
        <f>CPQL!V20</f>
        <v>8465503.0749999993</v>
      </c>
      <c r="W81" s="998">
        <f t="shared" si="21"/>
        <v>87557136.900000021</v>
      </c>
      <c r="X81" s="496"/>
      <c r="Y81" s="1245">
        <f>CPQL!Y20</f>
        <v>2023944</v>
      </c>
      <c r="Z81" s="1245">
        <f>CPQL!Z20</f>
        <v>4457950</v>
      </c>
      <c r="AA81" s="1245">
        <f>CPQL!AA20</f>
        <v>6062344</v>
      </c>
      <c r="AB81" s="1245">
        <f>CPQL!AB20</f>
        <v>4586500</v>
      </c>
      <c r="AC81" s="1245">
        <f>CPQL!AC20</f>
        <v>5092216</v>
      </c>
      <c r="AD81" s="1245">
        <f>CPQL!AD20</f>
        <v>2417500</v>
      </c>
      <c r="AE81" s="1245">
        <f>CPQL!AE20</f>
        <v>11167698</v>
      </c>
      <c r="AF81" s="1245">
        <f>CPQL!AF20</f>
        <v>7910868</v>
      </c>
      <c r="AG81" s="1245">
        <f>CPQL!AG20</f>
        <v>5428820</v>
      </c>
      <c r="AH81" s="1245">
        <f>CPQL!AH20</f>
        <v>5460871</v>
      </c>
      <c r="AI81" s="1245">
        <f>CPQL!AI20</f>
        <v>5460871</v>
      </c>
      <c r="AJ81" s="1245">
        <f>CPQL!AJ20</f>
        <v>5460871</v>
      </c>
      <c r="AK81" s="998">
        <f t="shared" si="22"/>
        <v>65530453</v>
      </c>
      <c r="AM81" s="1245">
        <f>CPQL!AM20</f>
        <v>27836462</v>
      </c>
      <c r="AO81" s="1245">
        <f>CPQL!AO20</f>
        <v>22406346</v>
      </c>
      <c r="AQ81" s="1245">
        <v>12000000</v>
      </c>
      <c r="AR81" s="1011">
        <f t="shared" si="23"/>
        <v>22026683.900000021</v>
      </c>
      <c r="AS81" s="1338">
        <f t="shared" si="24"/>
        <v>0.33612897350183157</v>
      </c>
    </row>
    <row r="82" spans="2:45" s="6" customFormat="1" x14ac:dyDescent="0.3">
      <c r="B82" s="589">
        <v>17</v>
      </c>
      <c r="C82" s="588">
        <v>6</v>
      </c>
      <c r="D82" s="981">
        <v>6423006501</v>
      </c>
      <c r="E82" s="638" t="s">
        <v>473</v>
      </c>
      <c r="F82" s="638" t="s">
        <v>579</v>
      </c>
      <c r="G82" s="578" t="s">
        <v>90</v>
      </c>
      <c r="H82" s="588" t="s">
        <v>2234</v>
      </c>
      <c r="I82" s="578" t="s">
        <v>518</v>
      </c>
      <c r="J82" s="588" t="s">
        <v>2236</v>
      </c>
      <c r="K82" s="1245">
        <f ca="1">CPQL!K21</f>
        <v>0</v>
      </c>
      <c r="L82" s="1245">
        <f ca="1">CPQL!L21</f>
        <v>0</v>
      </c>
      <c r="M82" s="1245">
        <f ca="1">CPQL!M21</f>
        <v>0</v>
      </c>
      <c r="N82" s="1245">
        <f ca="1">CPQL!N21</f>
        <v>0</v>
      </c>
      <c r="O82" s="1245">
        <f ca="1">CPQL!O21</f>
        <v>0</v>
      </c>
      <c r="P82" s="1245">
        <f ca="1">CPQL!P21</f>
        <v>0</v>
      </c>
      <c r="Q82" s="1245">
        <f ca="1">CPQL!Q21</f>
        <v>0</v>
      </c>
      <c r="R82" s="1245">
        <f ca="1">CPQL!R21</f>
        <v>0</v>
      </c>
      <c r="S82" s="1245">
        <f ca="1">CPQL!S21</f>
        <v>0</v>
      </c>
      <c r="T82" s="1245">
        <f ca="1">CPQL!T21</f>
        <v>0</v>
      </c>
      <c r="U82" s="1245">
        <f ca="1">CPQL!U21</f>
        <v>0</v>
      </c>
      <c r="V82" s="1245">
        <f ca="1">CPQL!V21</f>
        <v>0</v>
      </c>
      <c r="W82" s="998">
        <f t="shared" ca="1" si="21"/>
        <v>0</v>
      </c>
      <c r="X82" s="496"/>
      <c r="Y82" s="1245">
        <f>CPQL!Y21</f>
        <v>0</v>
      </c>
      <c r="Z82" s="1245">
        <f>CPQL!Z21</f>
        <v>0</v>
      </c>
      <c r="AA82" s="1245">
        <f>CPQL!AA21</f>
        <v>0</v>
      </c>
      <c r="AB82" s="1245">
        <f>CPQL!AB21</f>
        <v>0</v>
      </c>
      <c r="AC82" s="1245">
        <f>CPQL!AC21</f>
        <v>0</v>
      </c>
      <c r="AD82" s="1245">
        <f>CPQL!AD21</f>
        <v>0</v>
      </c>
      <c r="AE82" s="1245">
        <f>CPQL!AE21</f>
        <v>0</v>
      </c>
      <c r="AF82" s="1245">
        <f>CPQL!AF21</f>
        <v>0</v>
      </c>
      <c r="AG82" s="1245">
        <f>CPQL!AG21</f>
        <v>0</v>
      </c>
      <c r="AH82" s="1245">
        <f>CPQL!AH21</f>
        <v>0</v>
      </c>
      <c r="AI82" s="1245">
        <f>CPQL!AI21</f>
        <v>0</v>
      </c>
      <c r="AJ82" s="1245">
        <f>CPQL!AJ21</f>
        <v>0</v>
      </c>
      <c r="AK82" s="998">
        <f t="shared" si="22"/>
        <v>0</v>
      </c>
      <c r="AM82" s="1245">
        <f>CPQL!AM21</f>
        <v>0</v>
      </c>
      <c r="AO82" s="1245">
        <f>CPQL!AO21</f>
        <v>0</v>
      </c>
      <c r="AQ82" s="1245"/>
      <c r="AR82" s="1011">
        <f t="shared" ca="1" si="23"/>
        <v>0</v>
      </c>
      <c r="AS82" s="1338">
        <f t="shared" ca="1" si="24"/>
        <v>0</v>
      </c>
    </row>
    <row r="83" spans="2:45" s="6" customFormat="1" x14ac:dyDescent="0.3">
      <c r="B83" s="589">
        <v>18</v>
      </c>
      <c r="C83" s="588">
        <v>16</v>
      </c>
      <c r="D83" s="981">
        <v>6425006101</v>
      </c>
      <c r="E83" s="638" t="s">
        <v>494</v>
      </c>
      <c r="F83" s="638" t="s">
        <v>588</v>
      </c>
      <c r="G83" s="578" t="str">
        <f>E83</f>
        <v>Chi phí công chứng, sao y, thuế khác</v>
      </c>
      <c r="H83" s="588" t="s">
        <v>2234</v>
      </c>
      <c r="I83" s="578" t="s">
        <v>522</v>
      </c>
      <c r="J83" s="588" t="s">
        <v>2236</v>
      </c>
      <c r="K83" s="1245">
        <f>CPQL!K22</f>
        <v>3000000</v>
      </c>
      <c r="L83" s="1245">
        <f>CPQL!L22</f>
        <v>0</v>
      </c>
      <c r="M83" s="1245">
        <f>CPQL!M22</f>
        <v>0</v>
      </c>
      <c r="N83" s="1245">
        <f>CPQL!N22</f>
        <v>0</v>
      </c>
      <c r="O83" s="1245">
        <f>CPQL!O22</f>
        <v>0</v>
      </c>
      <c r="P83" s="1245">
        <f>CPQL!P22</f>
        <v>0</v>
      </c>
      <c r="Q83" s="1245">
        <f>CPQL!Q22</f>
        <v>0</v>
      </c>
      <c r="R83" s="1245">
        <f>CPQL!R22</f>
        <v>0</v>
      </c>
      <c r="S83" s="1245">
        <f>CPQL!S22</f>
        <v>0</v>
      </c>
      <c r="T83" s="1245">
        <f>CPQL!T22</f>
        <v>0</v>
      </c>
      <c r="U83" s="1245">
        <f>CPQL!U22</f>
        <v>0</v>
      </c>
      <c r="V83" s="1245">
        <f>CPQL!V22</f>
        <v>0</v>
      </c>
      <c r="W83" s="998">
        <f t="shared" si="21"/>
        <v>3000000</v>
      </c>
      <c r="X83" s="496"/>
      <c r="Y83" s="1245">
        <f>CPQL!Y22</f>
        <v>3000000</v>
      </c>
      <c r="Z83" s="1245">
        <f>CPQL!Z22</f>
        <v>0</v>
      </c>
      <c r="AA83" s="1245">
        <f>CPQL!AA22</f>
        <v>0</v>
      </c>
      <c r="AB83" s="1245">
        <f>CPQL!AB22</f>
        <v>0</v>
      </c>
      <c r="AC83" s="1245">
        <f>CPQL!AC22</f>
        <v>0</v>
      </c>
      <c r="AD83" s="1245">
        <f>CPQL!AD22</f>
        <v>0</v>
      </c>
      <c r="AE83" s="1245">
        <f>CPQL!AE22</f>
        <v>0</v>
      </c>
      <c r="AF83" s="1245">
        <f>CPQL!AF22</f>
        <v>0</v>
      </c>
      <c r="AG83" s="1245">
        <f>CPQL!AG22</f>
        <v>0</v>
      </c>
      <c r="AH83" s="1245">
        <f>CPQL!AH22</f>
        <v>0</v>
      </c>
      <c r="AI83" s="1245">
        <f>CPQL!AI22</f>
        <v>0</v>
      </c>
      <c r="AJ83" s="1245">
        <f>CPQL!AJ22</f>
        <v>0</v>
      </c>
      <c r="AK83" s="998">
        <f t="shared" si="22"/>
        <v>3000000</v>
      </c>
      <c r="AM83" s="1245">
        <f>CPQL!AM22</f>
        <v>3000000</v>
      </c>
      <c r="AO83" s="1245">
        <f>CPQL!AO22</f>
        <v>3000000</v>
      </c>
      <c r="AQ83" s="1245">
        <v>3000000</v>
      </c>
      <c r="AR83" s="1011">
        <f t="shared" si="23"/>
        <v>0</v>
      </c>
      <c r="AS83" s="1338">
        <f t="shared" si="24"/>
        <v>0</v>
      </c>
    </row>
    <row r="84" spans="2:45" s="6" customFormat="1" x14ac:dyDescent="0.3">
      <c r="B84" s="589">
        <v>19</v>
      </c>
      <c r="C84" s="588">
        <v>28</v>
      </c>
      <c r="D84" s="981">
        <v>6426007001</v>
      </c>
      <c r="E84" s="638" t="s">
        <v>493</v>
      </c>
      <c r="F84" s="638" t="s">
        <v>589</v>
      </c>
      <c r="G84" s="578" t="str">
        <f>E84</f>
        <v>Dự phòng nợ khó đòi</v>
      </c>
      <c r="H84" s="588" t="s">
        <v>2234</v>
      </c>
      <c r="I84" s="578" t="s">
        <v>522</v>
      </c>
      <c r="J84" s="588" t="s">
        <v>2236</v>
      </c>
      <c r="K84" s="1245">
        <f>CPQL!K23</f>
        <v>6483974.416666667</v>
      </c>
      <c r="L84" s="1245">
        <f>CPQL!L23</f>
        <v>6483974.416666667</v>
      </c>
      <c r="M84" s="1245">
        <f>CPQL!M23</f>
        <v>6483974.416666667</v>
      </c>
      <c r="N84" s="1245">
        <f>CPQL!N23</f>
        <v>6483974.416666667</v>
      </c>
      <c r="O84" s="1245">
        <f>CPQL!O23</f>
        <v>6483974.416666667</v>
      </c>
      <c r="P84" s="1245">
        <f>CPQL!P23</f>
        <v>6483974.416666667</v>
      </c>
      <c r="Q84" s="1245">
        <f>CPQL!Q23</f>
        <v>6483974.416666667</v>
      </c>
      <c r="R84" s="1245">
        <f>CPQL!R23</f>
        <v>6483974.416666667</v>
      </c>
      <c r="S84" s="1245">
        <f>CPQL!S23</f>
        <v>6483974.416666667</v>
      </c>
      <c r="T84" s="1245">
        <f>CPQL!T23</f>
        <v>6483974.416666667</v>
      </c>
      <c r="U84" s="1245">
        <f>CPQL!U23</f>
        <v>6483974.416666667</v>
      </c>
      <c r="V84" s="1245">
        <f>CPQL!V23</f>
        <v>6483974.416666667</v>
      </c>
      <c r="W84" s="998">
        <f t="shared" si="21"/>
        <v>77807693</v>
      </c>
      <c r="X84" s="496"/>
      <c r="Y84" s="1245">
        <f>CPQL!Y23</f>
        <v>0</v>
      </c>
      <c r="Z84" s="1245">
        <f>CPQL!Z23</f>
        <v>0</v>
      </c>
      <c r="AA84" s="1245">
        <f>CPQL!AA23</f>
        <v>0</v>
      </c>
      <c r="AB84" s="1245">
        <f>CPQL!AB23</f>
        <v>0</v>
      </c>
      <c r="AC84" s="1245">
        <f>CPQL!AC23</f>
        <v>0</v>
      </c>
      <c r="AD84" s="1245">
        <f>CPQL!AD23</f>
        <v>0</v>
      </c>
      <c r="AE84" s="1245">
        <f>CPQL!AE23</f>
        <v>0</v>
      </c>
      <c r="AF84" s="1245">
        <f>CPQL!AF23</f>
        <v>0</v>
      </c>
      <c r="AG84" s="1245">
        <f>CPQL!AG23</f>
        <v>0</v>
      </c>
      <c r="AH84" s="1245">
        <f>CPQL!AH23</f>
        <v>0</v>
      </c>
      <c r="AI84" s="1245">
        <f>CPQL!AI23</f>
        <v>0</v>
      </c>
      <c r="AJ84" s="1245">
        <f>CPQL!AJ23</f>
        <v>0</v>
      </c>
      <c r="AK84" s="998">
        <f t="shared" si="22"/>
        <v>0</v>
      </c>
      <c r="AM84" s="1245">
        <f>CPQL!AM23</f>
        <v>0</v>
      </c>
      <c r="AO84" s="1245">
        <f>CPQL!AO23</f>
        <v>0</v>
      </c>
      <c r="AQ84" s="1245"/>
      <c r="AR84" s="1011">
        <f t="shared" si="23"/>
        <v>77807693</v>
      </c>
      <c r="AS84" s="1338">
        <f t="shared" si="24"/>
        <v>0</v>
      </c>
    </row>
    <row r="85" spans="2:45" s="6" customFormat="1" x14ac:dyDescent="0.3">
      <c r="B85" s="589">
        <v>20</v>
      </c>
      <c r="C85" s="588">
        <v>5</v>
      </c>
      <c r="D85" s="981">
        <v>6427001802</v>
      </c>
      <c r="E85" s="638" t="s">
        <v>453</v>
      </c>
      <c r="F85" s="638" t="s">
        <v>573</v>
      </c>
      <c r="G85" s="578" t="s">
        <v>97</v>
      </c>
      <c r="H85" s="588" t="s">
        <v>2234</v>
      </c>
      <c r="I85" s="578" t="s">
        <v>518</v>
      </c>
      <c r="J85" s="588" t="s">
        <v>2236</v>
      </c>
      <c r="K85" s="1245">
        <f>CPQL!K24</f>
        <v>0</v>
      </c>
      <c r="L85" s="1245">
        <f>CPQL!L24</f>
        <v>0</v>
      </c>
      <c r="M85" s="1245">
        <f>CPQL!M24</f>
        <v>0</v>
      </c>
      <c r="N85" s="1245">
        <f>CPQL!N24</f>
        <v>0</v>
      </c>
      <c r="O85" s="1245">
        <f>CPQL!O24</f>
        <v>0</v>
      </c>
      <c r="P85" s="1245">
        <f>CPQL!P24</f>
        <v>0</v>
      </c>
      <c r="Q85" s="1245">
        <f>CPQL!Q24</f>
        <v>0</v>
      </c>
      <c r="R85" s="1245">
        <f>CPQL!R24</f>
        <v>0</v>
      </c>
      <c r="S85" s="1245">
        <f>CPQL!S24</f>
        <v>0</v>
      </c>
      <c r="T85" s="1245">
        <f>CPQL!T24</f>
        <v>0</v>
      </c>
      <c r="U85" s="1245">
        <f>CPQL!U24</f>
        <v>0</v>
      </c>
      <c r="V85" s="1245">
        <f>CPQL!V24</f>
        <v>0</v>
      </c>
      <c r="W85" s="998">
        <f t="shared" si="21"/>
        <v>0</v>
      </c>
      <c r="X85" s="496"/>
      <c r="Y85" s="1245">
        <f>CPQL!Y24</f>
        <v>0</v>
      </c>
      <c r="Z85" s="1245">
        <f>CPQL!Z24</f>
        <v>0</v>
      </c>
      <c r="AA85" s="1245">
        <f>CPQL!AA24</f>
        <v>0</v>
      </c>
      <c r="AB85" s="1245">
        <f>CPQL!AB24</f>
        <v>0</v>
      </c>
      <c r="AC85" s="1245">
        <f>CPQL!AC24</f>
        <v>0</v>
      </c>
      <c r="AD85" s="1245">
        <f>CPQL!AD24</f>
        <v>0</v>
      </c>
      <c r="AE85" s="1245">
        <f>CPQL!AE24</f>
        <v>0</v>
      </c>
      <c r="AF85" s="1245">
        <f>CPQL!AF24</f>
        <v>0</v>
      </c>
      <c r="AG85" s="1245">
        <f>CPQL!AG24</f>
        <v>0</v>
      </c>
      <c r="AH85" s="1245">
        <f>CPQL!AH24</f>
        <v>0</v>
      </c>
      <c r="AI85" s="1245">
        <f>CPQL!AI24</f>
        <v>0</v>
      </c>
      <c r="AJ85" s="1245">
        <f>CPQL!AJ24</f>
        <v>0</v>
      </c>
      <c r="AK85" s="998">
        <f t="shared" si="22"/>
        <v>0</v>
      </c>
      <c r="AM85" s="1245">
        <f>CPQL!AM24</f>
        <v>0</v>
      </c>
      <c r="AO85" s="1245">
        <f>CPQL!AO24</f>
        <v>0</v>
      </c>
      <c r="AQ85" s="1245"/>
      <c r="AR85" s="1011">
        <f t="shared" si="23"/>
        <v>0</v>
      </c>
      <c r="AS85" s="1338">
        <f t="shared" si="24"/>
        <v>0</v>
      </c>
    </row>
    <row r="86" spans="2:45" s="6" customFormat="1" x14ac:dyDescent="0.3">
      <c r="B86" s="589">
        <v>21</v>
      </c>
      <c r="C86" s="588">
        <v>6</v>
      </c>
      <c r="D86" s="981">
        <v>6427002001</v>
      </c>
      <c r="E86" s="638" t="s">
        <v>447</v>
      </c>
      <c r="F86" s="638" t="s">
        <v>579</v>
      </c>
      <c r="G86" s="578" t="str">
        <f>E86</f>
        <v>Chi phí xây dựng, sửa chữa nhà xưởng, văn phòng</v>
      </c>
      <c r="H86" s="588" t="s">
        <v>2234</v>
      </c>
      <c r="I86" s="578" t="s">
        <v>514</v>
      </c>
      <c r="J86" s="588" t="s">
        <v>2236</v>
      </c>
      <c r="K86" s="1245">
        <f ca="1">CPQL!K25</f>
        <v>3574862</v>
      </c>
      <c r="L86" s="1245">
        <f ca="1">CPQL!L25</f>
        <v>3574862</v>
      </c>
      <c r="M86" s="1245">
        <f ca="1">CPQL!M25</f>
        <v>3574862</v>
      </c>
      <c r="N86" s="1245">
        <f ca="1">CPQL!N25</f>
        <v>3574862</v>
      </c>
      <c r="O86" s="1245">
        <f ca="1">CPQL!O25</f>
        <v>3574862</v>
      </c>
      <c r="P86" s="1245">
        <f ca="1">CPQL!P25</f>
        <v>3574858</v>
      </c>
      <c r="Q86" s="1245">
        <f ca="1">CPQL!Q25</f>
        <v>2885695</v>
      </c>
      <c r="R86" s="1245">
        <f ca="1">CPQL!R25</f>
        <v>2885695</v>
      </c>
      <c r="S86" s="1245">
        <f ca="1">CPQL!S25</f>
        <v>2885695</v>
      </c>
      <c r="T86" s="1245">
        <f ca="1">CPQL!T25</f>
        <v>2885695</v>
      </c>
      <c r="U86" s="1245">
        <f ca="1">CPQL!U25</f>
        <v>2885695</v>
      </c>
      <c r="V86" s="1245">
        <f ca="1">CPQL!V25</f>
        <v>2885695</v>
      </c>
      <c r="W86" s="998">
        <f t="shared" ca="1" si="21"/>
        <v>38763338</v>
      </c>
      <c r="X86" s="496"/>
      <c r="Y86" s="1245">
        <f>CPQL!Y25</f>
        <v>0</v>
      </c>
      <c r="Z86" s="1245">
        <f>CPQL!Z25</f>
        <v>2264732</v>
      </c>
      <c r="AA86" s="1245">
        <f>CPQL!AA25</f>
        <v>1359732</v>
      </c>
      <c r="AB86" s="1245">
        <f>CPQL!AB25</f>
        <v>1359732</v>
      </c>
      <c r="AC86" s="1245">
        <f>CPQL!AC25</f>
        <v>1359732</v>
      </c>
      <c r="AD86" s="1245">
        <f>CPQL!AD25</f>
        <v>2034732</v>
      </c>
      <c r="AE86" s="1245">
        <f>CPQL!AE25</f>
        <v>2723899</v>
      </c>
      <c r="AF86" s="1245">
        <f>CPQL!AF25</f>
        <v>4928344</v>
      </c>
      <c r="AG86" s="1245">
        <f>CPQL!AG25</f>
        <v>5609594</v>
      </c>
      <c r="AH86" s="1245">
        <f>CPQL!AH25</f>
        <v>5609594</v>
      </c>
      <c r="AI86" s="1245">
        <f>CPQL!AI25</f>
        <v>5609594</v>
      </c>
      <c r="AJ86" s="1245">
        <f>CPQL!AJ25</f>
        <v>3574862</v>
      </c>
      <c r="AK86" s="998">
        <f t="shared" si="22"/>
        <v>36434547</v>
      </c>
      <c r="AM86" s="1245">
        <f>CPQL!AM25</f>
        <v>14758900</v>
      </c>
      <c r="AO86" s="1245">
        <f>CPQL!AO25</f>
        <v>81939436</v>
      </c>
      <c r="AQ86" s="1245"/>
      <c r="AR86" s="1011">
        <f t="shared" ca="1" si="23"/>
        <v>2328791</v>
      </c>
      <c r="AS86" s="1338">
        <f t="shared" ca="1" si="24"/>
        <v>6.3917111416261108E-2</v>
      </c>
    </row>
    <row r="87" spans="2:45" s="6" customFormat="1" x14ac:dyDescent="0.3">
      <c r="B87" s="589">
        <v>22</v>
      </c>
      <c r="C87" s="588">
        <v>17</v>
      </c>
      <c r="D87" s="981">
        <v>6427002301</v>
      </c>
      <c r="E87" s="638" t="s">
        <v>485</v>
      </c>
      <c r="F87" s="638" t="s">
        <v>577</v>
      </c>
      <c r="G87" s="578" t="str">
        <f>E87</f>
        <v>Chi phí bảo hiểm tài sản</v>
      </c>
      <c r="H87" s="588" t="s">
        <v>2234</v>
      </c>
      <c r="I87" s="578" t="s">
        <v>522</v>
      </c>
      <c r="J87" s="588" t="s">
        <v>2236</v>
      </c>
      <c r="K87" s="1245">
        <f>CPQL!K26</f>
        <v>0</v>
      </c>
      <c r="L87" s="1245">
        <f>CPQL!L26</f>
        <v>0</v>
      </c>
      <c r="M87" s="1245">
        <f>CPQL!M26</f>
        <v>0</v>
      </c>
      <c r="N87" s="1245">
        <f>CPQL!N26</f>
        <v>0</v>
      </c>
      <c r="O87" s="1245">
        <f>CPQL!O26</f>
        <v>0</v>
      </c>
      <c r="P87" s="1245">
        <f>CPQL!P26</f>
        <v>0</v>
      </c>
      <c r="Q87" s="1245">
        <f>CPQL!Q26</f>
        <v>0</v>
      </c>
      <c r="R87" s="1245">
        <f>CPQL!R26</f>
        <v>0</v>
      </c>
      <c r="S87" s="1245">
        <f>CPQL!S26</f>
        <v>0</v>
      </c>
      <c r="T87" s="1245">
        <f>CPQL!T26</f>
        <v>0</v>
      </c>
      <c r="U87" s="1245">
        <f>CPQL!U26</f>
        <v>0</v>
      </c>
      <c r="V87" s="1245">
        <f>CPQL!V26</f>
        <v>0</v>
      </c>
      <c r="W87" s="998">
        <f t="shared" si="21"/>
        <v>0</v>
      </c>
      <c r="X87" s="496"/>
      <c r="Y87" s="1245">
        <f>CPQL!Y26</f>
        <v>0</v>
      </c>
      <c r="Z87" s="1245">
        <f>CPQL!Z26</f>
        <v>0</v>
      </c>
      <c r="AA87" s="1245">
        <f>CPQL!AA26</f>
        <v>0</v>
      </c>
      <c r="AB87" s="1245">
        <f>CPQL!AB26</f>
        <v>0</v>
      </c>
      <c r="AC87" s="1245">
        <f>CPQL!AC26</f>
        <v>0</v>
      </c>
      <c r="AD87" s="1245">
        <f>CPQL!AD26</f>
        <v>0</v>
      </c>
      <c r="AE87" s="1245">
        <f>CPQL!AE26</f>
        <v>0</v>
      </c>
      <c r="AF87" s="1245">
        <f>CPQL!AF26</f>
        <v>0</v>
      </c>
      <c r="AG87" s="1245">
        <f>CPQL!AG26</f>
        <v>0</v>
      </c>
      <c r="AH87" s="1245">
        <f>CPQL!AH26</f>
        <v>0</v>
      </c>
      <c r="AI87" s="1245">
        <f>CPQL!AI26</f>
        <v>0</v>
      </c>
      <c r="AJ87" s="1245">
        <f>CPQL!AJ26</f>
        <v>0</v>
      </c>
      <c r="AK87" s="998">
        <f t="shared" si="22"/>
        <v>0</v>
      </c>
      <c r="AM87" s="1245">
        <f>CPQL!AM26</f>
        <v>0</v>
      </c>
      <c r="AO87" s="1245">
        <f>CPQL!AO26</f>
        <v>0</v>
      </c>
      <c r="AQ87" s="1245"/>
      <c r="AR87" s="1011">
        <f t="shared" si="23"/>
        <v>0</v>
      </c>
      <c r="AS87" s="1338">
        <f t="shared" si="24"/>
        <v>0</v>
      </c>
    </row>
    <row r="88" spans="2:45" s="6" customFormat="1" x14ac:dyDescent="0.3">
      <c r="B88" s="589">
        <v>23</v>
      </c>
      <c r="C88" s="588">
        <v>32</v>
      </c>
      <c r="D88" s="981">
        <v>6427002804</v>
      </c>
      <c r="E88" s="638" t="s">
        <v>451</v>
      </c>
      <c r="F88" s="638" t="s">
        <v>575</v>
      </c>
      <c r="G88" s="578" t="str">
        <f>E88</f>
        <v>Tiền nước uống</v>
      </c>
      <c r="H88" s="588" t="s">
        <v>2234</v>
      </c>
      <c r="I88" s="638" t="s">
        <v>521</v>
      </c>
      <c r="J88" s="588" t="s">
        <v>2236</v>
      </c>
      <c r="K88" s="1245">
        <f>CPQL!K27</f>
        <v>0</v>
      </c>
      <c r="L88" s="1245">
        <f>CPQL!L27</f>
        <v>0</v>
      </c>
      <c r="M88" s="1245">
        <f>CPQL!M27</f>
        <v>0</v>
      </c>
      <c r="N88" s="1245">
        <f>CPQL!N27</f>
        <v>0</v>
      </c>
      <c r="O88" s="1245">
        <f>CPQL!O27</f>
        <v>0</v>
      </c>
      <c r="P88" s="1245">
        <f>CPQL!P27</f>
        <v>0</v>
      </c>
      <c r="Q88" s="1245">
        <f>CPQL!Q27</f>
        <v>0</v>
      </c>
      <c r="R88" s="1245">
        <f>CPQL!R27</f>
        <v>0</v>
      </c>
      <c r="S88" s="1245">
        <f>CPQL!S27</f>
        <v>0</v>
      </c>
      <c r="T88" s="1245">
        <f>CPQL!T27</f>
        <v>0</v>
      </c>
      <c r="U88" s="1245">
        <f>CPQL!U27</f>
        <v>0</v>
      </c>
      <c r="V88" s="1245">
        <f>CPQL!V27</f>
        <v>0</v>
      </c>
      <c r="W88" s="998">
        <f t="shared" si="21"/>
        <v>0</v>
      </c>
      <c r="X88" s="496"/>
      <c r="Y88" s="1245">
        <f>CPQL!Y27</f>
        <v>0</v>
      </c>
      <c r="Z88" s="1245">
        <f>CPQL!Z27</f>
        <v>0</v>
      </c>
      <c r="AA88" s="1245">
        <f>CPQL!AA27</f>
        <v>0</v>
      </c>
      <c r="AB88" s="1245">
        <f>CPQL!AB27</f>
        <v>0</v>
      </c>
      <c r="AC88" s="1245">
        <f>CPQL!AC27</f>
        <v>0</v>
      </c>
      <c r="AD88" s="1245">
        <f>CPQL!AD27</f>
        <v>0</v>
      </c>
      <c r="AE88" s="1245">
        <f>CPQL!AE27</f>
        <v>0</v>
      </c>
      <c r="AF88" s="1245">
        <f>CPQL!AF27</f>
        <v>0</v>
      </c>
      <c r="AG88" s="1245">
        <f>CPQL!AG27</f>
        <v>0</v>
      </c>
      <c r="AH88" s="1245">
        <f>CPQL!AH27</f>
        <v>0</v>
      </c>
      <c r="AI88" s="1245">
        <f>CPQL!AI27</f>
        <v>0</v>
      </c>
      <c r="AJ88" s="1245">
        <f>CPQL!AJ27</f>
        <v>0</v>
      </c>
      <c r="AK88" s="998">
        <f t="shared" si="22"/>
        <v>0</v>
      </c>
      <c r="AM88" s="1245">
        <f>CPQL!AM27</f>
        <v>0</v>
      </c>
      <c r="AO88" s="1245">
        <f>CPQL!AO27</f>
        <v>0</v>
      </c>
      <c r="AQ88" s="1245"/>
      <c r="AR88" s="1011">
        <f t="shared" si="23"/>
        <v>0</v>
      </c>
      <c r="AS88" s="1338">
        <f t="shared" si="24"/>
        <v>0</v>
      </c>
    </row>
    <row r="89" spans="2:45" s="6" customFormat="1" x14ac:dyDescent="0.3">
      <c r="B89" s="589">
        <v>24</v>
      </c>
      <c r="C89" s="588">
        <v>2</v>
      </c>
      <c r="D89" s="981">
        <v>6427003302</v>
      </c>
      <c r="E89" s="638" t="s">
        <v>446</v>
      </c>
      <c r="F89" s="638" t="s">
        <v>585</v>
      </c>
      <c r="G89" s="578" t="str">
        <f>E89</f>
        <v>Chi phí đào tạo</v>
      </c>
      <c r="H89" s="588" t="s">
        <v>2234</v>
      </c>
      <c r="I89" s="638" t="s">
        <v>521</v>
      </c>
      <c r="J89" s="588" t="s">
        <v>2236</v>
      </c>
      <c r="K89" s="1245">
        <f>CPQL!K28</f>
        <v>0</v>
      </c>
      <c r="L89" s="1245">
        <f>CPQL!L28</f>
        <v>0</v>
      </c>
      <c r="M89" s="1245">
        <f>CPQL!M28</f>
        <v>0</v>
      </c>
      <c r="N89" s="1245">
        <f>CPQL!N28</f>
        <v>0</v>
      </c>
      <c r="O89" s="1245">
        <f>CPQL!O28</f>
        <v>6300000</v>
      </c>
      <c r="P89" s="1245">
        <f>CPQL!P28</f>
        <v>0</v>
      </c>
      <c r="Q89" s="1245">
        <f>CPQL!Q28</f>
        <v>2500000</v>
      </c>
      <c r="R89" s="1245">
        <f>CPQL!R28</f>
        <v>0</v>
      </c>
      <c r="S89" s="1245">
        <f>CPQL!S28</f>
        <v>0</v>
      </c>
      <c r="T89" s="1245">
        <f>CPQL!T28</f>
        <v>11300000</v>
      </c>
      <c r="U89" s="1245">
        <f>CPQL!U28</f>
        <v>0</v>
      </c>
      <c r="V89" s="1245">
        <f>CPQL!V28</f>
        <v>0</v>
      </c>
      <c r="W89" s="998">
        <f t="shared" si="21"/>
        <v>20100000</v>
      </c>
      <c r="X89" s="496"/>
      <c r="Y89" s="1245">
        <f>CPQL!Y28</f>
        <v>0</v>
      </c>
      <c r="Z89" s="1245">
        <f>CPQL!Z28</f>
        <v>0</v>
      </c>
      <c r="AA89" s="1245">
        <f>CPQL!AA28</f>
        <v>0</v>
      </c>
      <c r="AB89" s="1245">
        <f>CPQL!AB28</f>
        <v>0</v>
      </c>
      <c r="AC89" s="1245">
        <f>CPQL!AC28</f>
        <v>3000000</v>
      </c>
      <c r="AD89" s="1245">
        <f>CPQL!AD28</f>
        <v>8000000</v>
      </c>
      <c r="AE89" s="1245">
        <f>CPQL!AE28</f>
        <v>7650000</v>
      </c>
      <c r="AF89" s="1245">
        <f>CPQL!AF28</f>
        <v>0</v>
      </c>
      <c r="AG89" s="1245">
        <f>CPQL!AG28</f>
        <v>0</v>
      </c>
      <c r="AH89" s="1245">
        <f>CPQL!AH28</f>
        <v>5000000</v>
      </c>
      <c r="AI89" s="1245">
        <f>CPQL!AI28</f>
        <v>0</v>
      </c>
      <c r="AJ89" s="1245">
        <f>CPQL!AJ28</f>
        <v>0</v>
      </c>
      <c r="AK89" s="998">
        <f t="shared" si="22"/>
        <v>23650000</v>
      </c>
      <c r="AM89" s="1245">
        <f>CPQL!AM28</f>
        <v>0</v>
      </c>
      <c r="AO89" s="1245">
        <f>CPQL!AO28</f>
        <v>0</v>
      </c>
      <c r="AQ89" s="1245"/>
      <c r="AR89" s="1011">
        <f t="shared" si="23"/>
        <v>-3550000</v>
      </c>
      <c r="AS89" s="1338">
        <f t="shared" si="24"/>
        <v>-0.15010570824524316</v>
      </c>
    </row>
    <row r="90" spans="2:45" s="6" customFormat="1" x14ac:dyDescent="0.3">
      <c r="B90" s="589">
        <v>25</v>
      </c>
      <c r="C90" s="588">
        <v>20</v>
      </c>
      <c r="D90" s="981">
        <v>6427003301</v>
      </c>
      <c r="E90" s="638" t="s">
        <v>486</v>
      </c>
      <c r="F90" s="638" t="s">
        <v>586</v>
      </c>
      <c r="G90" s="578" t="str">
        <f>E90</f>
        <v>Chi phí tuyển dụng</v>
      </c>
      <c r="H90" s="588" t="s">
        <v>2234</v>
      </c>
      <c r="I90" s="638" t="s">
        <v>521</v>
      </c>
      <c r="J90" s="588" t="s">
        <v>2236</v>
      </c>
      <c r="K90" s="1245">
        <f>CPQL!K29</f>
        <v>0</v>
      </c>
      <c r="L90" s="1245">
        <f>CPQL!L29</f>
        <v>0</v>
      </c>
      <c r="M90" s="1245">
        <f>CPQL!M29</f>
        <v>0</v>
      </c>
      <c r="N90" s="1245">
        <f>CPQL!N29</f>
        <v>0</v>
      </c>
      <c r="O90" s="1245">
        <f>CPQL!O29</f>
        <v>0</v>
      </c>
      <c r="P90" s="1245">
        <f>CPQL!P29</f>
        <v>0</v>
      </c>
      <c r="Q90" s="1245">
        <f>CPQL!Q29</f>
        <v>0</v>
      </c>
      <c r="R90" s="1245">
        <f>CPQL!R29</f>
        <v>0</v>
      </c>
      <c r="S90" s="1245">
        <f>CPQL!S29</f>
        <v>0</v>
      </c>
      <c r="T90" s="1245">
        <f>CPQL!T29</f>
        <v>0</v>
      </c>
      <c r="U90" s="1245">
        <f>CPQL!U29</f>
        <v>0</v>
      </c>
      <c r="V90" s="1245">
        <f>CPQL!V29</f>
        <v>0</v>
      </c>
      <c r="W90" s="998">
        <f t="shared" si="21"/>
        <v>0</v>
      </c>
      <c r="X90" s="496"/>
      <c r="Y90" s="1245">
        <f>CPQL!Y29</f>
        <v>0</v>
      </c>
      <c r="Z90" s="1245">
        <f>CPQL!Z29</f>
        <v>0</v>
      </c>
      <c r="AA90" s="1245">
        <f>CPQL!AA29</f>
        <v>0</v>
      </c>
      <c r="AB90" s="1245">
        <f>CPQL!AB29</f>
        <v>0</v>
      </c>
      <c r="AC90" s="1245">
        <f>CPQL!AC29</f>
        <v>0</v>
      </c>
      <c r="AD90" s="1245">
        <f>CPQL!AD29</f>
        <v>0</v>
      </c>
      <c r="AE90" s="1245">
        <f>CPQL!AE29</f>
        <v>0</v>
      </c>
      <c r="AF90" s="1245">
        <f>CPQL!AF29</f>
        <v>0</v>
      </c>
      <c r="AG90" s="1245">
        <f>CPQL!AG29</f>
        <v>0</v>
      </c>
      <c r="AH90" s="1245">
        <f>CPQL!AH29</f>
        <v>0</v>
      </c>
      <c r="AI90" s="1245">
        <f>CPQL!AI29</f>
        <v>0</v>
      </c>
      <c r="AJ90" s="1245">
        <f>CPQL!AJ29</f>
        <v>0</v>
      </c>
      <c r="AK90" s="998">
        <f t="shared" si="22"/>
        <v>0</v>
      </c>
      <c r="AM90" s="1245">
        <f>CPQL!AM29</f>
        <v>0</v>
      </c>
      <c r="AO90" s="1245">
        <f>CPQL!AO29</f>
        <v>0</v>
      </c>
      <c r="AQ90" s="1245"/>
      <c r="AR90" s="1011">
        <f t="shared" si="23"/>
        <v>0</v>
      </c>
      <c r="AS90" s="1338">
        <f t="shared" si="24"/>
        <v>0</v>
      </c>
    </row>
    <row r="91" spans="2:45" s="6" customFormat="1" x14ac:dyDescent="0.3">
      <c r="B91" s="589">
        <v>26</v>
      </c>
      <c r="C91" s="588">
        <v>37</v>
      </c>
      <c r="D91" s="981">
        <v>6427003604</v>
      </c>
      <c r="E91" s="638" t="s">
        <v>491</v>
      </c>
      <c r="F91" s="638" t="s">
        <v>570</v>
      </c>
      <c r="G91" s="578" t="s">
        <v>89</v>
      </c>
      <c r="H91" s="588" t="s">
        <v>2234</v>
      </c>
      <c r="I91" s="638" t="s">
        <v>521</v>
      </c>
      <c r="J91" s="588" t="s">
        <v>2235</v>
      </c>
      <c r="K91" s="1245">
        <f>CPQL!K30</f>
        <v>41111111.111111112</v>
      </c>
      <c r="L91" s="1245">
        <f>CPQL!L30</f>
        <v>41111111.111111112</v>
      </c>
      <c r="M91" s="1245">
        <f>CPQL!M30</f>
        <v>41111111.111111112</v>
      </c>
      <c r="N91" s="1245">
        <f>CPQL!N30</f>
        <v>41111111.111111112</v>
      </c>
      <c r="O91" s="1245">
        <f>CPQL!O30</f>
        <v>41111111.111111112</v>
      </c>
      <c r="P91" s="1245">
        <f>CPQL!P30</f>
        <v>41111111.111111112</v>
      </c>
      <c r="Q91" s="1245">
        <f>CPQL!Q30</f>
        <v>41111111.111111112</v>
      </c>
      <c r="R91" s="1245">
        <f>CPQL!R30</f>
        <v>41111111.111111112</v>
      </c>
      <c r="S91" s="1245">
        <f>CPQL!S30</f>
        <v>41111111.111111112</v>
      </c>
      <c r="T91" s="1245">
        <f>CPQL!T30</f>
        <v>41111111.111111112</v>
      </c>
      <c r="U91" s="1245">
        <f>CPQL!U30</f>
        <v>41111111.111111112</v>
      </c>
      <c r="V91" s="1245">
        <f>CPQL!V30</f>
        <v>41111111.111111112</v>
      </c>
      <c r="W91" s="998">
        <f t="shared" si="21"/>
        <v>493333333.33333331</v>
      </c>
      <c r="X91" s="496"/>
      <c r="Y91" s="1245">
        <f>CPQL!Y30</f>
        <v>0</v>
      </c>
      <c r="Z91" s="1245">
        <f>CPQL!Z30</f>
        <v>0</v>
      </c>
      <c r="AA91" s="1245">
        <f>CPQL!AA30</f>
        <v>0</v>
      </c>
      <c r="AB91" s="1245">
        <f>CPQL!AB30</f>
        <v>0</v>
      </c>
      <c r="AC91" s="1245">
        <f>CPQL!AC30</f>
        <v>0</v>
      </c>
      <c r="AD91" s="1245">
        <f>CPQL!AD30</f>
        <v>0</v>
      </c>
      <c r="AE91" s="1245">
        <f>CPQL!AE30</f>
        <v>73311500</v>
      </c>
      <c r="AF91" s="1245">
        <f>CPQL!AF30</f>
        <v>44240722</v>
      </c>
      <c r="AG91" s="1245">
        <f>CPQL!AG30</f>
        <v>37598889</v>
      </c>
      <c r="AH91" s="1245">
        <f>CPQL!AH30</f>
        <v>38810639</v>
      </c>
      <c r="AI91" s="1245">
        <f>CPQL!AI30</f>
        <v>38810639</v>
      </c>
      <c r="AJ91" s="1245">
        <f>CPQL!AJ30</f>
        <v>38810639</v>
      </c>
      <c r="AK91" s="998">
        <f t="shared" si="22"/>
        <v>271583028</v>
      </c>
      <c r="AM91" s="1245">
        <f>CPQL!AM30</f>
        <v>0</v>
      </c>
      <c r="AO91" s="1245">
        <f>CPQL!AO30</f>
        <v>32412276</v>
      </c>
      <c r="AQ91" s="1245"/>
      <c r="AR91" s="1011">
        <f t="shared" si="23"/>
        <v>221750305.33333331</v>
      </c>
      <c r="AS91" s="1338">
        <f t="shared" si="24"/>
        <v>0.81651017357878963</v>
      </c>
    </row>
    <row r="92" spans="2:45" s="6" customFormat="1" x14ac:dyDescent="0.3">
      <c r="B92" s="589">
        <v>27</v>
      </c>
      <c r="C92" s="588">
        <v>37</v>
      </c>
      <c r="D92" s="981">
        <v>6427003703</v>
      </c>
      <c r="E92" s="638" t="s">
        <v>490</v>
      </c>
      <c r="F92" s="638" t="s">
        <v>570</v>
      </c>
      <c r="G92" s="578" t="str">
        <f>E92</f>
        <v>Chi phí gởi xe du lịch, xe gắn máy</v>
      </c>
      <c r="H92" s="588" t="s">
        <v>2234</v>
      </c>
      <c r="I92" s="638" t="s">
        <v>521</v>
      </c>
      <c r="J92" s="588" t="s">
        <v>2235</v>
      </c>
      <c r="K92" s="1245">
        <f>CPQL!K31</f>
        <v>0</v>
      </c>
      <c r="L92" s="1245">
        <f>CPQL!L31</f>
        <v>0</v>
      </c>
      <c r="M92" s="1245">
        <f>CPQL!M31</f>
        <v>0</v>
      </c>
      <c r="N92" s="1245">
        <f>CPQL!N31</f>
        <v>0</v>
      </c>
      <c r="O92" s="1245">
        <f>CPQL!O31</f>
        <v>0</v>
      </c>
      <c r="P92" s="1245">
        <f>CPQL!P31</f>
        <v>0</v>
      </c>
      <c r="Q92" s="1245">
        <f>CPQL!Q31</f>
        <v>0</v>
      </c>
      <c r="R92" s="1245">
        <f>CPQL!R31</f>
        <v>0</v>
      </c>
      <c r="S92" s="1245">
        <f>CPQL!S31</f>
        <v>0</v>
      </c>
      <c r="T92" s="1245">
        <f>CPQL!T31</f>
        <v>0</v>
      </c>
      <c r="U92" s="1245">
        <f>CPQL!U31</f>
        <v>0</v>
      </c>
      <c r="V92" s="1245">
        <f>CPQL!V31</f>
        <v>0</v>
      </c>
      <c r="W92" s="998">
        <f t="shared" si="21"/>
        <v>0</v>
      </c>
      <c r="X92" s="496"/>
      <c r="Y92" s="1245">
        <f>CPQL!Y31</f>
        <v>0</v>
      </c>
      <c r="Z92" s="1245">
        <f>CPQL!Z31</f>
        <v>0</v>
      </c>
      <c r="AA92" s="1245">
        <f>CPQL!AA31</f>
        <v>0</v>
      </c>
      <c r="AB92" s="1245">
        <f>CPQL!AB31</f>
        <v>0</v>
      </c>
      <c r="AC92" s="1245">
        <f>CPQL!AC31</f>
        <v>0</v>
      </c>
      <c r="AD92" s="1245">
        <f>CPQL!AD31</f>
        <v>0</v>
      </c>
      <c r="AE92" s="1245">
        <f>CPQL!AE31</f>
        <v>0</v>
      </c>
      <c r="AF92" s="1245">
        <f>CPQL!AF31</f>
        <v>0</v>
      </c>
      <c r="AG92" s="1245">
        <f>CPQL!AG31</f>
        <v>0</v>
      </c>
      <c r="AH92" s="1245">
        <f>CPQL!AH31</f>
        <v>0</v>
      </c>
      <c r="AI92" s="1245">
        <f>CPQL!AI31</f>
        <v>0</v>
      </c>
      <c r="AJ92" s="1245">
        <f>CPQL!AJ31</f>
        <v>0</v>
      </c>
      <c r="AK92" s="998">
        <f t="shared" si="22"/>
        <v>0</v>
      </c>
      <c r="AM92" s="1245">
        <f>CPQL!AM31</f>
        <v>0</v>
      </c>
      <c r="AO92" s="1245">
        <f>CPQL!AO31</f>
        <v>0</v>
      </c>
      <c r="AQ92" s="1245"/>
      <c r="AR92" s="1011">
        <f t="shared" si="23"/>
        <v>0</v>
      </c>
      <c r="AS92" s="1338">
        <f t="shared" si="24"/>
        <v>0</v>
      </c>
    </row>
    <row r="93" spans="2:45" s="6" customFormat="1" x14ac:dyDescent="0.3">
      <c r="B93" s="589">
        <v>28</v>
      </c>
      <c r="C93" s="588">
        <v>10</v>
      </c>
      <c r="D93" s="981">
        <v>6427003801</v>
      </c>
      <c r="E93" s="638" t="s">
        <v>488</v>
      </c>
      <c r="F93" s="638" t="s">
        <v>596</v>
      </c>
      <c r="G93" s="578" t="str">
        <f>E93</f>
        <v>Phí cầu đường xe</v>
      </c>
      <c r="H93" s="588" t="s">
        <v>2234</v>
      </c>
      <c r="I93" s="638" t="s">
        <v>521</v>
      </c>
      <c r="J93" s="588" t="s">
        <v>2236</v>
      </c>
      <c r="K93" s="1245">
        <f>CPQL!K32</f>
        <v>0</v>
      </c>
      <c r="L93" s="1245">
        <f>CPQL!L32</f>
        <v>0</v>
      </c>
      <c r="M93" s="1245">
        <f>CPQL!M32</f>
        <v>0</v>
      </c>
      <c r="N93" s="1245">
        <f>CPQL!N32</f>
        <v>0</v>
      </c>
      <c r="O93" s="1245">
        <f>CPQL!O32</f>
        <v>0</v>
      </c>
      <c r="P93" s="1245">
        <f>CPQL!P32</f>
        <v>0</v>
      </c>
      <c r="Q93" s="1245">
        <f>CPQL!Q32</f>
        <v>0</v>
      </c>
      <c r="R93" s="1245">
        <f>CPQL!R32</f>
        <v>0</v>
      </c>
      <c r="S93" s="1245">
        <f>CPQL!S32</f>
        <v>0</v>
      </c>
      <c r="T93" s="1245">
        <f>CPQL!T32</f>
        <v>0</v>
      </c>
      <c r="U93" s="1245">
        <f>CPQL!U32</f>
        <v>0</v>
      </c>
      <c r="V93" s="1245">
        <f>CPQL!V32</f>
        <v>0</v>
      </c>
      <c r="W93" s="998">
        <f t="shared" si="21"/>
        <v>0</v>
      </c>
      <c r="X93" s="496"/>
      <c r="Y93" s="1245">
        <f>CPQL!Y32</f>
        <v>0</v>
      </c>
      <c r="Z93" s="1245">
        <f>CPQL!Z32</f>
        <v>0</v>
      </c>
      <c r="AA93" s="1245">
        <f>CPQL!AA32</f>
        <v>0</v>
      </c>
      <c r="AB93" s="1245">
        <f>CPQL!AB32</f>
        <v>0</v>
      </c>
      <c r="AC93" s="1245">
        <f>CPQL!AC32</f>
        <v>0</v>
      </c>
      <c r="AD93" s="1245">
        <f>CPQL!AD32</f>
        <v>0</v>
      </c>
      <c r="AE93" s="1245">
        <f>CPQL!AE32</f>
        <v>0</v>
      </c>
      <c r="AF93" s="1245">
        <f>CPQL!AF32</f>
        <v>0</v>
      </c>
      <c r="AG93" s="1245">
        <f>CPQL!AG32</f>
        <v>0</v>
      </c>
      <c r="AH93" s="1245">
        <f>CPQL!AH32</f>
        <v>0</v>
      </c>
      <c r="AI93" s="1245">
        <f>CPQL!AI32</f>
        <v>0</v>
      </c>
      <c r="AJ93" s="1245">
        <f>CPQL!AJ32</f>
        <v>0</v>
      </c>
      <c r="AK93" s="998">
        <f t="shared" si="22"/>
        <v>0</v>
      </c>
      <c r="AM93" s="1245">
        <f>CPQL!AM32</f>
        <v>0</v>
      </c>
      <c r="AO93" s="1245">
        <f>CPQL!AO32</f>
        <v>0</v>
      </c>
      <c r="AQ93" s="1245"/>
      <c r="AR93" s="1011">
        <f t="shared" si="23"/>
        <v>0</v>
      </c>
      <c r="AS93" s="1338">
        <f t="shared" si="24"/>
        <v>0</v>
      </c>
    </row>
    <row r="94" spans="2:45" s="6" customFormat="1" x14ac:dyDescent="0.3">
      <c r="B94" s="589">
        <v>29</v>
      </c>
      <c r="C94" s="588">
        <v>11</v>
      </c>
      <c r="D94" s="981">
        <v>6427003802</v>
      </c>
      <c r="E94" s="638" t="s">
        <v>489</v>
      </c>
      <c r="F94" s="638" t="s">
        <v>594</v>
      </c>
      <c r="G94" s="578" t="str">
        <f>E94</f>
        <v>Phí đăng kiểm, kiểm định xe</v>
      </c>
      <c r="H94" s="588" t="s">
        <v>2234</v>
      </c>
      <c r="I94" s="638" t="s">
        <v>521</v>
      </c>
      <c r="J94" s="588" t="s">
        <v>2236</v>
      </c>
      <c r="K94" s="1245">
        <f ca="1">CPQL!K33</f>
        <v>0</v>
      </c>
      <c r="L94" s="1245">
        <f ca="1">CPQL!L33</f>
        <v>0</v>
      </c>
      <c r="M94" s="1245">
        <f ca="1">CPQL!M33</f>
        <v>0</v>
      </c>
      <c r="N94" s="1245">
        <f ca="1">CPQL!N33</f>
        <v>0</v>
      </c>
      <c r="O94" s="1245">
        <f ca="1">CPQL!O33</f>
        <v>0</v>
      </c>
      <c r="P94" s="1245">
        <f ca="1">CPQL!P33</f>
        <v>0</v>
      </c>
      <c r="Q94" s="1245">
        <f ca="1">CPQL!Q33</f>
        <v>0</v>
      </c>
      <c r="R94" s="1245">
        <f ca="1">CPQL!R33</f>
        <v>0</v>
      </c>
      <c r="S94" s="1245">
        <f ca="1">CPQL!S33</f>
        <v>0</v>
      </c>
      <c r="T94" s="1245">
        <f ca="1">CPQL!T33</f>
        <v>0</v>
      </c>
      <c r="U94" s="1245">
        <f ca="1">CPQL!U33</f>
        <v>0</v>
      </c>
      <c r="V94" s="1245">
        <f ca="1">CPQL!V33</f>
        <v>0</v>
      </c>
      <c r="W94" s="998">
        <f t="shared" ca="1" si="21"/>
        <v>0</v>
      </c>
      <c r="X94" s="496"/>
      <c r="Y94" s="1245">
        <f>CPQL!Y33</f>
        <v>0</v>
      </c>
      <c r="Z94" s="1245">
        <f>CPQL!Z33</f>
        <v>0</v>
      </c>
      <c r="AA94" s="1245">
        <f>CPQL!AA33</f>
        <v>0</v>
      </c>
      <c r="AB94" s="1245">
        <f>CPQL!AB33</f>
        <v>0</v>
      </c>
      <c r="AC94" s="1245">
        <f>CPQL!AC33</f>
        <v>0</v>
      </c>
      <c r="AD94" s="1245">
        <f>CPQL!AD33</f>
        <v>0</v>
      </c>
      <c r="AE94" s="1245">
        <f>CPQL!AE33</f>
        <v>0</v>
      </c>
      <c r="AF94" s="1245">
        <f>CPQL!AF33</f>
        <v>0</v>
      </c>
      <c r="AG94" s="1245">
        <f>CPQL!AG33</f>
        <v>0</v>
      </c>
      <c r="AH94" s="1245">
        <f>CPQL!AH33</f>
        <v>0</v>
      </c>
      <c r="AI94" s="1245">
        <f>CPQL!AI33</f>
        <v>0</v>
      </c>
      <c r="AJ94" s="1245">
        <f>CPQL!AJ33</f>
        <v>0</v>
      </c>
      <c r="AK94" s="998">
        <f t="shared" si="22"/>
        <v>0</v>
      </c>
      <c r="AM94" s="1245">
        <f>CPQL!AM33</f>
        <v>0</v>
      </c>
      <c r="AO94" s="1245">
        <f>CPQL!AO33</f>
        <v>0</v>
      </c>
      <c r="AQ94" s="1245"/>
      <c r="AR94" s="1011">
        <f t="shared" ca="1" si="23"/>
        <v>0</v>
      </c>
      <c r="AS94" s="1338">
        <f t="shared" ca="1" si="24"/>
        <v>0</v>
      </c>
    </row>
    <row r="95" spans="2:45" s="6" customFormat="1" x14ac:dyDescent="0.3">
      <c r="B95" s="589">
        <v>30</v>
      </c>
      <c r="C95" s="588">
        <v>22</v>
      </c>
      <c r="D95" s="981">
        <v>6427004104</v>
      </c>
      <c r="E95" s="638" t="s">
        <v>478</v>
      </c>
      <c r="F95" s="638" t="s">
        <v>587</v>
      </c>
      <c r="G95" s="578" t="str">
        <f>E95</f>
        <v>Chi phí ấn phẩm: Catalogue, tờ rơi</v>
      </c>
      <c r="H95" s="588" t="s">
        <v>2234</v>
      </c>
      <c r="I95" s="638" t="s">
        <v>521</v>
      </c>
      <c r="J95" s="588" t="s">
        <v>2236</v>
      </c>
      <c r="K95" s="1245">
        <f>CPQL!K34</f>
        <v>0</v>
      </c>
      <c r="L95" s="1245">
        <f>CPQL!L34</f>
        <v>0</v>
      </c>
      <c r="M95" s="1245">
        <f>CPQL!M34</f>
        <v>0</v>
      </c>
      <c r="N95" s="1245">
        <f>CPQL!N34</f>
        <v>0</v>
      </c>
      <c r="O95" s="1245">
        <f>CPQL!O34</f>
        <v>0</v>
      </c>
      <c r="P95" s="1245">
        <f>CPQL!P34</f>
        <v>0</v>
      </c>
      <c r="Q95" s="1245">
        <f>CPQL!Q34</f>
        <v>0</v>
      </c>
      <c r="R95" s="1245">
        <f>CPQL!R34</f>
        <v>0</v>
      </c>
      <c r="S95" s="1245">
        <f>CPQL!S34</f>
        <v>0</v>
      </c>
      <c r="T95" s="1245">
        <f>CPQL!T34</f>
        <v>0</v>
      </c>
      <c r="U95" s="1245">
        <f>CPQL!U34</f>
        <v>0</v>
      </c>
      <c r="V95" s="1245">
        <f>CPQL!V34</f>
        <v>0</v>
      </c>
      <c r="W95" s="998">
        <f t="shared" si="21"/>
        <v>0</v>
      </c>
      <c r="X95" s="496"/>
      <c r="Y95" s="1245">
        <f>CPQL!Y34</f>
        <v>0</v>
      </c>
      <c r="Z95" s="1245">
        <f>CPQL!Z34</f>
        <v>0</v>
      </c>
      <c r="AA95" s="1245">
        <f>CPQL!AA34</f>
        <v>0</v>
      </c>
      <c r="AB95" s="1245">
        <f>CPQL!AB34</f>
        <v>0</v>
      </c>
      <c r="AC95" s="1245">
        <f>CPQL!AC34</f>
        <v>0</v>
      </c>
      <c r="AD95" s="1245">
        <f>CPQL!AD34</f>
        <v>0</v>
      </c>
      <c r="AE95" s="1245">
        <f>CPQL!AE34</f>
        <v>0</v>
      </c>
      <c r="AF95" s="1245">
        <f>CPQL!AF34</f>
        <v>0</v>
      </c>
      <c r="AG95" s="1245">
        <f>CPQL!AG34</f>
        <v>0</v>
      </c>
      <c r="AH95" s="1245">
        <f>CPQL!AH34</f>
        <v>0</v>
      </c>
      <c r="AI95" s="1245">
        <f>CPQL!AI34</f>
        <v>0</v>
      </c>
      <c r="AJ95" s="1245">
        <f>CPQL!AJ34</f>
        <v>0</v>
      </c>
      <c r="AK95" s="998">
        <f t="shared" si="22"/>
        <v>0</v>
      </c>
      <c r="AM95" s="1245">
        <f>CPQL!AM34</f>
        <v>0</v>
      </c>
      <c r="AO95" s="1245">
        <f>CPQL!AO34</f>
        <v>0</v>
      </c>
      <c r="AQ95" s="1245"/>
      <c r="AR95" s="1011">
        <f t="shared" si="23"/>
        <v>0</v>
      </c>
      <c r="AS95" s="1338">
        <f t="shared" si="24"/>
        <v>0</v>
      </c>
    </row>
    <row r="96" spans="2:45" s="6" customFormat="1" x14ac:dyDescent="0.3">
      <c r="B96" s="589">
        <v>31</v>
      </c>
      <c r="C96" s="588">
        <v>37</v>
      </c>
      <c r="D96" s="981">
        <v>6427004301</v>
      </c>
      <c r="E96" s="638" t="s">
        <v>482</v>
      </c>
      <c r="F96" s="638" t="s">
        <v>570</v>
      </c>
      <c r="G96" s="578" t="str">
        <f>E96</f>
        <v>Chi phí nghỉ mát, du lịch</v>
      </c>
      <c r="H96" s="588" t="s">
        <v>2234</v>
      </c>
      <c r="I96" s="638" t="s">
        <v>521</v>
      </c>
      <c r="J96" s="588" t="s">
        <v>2235</v>
      </c>
      <c r="K96" s="1245">
        <f>CPQL!K35</f>
        <v>0</v>
      </c>
      <c r="L96" s="1245">
        <f>CPQL!L35</f>
        <v>0</v>
      </c>
      <c r="M96" s="1245">
        <f>CPQL!M35</f>
        <v>0</v>
      </c>
      <c r="N96" s="1245">
        <f>CPQL!N35</f>
        <v>0</v>
      </c>
      <c r="O96" s="1245">
        <f>CPQL!O35</f>
        <v>0</v>
      </c>
      <c r="P96" s="1245">
        <f>CPQL!P35</f>
        <v>0</v>
      </c>
      <c r="Q96" s="1245">
        <f>CPQL!Q35</f>
        <v>0</v>
      </c>
      <c r="R96" s="1245">
        <f>CPQL!R35</f>
        <v>60000000</v>
      </c>
      <c r="S96" s="1245">
        <f>CPQL!S35</f>
        <v>0</v>
      </c>
      <c r="T96" s="1245">
        <f>CPQL!T35</f>
        <v>0</v>
      </c>
      <c r="U96" s="1245">
        <f>CPQL!U35</f>
        <v>0</v>
      </c>
      <c r="V96" s="1245">
        <f>CPQL!V35</f>
        <v>0</v>
      </c>
      <c r="W96" s="998">
        <f t="shared" si="21"/>
        <v>60000000</v>
      </c>
      <c r="X96" s="496"/>
      <c r="Y96" s="1245">
        <f>CPQL!Y35</f>
        <v>0</v>
      </c>
      <c r="Z96" s="1245">
        <f>CPQL!Z35</f>
        <v>0</v>
      </c>
      <c r="AA96" s="1245">
        <f>CPQL!AA35</f>
        <v>0</v>
      </c>
      <c r="AB96" s="1245">
        <f>CPQL!AB35</f>
        <v>0</v>
      </c>
      <c r="AC96" s="1245">
        <f>CPQL!AC35</f>
        <v>0</v>
      </c>
      <c r="AD96" s="1245">
        <f>CPQL!AD35</f>
        <v>0</v>
      </c>
      <c r="AE96" s="1245">
        <f>CPQL!AE35</f>
        <v>0</v>
      </c>
      <c r="AF96" s="1245">
        <f>CPQL!AF35</f>
        <v>0</v>
      </c>
      <c r="AG96" s="1245">
        <f>CPQL!AG35</f>
        <v>0</v>
      </c>
      <c r="AH96" s="1245">
        <f>CPQL!AH35</f>
        <v>0</v>
      </c>
      <c r="AI96" s="1245">
        <f>CPQL!AI35</f>
        <v>0</v>
      </c>
      <c r="AJ96" s="1245">
        <f>CPQL!AJ35</f>
        <v>0</v>
      </c>
      <c r="AK96" s="998">
        <f t="shared" si="22"/>
        <v>0</v>
      </c>
      <c r="AM96" s="1245">
        <f>CPQL!AM35</f>
        <v>0</v>
      </c>
      <c r="AO96" s="1245">
        <f>CPQL!AO35</f>
        <v>0</v>
      </c>
      <c r="AQ96" s="1245"/>
      <c r="AR96" s="1011">
        <f t="shared" si="23"/>
        <v>60000000</v>
      </c>
      <c r="AS96" s="1338">
        <f t="shared" si="24"/>
        <v>0</v>
      </c>
    </row>
    <row r="97" spans="2:45" s="6" customFormat="1" x14ac:dyDescent="0.3">
      <c r="B97" s="589">
        <v>32</v>
      </c>
      <c r="C97" s="588">
        <v>2</v>
      </c>
      <c r="D97" s="981">
        <v>6427004601</v>
      </c>
      <c r="E97" s="638" t="s">
        <v>484</v>
      </c>
      <c r="F97" s="638" t="s">
        <v>585</v>
      </c>
      <c r="G97" s="578" t="s">
        <v>95</v>
      </c>
      <c r="H97" s="588" t="s">
        <v>2234</v>
      </c>
      <c r="I97" s="638" t="s">
        <v>521</v>
      </c>
      <c r="J97" s="588" t="s">
        <v>2236</v>
      </c>
      <c r="K97" s="1245">
        <f>CPQL!K36</f>
        <v>0</v>
      </c>
      <c r="L97" s="1245">
        <f>CPQL!L36</f>
        <v>0</v>
      </c>
      <c r="M97" s="1245">
        <f>CPQL!M36</f>
        <v>0</v>
      </c>
      <c r="N97" s="1245">
        <f>CPQL!N36</f>
        <v>0</v>
      </c>
      <c r="O97" s="1245">
        <f>CPQL!O36</f>
        <v>0</v>
      </c>
      <c r="P97" s="1245">
        <f>CPQL!P36</f>
        <v>0</v>
      </c>
      <c r="Q97" s="1245">
        <f>CPQL!Q36</f>
        <v>0</v>
      </c>
      <c r="R97" s="1245">
        <f>CPQL!R36</f>
        <v>0</v>
      </c>
      <c r="S97" s="1245">
        <f>CPQL!S36</f>
        <v>0</v>
      </c>
      <c r="T97" s="1245">
        <f>CPQL!T36</f>
        <v>0</v>
      </c>
      <c r="U97" s="1245">
        <f>CPQL!U36</f>
        <v>0</v>
      </c>
      <c r="V97" s="1245">
        <f>CPQL!V36</f>
        <v>0</v>
      </c>
      <c r="W97" s="998">
        <f t="shared" si="21"/>
        <v>0</v>
      </c>
      <c r="X97" s="496"/>
      <c r="Y97" s="1245">
        <f>CPQL!Y36</f>
        <v>0</v>
      </c>
      <c r="Z97" s="1245">
        <f>CPQL!Z36</f>
        <v>0</v>
      </c>
      <c r="AA97" s="1245">
        <f>CPQL!AA36</f>
        <v>0</v>
      </c>
      <c r="AB97" s="1245">
        <f>CPQL!AB36</f>
        <v>0</v>
      </c>
      <c r="AC97" s="1245">
        <f>CPQL!AC36</f>
        <v>0</v>
      </c>
      <c r="AD97" s="1245">
        <f>CPQL!AD36</f>
        <v>0</v>
      </c>
      <c r="AE97" s="1245">
        <f>CPQL!AE36</f>
        <v>0</v>
      </c>
      <c r="AF97" s="1245">
        <f>CPQL!AF36</f>
        <v>0</v>
      </c>
      <c r="AG97" s="1245">
        <f>CPQL!AG36</f>
        <v>0</v>
      </c>
      <c r="AH97" s="1245">
        <f>CPQL!AH36</f>
        <v>0</v>
      </c>
      <c r="AI97" s="1245">
        <f>CPQL!AI36</f>
        <v>0</v>
      </c>
      <c r="AJ97" s="1245">
        <f>CPQL!AJ36</f>
        <v>0</v>
      </c>
      <c r="AK97" s="998">
        <f t="shared" si="22"/>
        <v>0</v>
      </c>
      <c r="AM97" s="1245">
        <f>CPQL!AM36</f>
        <v>0</v>
      </c>
      <c r="AO97" s="1245">
        <f>CPQL!AO36</f>
        <v>0</v>
      </c>
      <c r="AQ97" s="1245"/>
      <c r="AR97" s="1011">
        <f t="shared" si="23"/>
        <v>0</v>
      </c>
      <c r="AS97" s="1338">
        <f t="shared" si="24"/>
        <v>0</v>
      </c>
    </row>
    <row r="98" spans="2:45" s="6" customFormat="1" x14ac:dyDescent="0.3">
      <c r="B98" s="589">
        <v>33</v>
      </c>
      <c r="C98" s="588">
        <v>22</v>
      </c>
      <c r="D98" s="981">
        <v>6427004603</v>
      </c>
      <c r="E98" s="638" t="s">
        <v>479</v>
      </c>
      <c r="F98" s="638" t="s">
        <v>587</v>
      </c>
      <c r="G98" s="578" t="str">
        <f>E98</f>
        <v>Chi phí hội nghị khách hàng</v>
      </c>
      <c r="H98" s="588" t="s">
        <v>2234</v>
      </c>
      <c r="I98" s="578" t="s">
        <v>513</v>
      </c>
      <c r="J98" s="588" t="s">
        <v>2236</v>
      </c>
      <c r="K98" s="1245">
        <f>CPQL!K37</f>
        <v>0</v>
      </c>
      <c r="L98" s="1245">
        <f>CPQL!L37</f>
        <v>0</v>
      </c>
      <c r="M98" s="1245">
        <f>CPQL!M37</f>
        <v>0</v>
      </c>
      <c r="N98" s="1245">
        <f>CPQL!N37</f>
        <v>0</v>
      </c>
      <c r="O98" s="1245">
        <f>CPQL!O37</f>
        <v>0</v>
      </c>
      <c r="P98" s="1245">
        <f>CPQL!P37</f>
        <v>0</v>
      </c>
      <c r="Q98" s="1245">
        <f>CPQL!Q37</f>
        <v>0</v>
      </c>
      <c r="R98" s="1245">
        <f>CPQL!R37</f>
        <v>0</v>
      </c>
      <c r="S98" s="1245">
        <f>CPQL!S37</f>
        <v>0</v>
      </c>
      <c r="T98" s="1245">
        <f>CPQL!T37</f>
        <v>0</v>
      </c>
      <c r="U98" s="1245">
        <f>CPQL!U37</f>
        <v>0</v>
      </c>
      <c r="V98" s="1245">
        <f>CPQL!V37</f>
        <v>0</v>
      </c>
      <c r="W98" s="998">
        <f t="shared" si="21"/>
        <v>0</v>
      </c>
      <c r="X98" s="496"/>
      <c r="Y98" s="1245">
        <f>CPQL!Y37</f>
        <v>0</v>
      </c>
      <c r="Z98" s="1245">
        <f>CPQL!Z37</f>
        <v>0</v>
      </c>
      <c r="AA98" s="1245">
        <f>CPQL!AA37</f>
        <v>0</v>
      </c>
      <c r="AB98" s="1245">
        <f>CPQL!AB37</f>
        <v>0</v>
      </c>
      <c r="AC98" s="1245">
        <f>CPQL!AC37</f>
        <v>0</v>
      </c>
      <c r="AD98" s="1245">
        <f>CPQL!AD37</f>
        <v>0</v>
      </c>
      <c r="AE98" s="1245">
        <f>CPQL!AE37</f>
        <v>0</v>
      </c>
      <c r="AF98" s="1245">
        <f>CPQL!AF37</f>
        <v>0</v>
      </c>
      <c r="AG98" s="1245">
        <f>CPQL!AG37</f>
        <v>0</v>
      </c>
      <c r="AH98" s="1245">
        <f>CPQL!AH37</f>
        <v>0</v>
      </c>
      <c r="AI98" s="1245">
        <f>CPQL!AI37</f>
        <v>0</v>
      </c>
      <c r="AJ98" s="1245">
        <f>CPQL!AJ37</f>
        <v>0</v>
      </c>
      <c r="AK98" s="998">
        <f t="shared" si="22"/>
        <v>0</v>
      </c>
      <c r="AM98" s="1245">
        <f>CPQL!AM37</f>
        <v>0</v>
      </c>
      <c r="AO98" s="1245">
        <f>CPQL!AO37</f>
        <v>0</v>
      </c>
      <c r="AQ98" s="1245"/>
      <c r="AR98" s="1011">
        <f t="shared" si="23"/>
        <v>0</v>
      </c>
      <c r="AS98" s="1338">
        <f t="shared" si="24"/>
        <v>0</v>
      </c>
    </row>
    <row r="99" spans="2:45" s="6" customFormat="1" x14ac:dyDescent="0.3">
      <c r="B99" s="589">
        <v>34</v>
      </c>
      <c r="C99" s="588">
        <v>22</v>
      </c>
      <c r="D99" s="981">
        <v>6427004702</v>
      </c>
      <c r="E99" s="638" t="s">
        <v>481</v>
      </c>
      <c r="F99" s="638" t="s">
        <v>587</v>
      </c>
      <c r="G99" s="578" t="str">
        <f>E99</f>
        <v>Tài trợ thương hiệu Duy Tân</v>
      </c>
      <c r="H99" s="588" t="s">
        <v>2234</v>
      </c>
      <c r="I99" s="578" t="s">
        <v>513</v>
      </c>
      <c r="J99" s="588" t="s">
        <v>2236</v>
      </c>
      <c r="K99" s="1245">
        <f>CPQL!K38</f>
        <v>0</v>
      </c>
      <c r="L99" s="1245">
        <f>CPQL!L38</f>
        <v>0</v>
      </c>
      <c r="M99" s="1245">
        <f>CPQL!M38</f>
        <v>0</v>
      </c>
      <c r="N99" s="1245">
        <f>CPQL!N38</f>
        <v>0</v>
      </c>
      <c r="O99" s="1245">
        <f>CPQL!O38</f>
        <v>0</v>
      </c>
      <c r="P99" s="1245">
        <f>CPQL!P38</f>
        <v>0</v>
      </c>
      <c r="Q99" s="1245">
        <f>CPQL!Q38</f>
        <v>0</v>
      </c>
      <c r="R99" s="1245">
        <f>CPQL!R38</f>
        <v>0</v>
      </c>
      <c r="S99" s="1245">
        <f>CPQL!S38</f>
        <v>0</v>
      </c>
      <c r="T99" s="1245">
        <f>CPQL!T38</f>
        <v>0</v>
      </c>
      <c r="U99" s="1245">
        <f>CPQL!U38</f>
        <v>0</v>
      </c>
      <c r="V99" s="1245">
        <f>CPQL!V38</f>
        <v>0</v>
      </c>
      <c r="W99" s="998">
        <f t="shared" si="21"/>
        <v>0</v>
      </c>
      <c r="X99" s="496"/>
      <c r="Y99" s="1245">
        <f>CPQL!Y38</f>
        <v>0</v>
      </c>
      <c r="Z99" s="1245">
        <f>CPQL!Z38</f>
        <v>0</v>
      </c>
      <c r="AA99" s="1245">
        <f>CPQL!AA38</f>
        <v>0</v>
      </c>
      <c r="AB99" s="1245">
        <f>CPQL!AB38</f>
        <v>0</v>
      </c>
      <c r="AC99" s="1245">
        <f>CPQL!AC38</f>
        <v>0</v>
      </c>
      <c r="AD99" s="1245">
        <f>CPQL!AD38</f>
        <v>0</v>
      </c>
      <c r="AE99" s="1245">
        <f>CPQL!AE38</f>
        <v>0</v>
      </c>
      <c r="AF99" s="1245">
        <f>CPQL!AF38</f>
        <v>0</v>
      </c>
      <c r="AG99" s="1245">
        <f>CPQL!AG38</f>
        <v>0</v>
      </c>
      <c r="AH99" s="1245">
        <f>CPQL!AH38</f>
        <v>0</v>
      </c>
      <c r="AI99" s="1245">
        <f>CPQL!AI38</f>
        <v>0</v>
      </c>
      <c r="AJ99" s="1245">
        <f>CPQL!AJ38</f>
        <v>0</v>
      </c>
      <c r="AK99" s="998">
        <f t="shared" si="22"/>
        <v>0</v>
      </c>
      <c r="AM99" s="1245">
        <f>CPQL!AM38</f>
        <v>0</v>
      </c>
      <c r="AO99" s="1245">
        <f>CPQL!AO38</f>
        <v>0</v>
      </c>
      <c r="AQ99" s="1245"/>
      <c r="AR99" s="1011">
        <f t="shared" si="23"/>
        <v>0</v>
      </c>
      <c r="AS99" s="1338">
        <f t="shared" si="24"/>
        <v>0</v>
      </c>
    </row>
    <row r="100" spans="2:45" s="6" customFormat="1" x14ac:dyDescent="0.3">
      <c r="B100" s="589">
        <v>35</v>
      </c>
      <c r="C100" s="588">
        <v>15</v>
      </c>
      <c r="D100" s="981">
        <v>6427004804</v>
      </c>
      <c r="E100" s="638" t="s">
        <v>475</v>
      </c>
      <c r="F100" s="638" t="s">
        <v>592</v>
      </c>
      <c r="G100" s="578" t="str">
        <f>E100</f>
        <v>Chi phí bưu phẩm</v>
      </c>
      <c r="H100" s="588" t="s">
        <v>2234</v>
      </c>
      <c r="I100" s="638" t="s">
        <v>521</v>
      </c>
      <c r="J100" s="588" t="s">
        <v>2236</v>
      </c>
      <c r="K100" s="1245">
        <f>CPQL!K39</f>
        <v>101194.625</v>
      </c>
      <c r="L100" s="1245">
        <f>CPQL!L39</f>
        <v>101194.625</v>
      </c>
      <c r="M100" s="1245">
        <f>CPQL!M39</f>
        <v>101194.625</v>
      </c>
      <c r="N100" s="1245">
        <f>CPQL!N39</f>
        <v>101194.625</v>
      </c>
      <c r="O100" s="1245">
        <f>CPQL!O39</f>
        <v>101194.625</v>
      </c>
      <c r="P100" s="1245">
        <f>CPQL!P39</f>
        <v>101194.625</v>
      </c>
      <c r="Q100" s="1245">
        <f>CPQL!Q39</f>
        <v>101194.625</v>
      </c>
      <c r="R100" s="1245">
        <f>CPQL!R39</f>
        <v>101194.625</v>
      </c>
      <c r="S100" s="1245">
        <f>CPQL!S39</f>
        <v>101194.625</v>
      </c>
      <c r="T100" s="1245">
        <f>CPQL!T39</f>
        <v>101194.625</v>
      </c>
      <c r="U100" s="1245">
        <f>CPQL!U39</f>
        <v>101194.625</v>
      </c>
      <c r="V100" s="1245">
        <f>CPQL!V39</f>
        <v>101194.625</v>
      </c>
      <c r="W100" s="998">
        <f t="shared" si="21"/>
        <v>1214335.5</v>
      </c>
      <c r="X100" s="496"/>
      <c r="Y100" s="1245">
        <f>CPQL!Y39</f>
        <v>0</v>
      </c>
      <c r="Z100" s="1245">
        <f>CPQL!Z39</f>
        <v>44000</v>
      </c>
      <c r="AA100" s="1245">
        <f>CPQL!AA39</f>
        <v>161209</v>
      </c>
      <c r="AB100" s="1245">
        <f>CPQL!AB39</f>
        <v>0</v>
      </c>
      <c r="AC100" s="1245">
        <f>CPQL!AC39</f>
        <v>118981</v>
      </c>
      <c r="AD100" s="1245">
        <f>CPQL!AD39</f>
        <v>41204</v>
      </c>
      <c r="AE100" s="1245">
        <f>CPQL!AE39</f>
        <v>123611</v>
      </c>
      <c r="AF100" s="1245">
        <f>CPQL!AF39</f>
        <v>133500</v>
      </c>
      <c r="AG100" s="1245">
        <f>CPQL!AG39</f>
        <v>16667</v>
      </c>
      <c r="AH100" s="1245">
        <f>CPQL!AH39</f>
        <v>202504</v>
      </c>
      <c r="AI100" s="1245">
        <f>CPQL!AI39</f>
        <v>202504</v>
      </c>
      <c r="AJ100" s="1245">
        <f>CPQL!AJ39</f>
        <v>202504</v>
      </c>
      <c r="AK100" s="998">
        <f t="shared" si="22"/>
        <v>1246684</v>
      </c>
      <c r="AM100" s="1245">
        <f>CPQL!AM39</f>
        <v>0</v>
      </c>
      <c r="AO100" s="1245">
        <f>CPQL!AO39</f>
        <v>0</v>
      </c>
      <c r="AQ100" s="1245"/>
      <c r="AR100" s="1011">
        <f t="shared" si="23"/>
        <v>-32348.5</v>
      </c>
      <c r="AS100" s="1338">
        <f t="shared" si="24"/>
        <v>-2.5947633883165233E-2</v>
      </c>
    </row>
    <row r="101" spans="2:45" s="6" customFormat="1" x14ac:dyDescent="0.3">
      <c r="B101" s="589">
        <v>36</v>
      </c>
      <c r="C101" s="588">
        <v>15</v>
      </c>
      <c r="D101" s="981">
        <v>6427004901</v>
      </c>
      <c r="E101" s="638" t="s">
        <v>442</v>
      </c>
      <c r="F101" s="638" t="s">
        <v>592</v>
      </c>
      <c r="G101" s="578" t="str">
        <f>E101</f>
        <v>Điện thoại bàn</v>
      </c>
      <c r="H101" s="588" t="s">
        <v>2234</v>
      </c>
      <c r="I101" s="638" t="s">
        <v>521</v>
      </c>
      <c r="J101" s="588" t="s">
        <v>2236</v>
      </c>
      <c r="K101" s="1245">
        <f>CPQL!K40</f>
        <v>85451.974999999991</v>
      </c>
      <c r="L101" s="1245">
        <f>CPQL!L40</f>
        <v>85451.974999999991</v>
      </c>
      <c r="M101" s="1245">
        <f>CPQL!M40</f>
        <v>85451.974999999991</v>
      </c>
      <c r="N101" s="1245">
        <f>CPQL!N40</f>
        <v>85451.974999999991</v>
      </c>
      <c r="O101" s="1245">
        <f>CPQL!O40</f>
        <v>85451.974999999991</v>
      </c>
      <c r="P101" s="1245">
        <f>CPQL!P40</f>
        <v>85451.974999999991</v>
      </c>
      <c r="Q101" s="1245">
        <f>CPQL!Q40</f>
        <v>85451.974999999991</v>
      </c>
      <c r="R101" s="1245">
        <f>CPQL!R40</f>
        <v>85451.974999999991</v>
      </c>
      <c r="S101" s="1245">
        <f>CPQL!S40</f>
        <v>85451.974999999991</v>
      </c>
      <c r="T101" s="1245">
        <f>CPQL!T40</f>
        <v>85451.974999999991</v>
      </c>
      <c r="U101" s="1245">
        <f>CPQL!U40</f>
        <v>85451.974999999991</v>
      </c>
      <c r="V101" s="1245">
        <f>CPQL!V40</f>
        <v>85451.974999999991</v>
      </c>
      <c r="W101" s="998">
        <f t="shared" si="21"/>
        <v>1025423.6999999998</v>
      </c>
      <c r="X101" s="496"/>
      <c r="Y101" s="1245">
        <f>CPQL!Y40</f>
        <v>0</v>
      </c>
      <c r="Z101" s="1245">
        <f>CPQL!Z40</f>
        <v>0</v>
      </c>
      <c r="AA101" s="1245">
        <f>CPQL!AA40</f>
        <v>0</v>
      </c>
      <c r="AB101" s="1245">
        <f>CPQL!AB40</f>
        <v>0</v>
      </c>
      <c r="AC101" s="1245">
        <f>CPQL!AC40</f>
        <v>0</v>
      </c>
      <c r="AD101" s="1245">
        <f>CPQL!AD40</f>
        <v>0</v>
      </c>
      <c r="AE101" s="1245">
        <f>CPQL!AE40</f>
        <v>0</v>
      </c>
      <c r="AF101" s="1245">
        <f>CPQL!AF40</f>
        <v>0</v>
      </c>
      <c r="AG101" s="1245">
        <f>CPQL!AG40</f>
        <v>0</v>
      </c>
      <c r="AH101" s="1245">
        <f>CPQL!AH40</f>
        <v>0</v>
      </c>
      <c r="AI101" s="1245">
        <f>CPQL!AI40</f>
        <v>0</v>
      </c>
      <c r="AJ101" s="1245">
        <f>CPQL!AJ40</f>
        <v>0</v>
      </c>
      <c r="AK101" s="998">
        <f t="shared" si="22"/>
        <v>0</v>
      </c>
      <c r="AM101" s="1245">
        <f>CPQL!AM40</f>
        <v>0</v>
      </c>
      <c r="AO101" s="1245">
        <f>CPQL!AO40</f>
        <v>156105</v>
      </c>
      <c r="AQ101" s="1245"/>
      <c r="AR101" s="1011">
        <f t="shared" si="23"/>
        <v>1025423.6999999998</v>
      </c>
      <c r="AS101" s="1338">
        <f t="shared" si="24"/>
        <v>0</v>
      </c>
    </row>
    <row r="102" spans="2:45" s="6" customFormat="1" x14ac:dyDescent="0.3">
      <c r="B102" s="589">
        <v>37</v>
      </c>
      <c r="C102" s="588">
        <v>37</v>
      </c>
      <c r="D102" s="981">
        <v>6427004902</v>
      </c>
      <c r="E102" s="638" t="s">
        <v>443</v>
      </c>
      <c r="F102" s="638" t="s">
        <v>570</v>
      </c>
      <c r="G102" s="578" t="str">
        <f>E102</f>
        <v>Điện thoại di động</v>
      </c>
      <c r="H102" s="588" t="s">
        <v>2234</v>
      </c>
      <c r="I102" s="638" t="s">
        <v>521</v>
      </c>
      <c r="J102" s="588" t="s">
        <v>2235</v>
      </c>
      <c r="K102" s="1245">
        <f>CPQL!K41</f>
        <v>219937.375</v>
      </c>
      <c r="L102" s="1245">
        <f>CPQL!L41</f>
        <v>219937.375</v>
      </c>
      <c r="M102" s="1245">
        <f>CPQL!M41</f>
        <v>219937.375</v>
      </c>
      <c r="N102" s="1245">
        <f>CPQL!N41</f>
        <v>219937.375</v>
      </c>
      <c r="O102" s="1245">
        <f>CPQL!O41</f>
        <v>219937.375</v>
      </c>
      <c r="P102" s="1245">
        <f>CPQL!P41</f>
        <v>219937.375</v>
      </c>
      <c r="Q102" s="1245">
        <f>CPQL!Q41</f>
        <v>219937.375</v>
      </c>
      <c r="R102" s="1245">
        <f>CPQL!R41</f>
        <v>219937.375</v>
      </c>
      <c r="S102" s="1245">
        <f>CPQL!S41</f>
        <v>219937.375</v>
      </c>
      <c r="T102" s="1245">
        <f>CPQL!T41</f>
        <v>219937.375</v>
      </c>
      <c r="U102" s="1245">
        <f>CPQL!U41</f>
        <v>219937.375</v>
      </c>
      <c r="V102" s="1245">
        <f>CPQL!V41</f>
        <v>219937.375</v>
      </c>
      <c r="W102" s="998">
        <f t="shared" si="21"/>
        <v>2639248.5</v>
      </c>
      <c r="X102" s="496"/>
      <c r="Y102" s="1245">
        <f>CPQL!Y41</f>
        <v>200000</v>
      </c>
      <c r="Z102" s="1245">
        <f>CPQL!Z41</f>
        <v>0</v>
      </c>
      <c r="AA102" s="1245">
        <f>CPQL!AA41</f>
        <v>0</v>
      </c>
      <c r="AB102" s="1245">
        <f>CPQL!AB41</f>
        <v>211864</v>
      </c>
      <c r="AC102" s="1245">
        <f>CPQL!AC41</f>
        <v>188573</v>
      </c>
      <c r="AD102" s="1245">
        <f>CPQL!AD41</f>
        <v>187273</v>
      </c>
      <c r="AE102" s="1245">
        <f>CPQL!AE41</f>
        <v>185718</v>
      </c>
      <c r="AF102" s="1245">
        <f>CPQL!AF41</f>
        <v>181818</v>
      </c>
      <c r="AG102" s="1245">
        <f>CPQL!AG41</f>
        <v>184364</v>
      </c>
      <c r="AH102" s="1245">
        <f>CPQL!AH41</f>
        <v>184364</v>
      </c>
      <c r="AI102" s="1245">
        <f>CPQL!AI41</f>
        <v>184364</v>
      </c>
      <c r="AJ102" s="1245">
        <f>CPQL!AJ41</f>
        <v>184364</v>
      </c>
      <c r="AK102" s="998">
        <f t="shared" si="22"/>
        <v>1892702</v>
      </c>
      <c r="AM102" s="1245">
        <f>CPQL!AM41</f>
        <v>698000</v>
      </c>
      <c r="AO102" s="1245">
        <f>CPQL!AO41</f>
        <v>2073808</v>
      </c>
      <c r="AQ102" s="1245"/>
      <c r="AR102" s="1011">
        <f t="shared" si="23"/>
        <v>746546.5</v>
      </c>
      <c r="AS102" s="1338">
        <f t="shared" si="24"/>
        <v>0.39443425325275716</v>
      </c>
    </row>
    <row r="103" spans="2:45" s="6" customFormat="1" x14ac:dyDescent="0.3">
      <c r="B103" s="589">
        <v>38</v>
      </c>
      <c r="C103" s="588">
        <v>15</v>
      </c>
      <c r="D103" s="981">
        <v>6427004903</v>
      </c>
      <c r="E103" s="638" t="s">
        <v>444</v>
      </c>
      <c r="F103" s="638" t="s">
        <v>592</v>
      </c>
      <c r="G103" s="578" t="s">
        <v>92</v>
      </c>
      <c r="H103" s="588" t="s">
        <v>2234</v>
      </c>
      <c r="I103" s="638" t="s">
        <v>521</v>
      </c>
      <c r="J103" s="588" t="s">
        <v>2236</v>
      </c>
      <c r="K103" s="1245">
        <f ca="1">CPQL!K42</f>
        <v>2774012.666666667</v>
      </c>
      <c r="L103" s="1245">
        <f ca="1">CPQL!L42</f>
        <v>2774012.666666667</v>
      </c>
      <c r="M103" s="1245">
        <f ca="1">CPQL!M42</f>
        <v>2774012.666666667</v>
      </c>
      <c r="N103" s="1245">
        <f ca="1">CPQL!N42</f>
        <v>2774012.666666667</v>
      </c>
      <c r="O103" s="1245">
        <f ca="1">CPQL!O42</f>
        <v>2774012.666666667</v>
      </c>
      <c r="P103" s="1245">
        <f ca="1">CPQL!P42</f>
        <v>2580168.666666667</v>
      </c>
      <c r="Q103" s="1245">
        <f ca="1">CPQL!Q42</f>
        <v>2580166.666666667</v>
      </c>
      <c r="R103" s="1245">
        <f ca="1">CPQL!R42</f>
        <v>2580166.666666667</v>
      </c>
      <c r="S103" s="1245">
        <f ca="1">CPQL!S42</f>
        <v>2580166.666666667</v>
      </c>
      <c r="T103" s="1245">
        <f ca="1">CPQL!T42</f>
        <v>2580166.666666667</v>
      </c>
      <c r="U103" s="1245">
        <f ca="1">CPQL!U42</f>
        <v>2580166.666666667</v>
      </c>
      <c r="V103" s="1245">
        <f ca="1">CPQL!V42</f>
        <v>2580166.666666667</v>
      </c>
      <c r="W103" s="998">
        <f t="shared" ca="1" si="21"/>
        <v>31931232.000000011</v>
      </c>
      <c r="X103" s="496"/>
      <c r="Y103" s="1245">
        <f>CPQL!Y42</f>
        <v>1396184</v>
      </c>
      <c r="Z103" s="1245">
        <f>CPQL!Z42</f>
        <v>1396184</v>
      </c>
      <c r="AA103" s="1245">
        <f>CPQL!AA42</f>
        <v>1396184</v>
      </c>
      <c r="AB103" s="1245">
        <f>CPQL!AB42</f>
        <v>1396184</v>
      </c>
      <c r="AC103" s="1245">
        <f>CPQL!AC42</f>
        <v>1410030</v>
      </c>
      <c r="AD103" s="1245">
        <f>CPQL!AD42</f>
        <v>3591848</v>
      </c>
      <c r="AE103" s="1245">
        <f>CPQL!AE42</f>
        <v>3591848</v>
      </c>
      <c r="AF103" s="1245">
        <f>CPQL!AF42</f>
        <v>3038004</v>
      </c>
      <c r="AG103" s="1245">
        <f>CPQL!AG42</f>
        <v>3645275</v>
      </c>
      <c r="AH103" s="1245">
        <f>CPQL!AH42</f>
        <v>1463454</v>
      </c>
      <c r="AI103" s="1245">
        <f>CPQL!AI42</f>
        <v>801119</v>
      </c>
      <c r="AJ103" s="1245">
        <f>CPQL!AJ42</f>
        <v>801119</v>
      </c>
      <c r="AK103" s="998">
        <f t="shared" si="22"/>
        <v>23927433</v>
      </c>
      <c r="AM103" s="1245">
        <f>CPQL!AM42</f>
        <v>10161366</v>
      </c>
      <c r="AO103" s="1245">
        <f>CPQL!AO42</f>
        <v>6971062</v>
      </c>
      <c r="AQ103" s="1245">
        <v>18000000</v>
      </c>
      <c r="AR103" s="1011">
        <f t="shared" ca="1" si="23"/>
        <v>8003799.0000000112</v>
      </c>
      <c r="AS103" s="1338">
        <f t="shared" ca="1" si="24"/>
        <v>0.33450303674447701</v>
      </c>
    </row>
    <row r="104" spans="2:45" s="6" customFormat="1" ht="14.5" x14ac:dyDescent="0.35">
      <c r="B104" s="589">
        <v>39</v>
      </c>
      <c r="C104" s="588">
        <v>29</v>
      </c>
      <c r="D104" s="981" t="s">
        <v>1494</v>
      </c>
      <c r="E104" s="638" t="s">
        <v>1018</v>
      </c>
      <c r="F104" s="638" t="s">
        <v>1019</v>
      </c>
      <c r="G104" s="638" t="s">
        <v>1018</v>
      </c>
      <c r="H104" s="588" t="s">
        <v>2234</v>
      </c>
      <c r="I104" s="638" t="s">
        <v>513</v>
      </c>
      <c r="J104" s="588" t="s">
        <v>2236</v>
      </c>
      <c r="K104" s="1245">
        <f ca="1">CPQL!K43</f>
        <v>4663821.5623836126</v>
      </c>
      <c r="L104" s="1245">
        <f ca="1">CPQL!L43</f>
        <v>4663821.5623836126</v>
      </c>
      <c r="M104" s="1245">
        <f ca="1">CPQL!M43</f>
        <v>4663817.5623836126</v>
      </c>
      <c r="N104" s="1245">
        <f ca="1">CPQL!N43</f>
        <v>3497154.5623836126</v>
      </c>
      <c r="O104" s="1245">
        <f ca="1">CPQL!O43</f>
        <v>3497154.5623836126</v>
      </c>
      <c r="P104" s="1245">
        <f ca="1">CPQL!P43</f>
        <v>3497154.5623836126</v>
      </c>
      <c r="Q104" s="1245">
        <f ca="1">CPQL!Q43</f>
        <v>3497154.5623836126</v>
      </c>
      <c r="R104" s="1245">
        <f ca="1">CPQL!R43</f>
        <v>3497154.5623836126</v>
      </c>
      <c r="S104" s="1245">
        <f ca="1">CPQL!S43</f>
        <v>3497154.5623836126</v>
      </c>
      <c r="T104" s="1245">
        <f ca="1">CPQL!T43</f>
        <v>3497154.5623836126</v>
      </c>
      <c r="U104" s="1245">
        <f ca="1">CPQL!U43</f>
        <v>3497154.5623836126</v>
      </c>
      <c r="V104" s="1245">
        <f ca="1">CPQL!V43</f>
        <v>3497154.5623836126</v>
      </c>
      <c r="W104" s="998">
        <f t="shared" ca="1" si="21"/>
        <v>45465851.748603366</v>
      </c>
      <c r="X104"/>
      <c r="Y104" s="1245">
        <f>CPQL!Y43</f>
        <v>916667</v>
      </c>
      <c r="Z104" s="1245">
        <f>CPQL!Z43</f>
        <v>916667</v>
      </c>
      <c r="AA104" s="1245">
        <f>CPQL!AA43</f>
        <v>916663</v>
      </c>
      <c r="AB104" s="1245">
        <f>CPQL!AB43</f>
        <v>1166667</v>
      </c>
      <c r="AC104" s="1245">
        <f>CPQL!AC43</f>
        <v>1166667</v>
      </c>
      <c r="AD104" s="1245">
        <f>CPQL!AD43</f>
        <v>1166667</v>
      </c>
      <c r="AE104" s="1245">
        <f>CPQL!AE43</f>
        <v>1166667</v>
      </c>
      <c r="AF104" s="1245">
        <f>CPQL!AF43</f>
        <v>1166667</v>
      </c>
      <c r="AG104" s="1245">
        <f>CPQL!AG43</f>
        <v>1166667</v>
      </c>
      <c r="AH104" s="1245">
        <f>CPQL!AH43</f>
        <v>1166667</v>
      </c>
      <c r="AI104" s="1245">
        <f>CPQL!AI43</f>
        <v>1166667</v>
      </c>
      <c r="AJ104" s="1245">
        <f>CPQL!AJ43</f>
        <v>1166667</v>
      </c>
      <c r="AK104" s="998">
        <f t="shared" si="22"/>
        <v>13250000</v>
      </c>
      <c r="AM104" s="1245">
        <f>CPQL!AM43</f>
        <v>55572679</v>
      </c>
      <c r="AO104" s="1245">
        <f>CPQL!AO43</f>
        <v>33097524</v>
      </c>
      <c r="AQ104" s="1245">
        <v>11000000</v>
      </c>
      <c r="AR104" s="1011">
        <f t="shared" ca="1" si="23"/>
        <v>32215851.748603366</v>
      </c>
      <c r="AS104" s="1339">
        <f t="shared" ca="1" si="24"/>
        <v>2.4313850376304429</v>
      </c>
    </row>
    <row r="105" spans="2:45" s="6" customFormat="1" x14ac:dyDescent="0.3">
      <c r="B105" s="589">
        <v>40</v>
      </c>
      <c r="C105" s="588">
        <v>13</v>
      </c>
      <c r="D105" s="981">
        <v>6427005001</v>
      </c>
      <c r="E105" s="638" t="s">
        <v>433</v>
      </c>
      <c r="F105" s="638" t="s">
        <v>578</v>
      </c>
      <c r="G105" s="578" t="str">
        <f>E105</f>
        <v>Chi phí thuê nhà, văn phòng, xưởng, kho</v>
      </c>
      <c r="H105" s="588" t="s">
        <v>2234</v>
      </c>
      <c r="I105" s="578" t="s">
        <v>513</v>
      </c>
      <c r="J105" s="588" t="s">
        <v>2236</v>
      </c>
      <c r="K105" s="1245">
        <f>CPQL!K44</f>
        <v>0</v>
      </c>
      <c r="L105" s="1245">
        <f>CPQL!L44</f>
        <v>0</v>
      </c>
      <c r="M105" s="1245">
        <f>CPQL!M44</f>
        <v>0</v>
      </c>
      <c r="N105" s="1245">
        <f>CPQL!N44</f>
        <v>0</v>
      </c>
      <c r="O105" s="1245">
        <f>CPQL!O44</f>
        <v>0</v>
      </c>
      <c r="P105" s="1245">
        <f>CPQL!P44</f>
        <v>0</v>
      </c>
      <c r="Q105" s="1245">
        <f>CPQL!Q44</f>
        <v>0</v>
      </c>
      <c r="R105" s="1245">
        <f>CPQL!R44</f>
        <v>0</v>
      </c>
      <c r="S105" s="1245">
        <f>CPQL!S44</f>
        <v>0</v>
      </c>
      <c r="T105" s="1245">
        <f>CPQL!T44</f>
        <v>0</v>
      </c>
      <c r="U105" s="1245">
        <f>CPQL!U44</f>
        <v>0</v>
      </c>
      <c r="V105" s="1245">
        <f>CPQL!V44</f>
        <v>0</v>
      </c>
      <c r="W105" s="998">
        <f t="shared" si="21"/>
        <v>0</v>
      </c>
      <c r="X105" s="496"/>
      <c r="Y105" s="1245">
        <f>CPQL!Y44</f>
        <v>0</v>
      </c>
      <c r="Z105" s="1245">
        <f>CPQL!Z44</f>
        <v>0</v>
      </c>
      <c r="AA105" s="1245">
        <f>CPQL!AA44</f>
        <v>0</v>
      </c>
      <c r="AB105" s="1245">
        <f>CPQL!AB44</f>
        <v>0</v>
      </c>
      <c r="AC105" s="1245">
        <f>CPQL!AC44</f>
        <v>0</v>
      </c>
      <c r="AD105" s="1245">
        <f>CPQL!AD44</f>
        <v>0</v>
      </c>
      <c r="AE105" s="1245">
        <f>CPQL!AE44</f>
        <v>0</v>
      </c>
      <c r="AF105" s="1245">
        <f>CPQL!AF44</f>
        <v>0</v>
      </c>
      <c r="AG105" s="1245">
        <f>CPQL!AG44</f>
        <v>0</v>
      </c>
      <c r="AH105" s="1245">
        <f>CPQL!AH44</f>
        <v>0</v>
      </c>
      <c r="AI105" s="1245">
        <f>CPQL!AI44</f>
        <v>0</v>
      </c>
      <c r="AJ105" s="1245">
        <f>CPQL!AJ44</f>
        <v>0</v>
      </c>
      <c r="AK105" s="998">
        <f t="shared" si="22"/>
        <v>0</v>
      </c>
      <c r="AM105" s="1245">
        <f>CPQL!AM44</f>
        <v>0</v>
      </c>
      <c r="AO105" s="1245">
        <f>CPQL!AO44</f>
        <v>0</v>
      </c>
      <c r="AQ105" s="1245"/>
      <c r="AR105" s="1011">
        <f t="shared" si="23"/>
        <v>0</v>
      </c>
      <c r="AS105" s="1338">
        <f t="shared" si="24"/>
        <v>0</v>
      </c>
    </row>
    <row r="106" spans="2:45" s="6" customFormat="1" x14ac:dyDescent="0.3">
      <c r="B106" s="589">
        <v>41</v>
      </c>
      <c r="C106" s="588">
        <v>8</v>
      </c>
      <c r="D106" s="981">
        <v>6427005102</v>
      </c>
      <c r="E106" s="638" t="s">
        <v>445</v>
      </c>
      <c r="F106" s="638" t="s">
        <v>572</v>
      </c>
      <c r="G106" s="578" t="str">
        <f>E106</f>
        <v>Chi phí mực in, mực photo</v>
      </c>
      <c r="H106" s="588" t="s">
        <v>2234</v>
      </c>
      <c r="I106" s="638" t="s">
        <v>521</v>
      </c>
      <c r="J106" s="588" t="s">
        <v>2236</v>
      </c>
      <c r="K106" s="1245">
        <f>CPQL!K45</f>
        <v>811500</v>
      </c>
      <c r="L106" s="1245">
        <f>CPQL!L45</f>
        <v>339000</v>
      </c>
      <c r="M106" s="1245">
        <f>CPQL!M45</f>
        <v>339000</v>
      </c>
      <c r="N106" s="1245">
        <f>CPQL!N45</f>
        <v>339000</v>
      </c>
      <c r="O106" s="1245">
        <f>CPQL!O45</f>
        <v>1284000</v>
      </c>
      <c r="P106" s="1245">
        <f>CPQL!P45</f>
        <v>339000</v>
      </c>
      <c r="Q106" s="1245">
        <f>CPQL!Q45</f>
        <v>339000</v>
      </c>
      <c r="R106" s="1245">
        <f>CPQL!R45</f>
        <v>339000</v>
      </c>
      <c r="S106" s="1245">
        <f>CPQL!S45</f>
        <v>811500</v>
      </c>
      <c r="T106" s="1245">
        <f>CPQL!T45</f>
        <v>339000</v>
      </c>
      <c r="U106" s="1245">
        <f>CPQL!U45</f>
        <v>339000</v>
      </c>
      <c r="V106" s="1245">
        <f>CPQL!V45</f>
        <v>339000</v>
      </c>
      <c r="W106" s="998">
        <f t="shared" si="21"/>
        <v>5958000</v>
      </c>
      <c r="X106" s="496"/>
      <c r="Y106" s="1245">
        <f>CPQL!Y45</f>
        <v>0</v>
      </c>
      <c r="Z106" s="1245">
        <f>CPQL!Z45</f>
        <v>0</v>
      </c>
      <c r="AA106" s="1245">
        <f>CPQL!AA45</f>
        <v>1470000</v>
      </c>
      <c r="AB106" s="1245">
        <f>CPQL!AB45</f>
        <v>0</v>
      </c>
      <c r="AC106" s="1245">
        <f>CPQL!AC45</f>
        <v>0</v>
      </c>
      <c r="AD106" s="1245">
        <f>CPQL!AD45</f>
        <v>0</v>
      </c>
      <c r="AE106" s="1245">
        <f>CPQL!AE45</f>
        <v>0</v>
      </c>
      <c r="AF106" s="1245">
        <f>CPQL!AF45</f>
        <v>0</v>
      </c>
      <c r="AG106" s="1245">
        <f>CPQL!AG45</f>
        <v>0</v>
      </c>
      <c r="AH106" s="1245">
        <f>CPQL!AH45</f>
        <v>0</v>
      </c>
      <c r="AI106" s="1245">
        <f>CPQL!AI45</f>
        <v>500000</v>
      </c>
      <c r="AJ106" s="1245">
        <f>CPQL!AJ45</f>
        <v>0</v>
      </c>
      <c r="AK106" s="998">
        <f t="shared" si="22"/>
        <v>1970000</v>
      </c>
      <c r="AM106" s="1245">
        <f>CPQL!AM45</f>
        <v>2624089</v>
      </c>
      <c r="AO106" s="1245">
        <f>CPQL!AO45</f>
        <v>1047729</v>
      </c>
      <c r="AQ106" s="1245"/>
      <c r="AR106" s="1011">
        <f t="shared" si="23"/>
        <v>3988000</v>
      </c>
      <c r="AS106" s="1338">
        <f t="shared" si="24"/>
        <v>2.0243654822335024</v>
      </c>
    </row>
    <row r="107" spans="2:45" s="6" customFormat="1" x14ac:dyDescent="0.3">
      <c r="B107" s="589">
        <v>42</v>
      </c>
      <c r="C107" s="588">
        <v>27</v>
      </c>
      <c r="D107" s="981">
        <v>6427005501</v>
      </c>
      <c r="E107" s="638" t="s">
        <v>474</v>
      </c>
      <c r="F107" s="638" t="s">
        <v>593</v>
      </c>
      <c r="G107" s="578" t="str">
        <f>E107</f>
        <v>Chi phí ngân hàng</v>
      </c>
      <c r="H107" s="588" t="s">
        <v>2234</v>
      </c>
      <c r="I107" s="578" t="s">
        <v>521</v>
      </c>
      <c r="J107" s="588" t="s">
        <v>2236</v>
      </c>
      <c r="K107" s="1245">
        <f>CPQL!K46</f>
        <v>455000</v>
      </c>
      <c r="L107" s="1245">
        <f>CPQL!L46</f>
        <v>455000</v>
      </c>
      <c r="M107" s="1245">
        <f>CPQL!M46</f>
        <v>455000</v>
      </c>
      <c r="N107" s="1245">
        <f>CPQL!N46</f>
        <v>455000</v>
      </c>
      <c r="O107" s="1245">
        <f>CPQL!O46</f>
        <v>455000</v>
      </c>
      <c r="P107" s="1245">
        <f>CPQL!P46</f>
        <v>455000</v>
      </c>
      <c r="Q107" s="1245">
        <f>CPQL!Q46</f>
        <v>455000</v>
      </c>
      <c r="R107" s="1245">
        <f>CPQL!R46</f>
        <v>455000</v>
      </c>
      <c r="S107" s="1245">
        <f>CPQL!S46</f>
        <v>455000</v>
      </c>
      <c r="T107" s="1245">
        <f>CPQL!T46</f>
        <v>455000</v>
      </c>
      <c r="U107" s="1245">
        <f>CPQL!U46</f>
        <v>455000</v>
      </c>
      <c r="V107" s="1245">
        <f>CPQL!V46</f>
        <v>455000</v>
      </c>
      <c r="W107" s="998">
        <f t="shared" si="21"/>
        <v>5460000</v>
      </c>
      <c r="X107" s="496"/>
      <c r="Y107" s="1245">
        <f>CPQL!Y46</f>
        <v>219617</v>
      </c>
      <c r="Z107" s="1245">
        <f>CPQL!Z46</f>
        <v>130153</v>
      </c>
      <c r="AA107" s="1245">
        <f>CPQL!AA46</f>
        <v>163380</v>
      </c>
      <c r="AB107" s="1245">
        <f>CPQL!AB46</f>
        <v>319668</v>
      </c>
      <c r="AC107" s="1245">
        <f>CPQL!AC46</f>
        <v>351497</v>
      </c>
      <c r="AD107" s="1245">
        <f>CPQL!AD46</f>
        <v>332325</v>
      </c>
      <c r="AE107" s="1245">
        <f>CPQL!AE46</f>
        <v>18182</v>
      </c>
      <c r="AF107" s="1245">
        <f>CPQL!AF46</f>
        <v>447981</v>
      </c>
      <c r="AG107" s="1245">
        <f>CPQL!AG46</f>
        <v>452722</v>
      </c>
      <c r="AH107" s="1245">
        <f>CPQL!AH46</f>
        <v>452722</v>
      </c>
      <c r="AI107" s="1245">
        <f>CPQL!AI46</f>
        <v>452722</v>
      </c>
      <c r="AJ107" s="1245">
        <f>CPQL!AJ46</f>
        <v>452722</v>
      </c>
      <c r="AK107" s="998">
        <f t="shared" si="22"/>
        <v>3793691</v>
      </c>
      <c r="AM107" s="1245">
        <f>CPQL!AM46</f>
        <v>3833195</v>
      </c>
      <c r="AO107" s="1245">
        <f>CPQL!AO46</f>
        <v>3092931</v>
      </c>
      <c r="AQ107" s="1245"/>
      <c r="AR107" s="1011">
        <f t="shared" si="23"/>
        <v>1666309</v>
      </c>
      <c r="AS107" s="1338">
        <f t="shared" si="24"/>
        <v>0.43923160847839204</v>
      </c>
    </row>
    <row r="108" spans="2:45" s="6" customFormat="1" x14ac:dyDescent="0.3">
      <c r="B108" s="589">
        <v>43</v>
      </c>
      <c r="C108" s="588">
        <v>26</v>
      </c>
      <c r="D108" s="981">
        <v>6427005601</v>
      </c>
      <c r="E108" s="638" t="s">
        <v>94</v>
      </c>
      <c r="F108" s="638" t="s">
        <v>600</v>
      </c>
      <c r="G108" s="578" t="s">
        <v>94</v>
      </c>
      <c r="H108" s="588" t="s">
        <v>2234</v>
      </c>
      <c r="I108" s="578" t="s">
        <v>513</v>
      </c>
      <c r="J108" s="588" t="s">
        <v>2236</v>
      </c>
      <c r="K108" s="1245">
        <f>CPQL!K47</f>
        <v>2000000</v>
      </c>
      <c r="L108" s="1245">
        <f>CPQL!L47</f>
        <v>2000000</v>
      </c>
      <c r="M108" s="1245">
        <f>CPQL!M47</f>
        <v>2000000</v>
      </c>
      <c r="N108" s="1245">
        <f>CPQL!N47</f>
        <v>2000000</v>
      </c>
      <c r="O108" s="1245">
        <f>CPQL!O47</f>
        <v>2000000</v>
      </c>
      <c r="P108" s="1245">
        <f>CPQL!P47</f>
        <v>2000000</v>
      </c>
      <c r="Q108" s="1245">
        <f>CPQL!Q47</f>
        <v>2000000</v>
      </c>
      <c r="R108" s="1245">
        <f>CPQL!R47</f>
        <v>2000000</v>
      </c>
      <c r="S108" s="1245">
        <f>CPQL!S47</f>
        <v>2000000</v>
      </c>
      <c r="T108" s="1245">
        <f>CPQL!T47</f>
        <v>2000000</v>
      </c>
      <c r="U108" s="1245">
        <f>CPQL!U47</f>
        <v>2000000</v>
      </c>
      <c r="V108" s="1245">
        <f>CPQL!V47</f>
        <v>10000000</v>
      </c>
      <c r="W108" s="998">
        <f t="shared" si="21"/>
        <v>32000000</v>
      </c>
      <c r="X108" s="496"/>
      <c r="Y108" s="1245">
        <f>CPQL!Y47</f>
        <v>4000000</v>
      </c>
      <c r="Z108" s="1245">
        <f>CPQL!Z47</f>
        <v>0</v>
      </c>
      <c r="AA108" s="1245">
        <f>CPQL!AA47</f>
        <v>0</v>
      </c>
      <c r="AB108" s="1245">
        <f>CPQL!AB47</f>
        <v>3000000</v>
      </c>
      <c r="AC108" s="1245">
        <f>CPQL!AC47</f>
        <v>7569998</v>
      </c>
      <c r="AD108" s="1245">
        <f>CPQL!AD47</f>
        <v>0</v>
      </c>
      <c r="AE108" s="1245">
        <f>CPQL!AE47</f>
        <v>2000000</v>
      </c>
      <c r="AF108" s="1245">
        <f>CPQL!AF47</f>
        <v>3000000</v>
      </c>
      <c r="AG108" s="1245">
        <f>CPQL!AG47</f>
        <v>1000000</v>
      </c>
      <c r="AH108" s="1245">
        <f>CPQL!AH47</f>
        <v>2000000</v>
      </c>
      <c r="AI108" s="1245">
        <f>CPQL!AI47</f>
        <v>2000000</v>
      </c>
      <c r="AJ108" s="1245">
        <f>CPQL!AJ47</f>
        <v>10000000</v>
      </c>
      <c r="AK108" s="998">
        <f t="shared" si="22"/>
        <v>34569998</v>
      </c>
      <c r="AM108" s="1245">
        <f>CPQL!AM47</f>
        <v>43100000</v>
      </c>
      <c r="AO108" s="1245">
        <f>CPQL!AO47</f>
        <v>3500000</v>
      </c>
      <c r="AQ108" s="1245">
        <v>12000000</v>
      </c>
      <c r="AR108" s="1011">
        <f t="shared" si="23"/>
        <v>-2569998</v>
      </c>
      <c r="AS108" s="1338">
        <f t="shared" si="24"/>
        <v>-7.434186140247967E-2</v>
      </c>
    </row>
    <row r="109" spans="2:45" s="6" customFormat="1" x14ac:dyDescent="0.3">
      <c r="B109" s="589">
        <v>44</v>
      </c>
      <c r="C109" s="588">
        <v>37</v>
      </c>
      <c r="D109" s="981">
        <v>6427005602</v>
      </c>
      <c r="E109" s="638" t="s">
        <v>437</v>
      </c>
      <c r="F109" s="638" t="s">
        <v>570</v>
      </c>
      <c r="G109" s="578" t="str">
        <f>E109</f>
        <v>Chi phí tiệc, phúc lợi</v>
      </c>
      <c r="H109" s="588" t="s">
        <v>2234</v>
      </c>
      <c r="I109" s="638" t="s">
        <v>521</v>
      </c>
      <c r="J109" s="588" t="s">
        <v>2235</v>
      </c>
      <c r="K109" s="1245">
        <f>CPQL!K48</f>
        <v>24891300</v>
      </c>
      <c r="L109" s="1245">
        <f>CPQL!L48</f>
        <v>0</v>
      </c>
      <c r="M109" s="1245">
        <f>CPQL!M48</f>
        <v>0</v>
      </c>
      <c r="N109" s="1245">
        <f>CPQL!N48</f>
        <v>0</v>
      </c>
      <c r="O109" s="1245">
        <f>CPQL!O48</f>
        <v>0</v>
      </c>
      <c r="P109" s="1245">
        <f>CPQL!P48</f>
        <v>0</v>
      </c>
      <c r="Q109" s="1245">
        <f>CPQL!Q48</f>
        <v>0</v>
      </c>
      <c r="R109" s="1245">
        <f>CPQL!R48</f>
        <v>0</v>
      </c>
      <c r="S109" s="1245">
        <f>CPQL!S48</f>
        <v>0</v>
      </c>
      <c r="T109" s="1245">
        <f>CPQL!T48</f>
        <v>0</v>
      </c>
      <c r="U109" s="1245">
        <f>CPQL!U48</f>
        <v>0</v>
      </c>
      <c r="V109" s="1245">
        <f>CPQL!V48</f>
        <v>0</v>
      </c>
      <c r="W109" s="998">
        <f t="shared" si="21"/>
        <v>24891300</v>
      </c>
      <c r="X109" s="496"/>
      <c r="Y109" s="1245">
        <f>CPQL!Y48</f>
        <v>24135432</v>
      </c>
      <c r="Z109" s="1245">
        <f>CPQL!Z48</f>
        <v>0</v>
      </c>
      <c r="AA109" s="1245">
        <f>CPQL!AA48</f>
        <v>0</v>
      </c>
      <c r="AB109" s="1245">
        <f>CPQL!AB48</f>
        <v>0</v>
      </c>
      <c r="AC109" s="1245">
        <f>CPQL!AC48</f>
        <v>0</v>
      </c>
      <c r="AD109" s="1245">
        <f>CPQL!AD48</f>
        <v>0</v>
      </c>
      <c r="AE109" s="1245">
        <f>CPQL!AE48</f>
        <v>236428</v>
      </c>
      <c r="AF109" s="1245">
        <f>CPQL!AF48</f>
        <v>549749</v>
      </c>
      <c r="AG109" s="1245">
        <f>CPQL!AG48</f>
        <v>0</v>
      </c>
      <c r="AH109" s="1245">
        <f>CPQL!AH48</f>
        <v>0</v>
      </c>
      <c r="AI109" s="1245">
        <f>CPQL!AI48</f>
        <v>0</v>
      </c>
      <c r="AJ109" s="1245">
        <f>CPQL!AJ48</f>
        <v>0</v>
      </c>
      <c r="AK109" s="998">
        <f t="shared" si="22"/>
        <v>24921609</v>
      </c>
      <c r="AM109" s="1245">
        <f>CPQL!AM48</f>
        <v>16409999</v>
      </c>
      <c r="AO109" s="1245">
        <f>CPQL!AO48</f>
        <v>27500000</v>
      </c>
      <c r="AQ109" s="1245"/>
      <c r="AR109" s="1011">
        <f t="shared" si="23"/>
        <v>-30309</v>
      </c>
      <c r="AS109" s="1338">
        <f t="shared" si="24"/>
        <v>-1.2161734822178083E-3</v>
      </c>
    </row>
    <row r="110" spans="2:45" s="5" customFormat="1" x14ac:dyDescent="0.3">
      <c r="B110" s="589">
        <v>45</v>
      </c>
      <c r="C110" s="588">
        <v>1</v>
      </c>
      <c r="D110" s="981">
        <v>6427005701</v>
      </c>
      <c r="E110" s="638" t="s">
        <v>438</v>
      </c>
      <c r="F110" s="638" t="s">
        <v>597</v>
      </c>
      <c r="G110" s="578" t="str">
        <f>E110</f>
        <v>Vé bay, tàu, xe, taxi</v>
      </c>
      <c r="H110" s="588" t="s">
        <v>2234</v>
      </c>
      <c r="I110" s="638" t="s">
        <v>521</v>
      </c>
      <c r="J110" s="588" t="s">
        <v>2236</v>
      </c>
      <c r="K110" s="1245">
        <f>CPQL!K49</f>
        <v>525000</v>
      </c>
      <c r="L110" s="1245">
        <f>CPQL!L49</f>
        <v>525000</v>
      </c>
      <c r="M110" s="1245">
        <f>CPQL!M49</f>
        <v>525000</v>
      </c>
      <c r="N110" s="1245">
        <f>CPQL!N49</f>
        <v>525000</v>
      </c>
      <c r="O110" s="1245">
        <f>CPQL!O49</f>
        <v>525000</v>
      </c>
      <c r="P110" s="1245">
        <f>CPQL!P49</f>
        <v>525000</v>
      </c>
      <c r="Q110" s="1245">
        <f>CPQL!Q49</f>
        <v>525000</v>
      </c>
      <c r="R110" s="1245">
        <f>CPQL!R49</f>
        <v>525000</v>
      </c>
      <c r="S110" s="1245">
        <f>CPQL!S49</f>
        <v>525000</v>
      </c>
      <c r="T110" s="1245">
        <f>CPQL!T49</f>
        <v>525000</v>
      </c>
      <c r="U110" s="1245">
        <f>CPQL!U49</f>
        <v>525000</v>
      </c>
      <c r="V110" s="1245">
        <f>CPQL!V49</f>
        <v>525000</v>
      </c>
      <c r="W110" s="998">
        <f t="shared" si="21"/>
        <v>6300000</v>
      </c>
      <c r="X110" s="496"/>
      <c r="Y110" s="1245">
        <f>CPQL!Y49</f>
        <v>0</v>
      </c>
      <c r="Z110" s="1245">
        <f>CPQL!Z49</f>
        <v>1500000</v>
      </c>
      <c r="AA110" s="1245">
        <f>CPQL!AA49</f>
        <v>1100000</v>
      </c>
      <c r="AB110" s="1245">
        <f>CPQL!AB49</f>
        <v>0</v>
      </c>
      <c r="AC110" s="1245">
        <f>CPQL!AC49</f>
        <v>300000</v>
      </c>
      <c r="AD110" s="1245">
        <f>CPQL!AD49</f>
        <v>0</v>
      </c>
      <c r="AE110" s="1245">
        <f>CPQL!AE49</f>
        <v>0</v>
      </c>
      <c r="AF110" s="1245">
        <f>CPQL!AF49</f>
        <v>0</v>
      </c>
      <c r="AG110" s="1245">
        <f>CPQL!AG49</f>
        <v>0</v>
      </c>
      <c r="AH110" s="1245">
        <f>CPQL!AH49</f>
        <v>1000000</v>
      </c>
      <c r="AI110" s="1245">
        <f>CPQL!AI49</f>
        <v>1000000</v>
      </c>
      <c r="AJ110" s="1245">
        <f>CPQL!AJ49</f>
        <v>1000000</v>
      </c>
      <c r="AK110" s="998">
        <f t="shared" si="22"/>
        <v>5900000</v>
      </c>
      <c r="AM110" s="1245">
        <f>CPQL!AM49</f>
        <v>10550000</v>
      </c>
      <c r="AO110" s="1245">
        <f>CPQL!AO49</f>
        <v>0</v>
      </c>
      <c r="AQ110" s="1245"/>
      <c r="AR110" s="1011">
        <f t="shared" si="23"/>
        <v>400000</v>
      </c>
      <c r="AS110" s="1338">
        <f t="shared" si="24"/>
        <v>6.7796610169491567E-2</v>
      </c>
    </row>
    <row r="111" spans="2:45" s="6" customFormat="1" x14ac:dyDescent="0.3">
      <c r="B111" s="589">
        <v>46</v>
      </c>
      <c r="C111" s="588">
        <v>1</v>
      </c>
      <c r="D111" s="981">
        <v>6427005702</v>
      </c>
      <c r="E111" s="638" t="s">
        <v>439</v>
      </c>
      <c r="F111" s="638" t="s">
        <v>598</v>
      </c>
      <c r="G111" s="578" t="s">
        <v>93</v>
      </c>
      <c r="H111" s="588" t="s">
        <v>2234</v>
      </c>
      <c r="I111" s="638" t="s">
        <v>521</v>
      </c>
      <c r="J111" s="588" t="s">
        <v>2236</v>
      </c>
      <c r="K111" s="1245">
        <f>CPQL!K50</f>
        <v>0</v>
      </c>
      <c r="L111" s="1245">
        <f>CPQL!L50</f>
        <v>0</v>
      </c>
      <c r="M111" s="1245">
        <f>CPQL!M50</f>
        <v>0</v>
      </c>
      <c r="N111" s="1245">
        <f>CPQL!N50</f>
        <v>0</v>
      </c>
      <c r="O111" s="1245">
        <f>CPQL!O50</f>
        <v>0</v>
      </c>
      <c r="P111" s="1245">
        <f>CPQL!P50</f>
        <v>0</v>
      </c>
      <c r="Q111" s="1245">
        <f>CPQL!Q50</f>
        <v>0</v>
      </c>
      <c r="R111" s="1245">
        <f>CPQL!R50</f>
        <v>0</v>
      </c>
      <c r="S111" s="1245">
        <f>CPQL!S50</f>
        <v>0</v>
      </c>
      <c r="T111" s="1245">
        <f>CPQL!T50</f>
        <v>0</v>
      </c>
      <c r="U111" s="1245">
        <f>CPQL!U50</f>
        <v>0</v>
      </c>
      <c r="V111" s="1245">
        <f>CPQL!V50</f>
        <v>0</v>
      </c>
      <c r="W111" s="998">
        <f t="shared" si="21"/>
        <v>0</v>
      </c>
      <c r="X111" s="496"/>
      <c r="Y111" s="1245">
        <f>CPQL!Y50</f>
        <v>0</v>
      </c>
      <c r="Z111" s="1245">
        <f>CPQL!Z50</f>
        <v>0</v>
      </c>
      <c r="AA111" s="1245">
        <f>CPQL!AA50</f>
        <v>0</v>
      </c>
      <c r="AB111" s="1245">
        <f>CPQL!AB50</f>
        <v>0</v>
      </c>
      <c r="AC111" s="1245">
        <f>CPQL!AC50</f>
        <v>0</v>
      </c>
      <c r="AD111" s="1245">
        <f>CPQL!AD50</f>
        <v>0</v>
      </c>
      <c r="AE111" s="1245">
        <f>CPQL!AE50</f>
        <v>0</v>
      </c>
      <c r="AF111" s="1245">
        <f>CPQL!AF50</f>
        <v>0</v>
      </c>
      <c r="AG111" s="1245">
        <f>CPQL!AG50</f>
        <v>0</v>
      </c>
      <c r="AH111" s="1245">
        <f>CPQL!AH50</f>
        <v>0</v>
      </c>
      <c r="AI111" s="1245">
        <f>CPQL!AI50</f>
        <v>0</v>
      </c>
      <c r="AJ111" s="1245">
        <f>CPQL!AJ50</f>
        <v>0</v>
      </c>
      <c r="AK111" s="998">
        <f t="shared" si="22"/>
        <v>0</v>
      </c>
      <c r="AM111" s="1245">
        <f>CPQL!AM50</f>
        <v>0</v>
      </c>
      <c r="AO111" s="1245">
        <f>CPQL!AO50</f>
        <v>0</v>
      </c>
      <c r="AQ111" s="1245"/>
      <c r="AR111" s="1011">
        <f t="shared" si="23"/>
        <v>0</v>
      </c>
      <c r="AS111" s="1338">
        <f t="shared" si="24"/>
        <v>0</v>
      </c>
    </row>
    <row r="112" spans="2:45" s="6" customFormat="1" x14ac:dyDescent="0.3">
      <c r="B112" s="589">
        <v>47</v>
      </c>
      <c r="C112" s="588">
        <v>18</v>
      </c>
      <c r="D112" s="981">
        <v>6427005801</v>
      </c>
      <c r="E112" s="638" t="s">
        <v>434</v>
      </c>
      <c r="F112" s="638" t="s">
        <v>590</v>
      </c>
      <c r="G112" s="578" t="s">
        <v>88</v>
      </c>
      <c r="H112" s="588" t="s">
        <v>2234</v>
      </c>
      <c r="I112" s="578" t="s">
        <v>513</v>
      </c>
      <c r="J112" s="588" t="s">
        <v>2236</v>
      </c>
      <c r="K112" s="1245">
        <f ca="1">CPQL!K51</f>
        <v>21618395</v>
      </c>
      <c r="L112" s="1245">
        <f ca="1">CPQL!L51</f>
        <v>21618395</v>
      </c>
      <c r="M112" s="1245">
        <f ca="1">CPQL!M51</f>
        <v>20800487</v>
      </c>
      <c r="N112" s="1245">
        <f ca="1">CPQL!N51</f>
        <v>20800479</v>
      </c>
      <c r="O112" s="1245">
        <f ca="1">CPQL!O51</f>
        <v>20800471</v>
      </c>
      <c r="P112" s="1245">
        <f ca="1">CPQL!P51</f>
        <v>20356645</v>
      </c>
      <c r="Q112" s="1245">
        <f ca="1">CPQL!Q51</f>
        <v>20356645</v>
      </c>
      <c r="R112" s="1245">
        <f ca="1">CPQL!R51</f>
        <v>20212162</v>
      </c>
      <c r="S112" s="1245">
        <f ca="1">CPQL!S51</f>
        <v>20196673</v>
      </c>
      <c r="T112" s="1245">
        <f ca="1">CPQL!T51</f>
        <v>20196673</v>
      </c>
      <c r="U112" s="1245">
        <f ca="1">CPQL!U51</f>
        <v>20196673</v>
      </c>
      <c r="V112" s="1245">
        <f ca="1">CPQL!V51</f>
        <v>20196673</v>
      </c>
      <c r="W112" s="998">
        <f t="shared" ca="1" si="21"/>
        <v>247350371</v>
      </c>
      <c r="X112" s="496"/>
      <c r="Y112" s="1245">
        <f>CPQL!Y51</f>
        <v>22649003</v>
      </c>
      <c r="Z112" s="1245">
        <f>CPQL!Z51</f>
        <v>19149372</v>
      </c>
      <c r="AA112" s="1245">
        <f>CPQL!AA51</f>
        <v>19170145</v>
      </c>
      <c r="AB112" s="1245">
        <f>CPQL!AB51</f>
        <v>20850145</v>
      </c>
      <c r="AC112" s="1245">
        <f>CPQL!AC51</f>
        <v>20029500</v>
      </c>
      <c r="AD112" s="1245">
        <f>CPQL!AD51</f>
        <v>19647280</v>
      </c>
      <c r="AE112" s="1245">
        <f>CPQL!AE51</f>
        <v>19618395</v>
      </c>
      <c r="AF112" s="1245">
        <f>CPQL!AF51</f>
        <v>19618395</v>
      </c>
      <c r="AG112" s="1245">
        <f>CPQL!AG51</f>
        <v>21298395</v>
      </c>
      <c r="AH112" s="1245">
        <f>CPQL!AH51</f>
        <v>21298395</v>
      </c>
      <c r="AI112" s="1245">
        <f>CPQL!AI51</f>
        <v>21298395</v>
      </c>
      <c r="AJ112" s="1245">
        <f>CPQL!AJ51</f>
        <v>21298395</v>
      </c>
      <c r="AK112" s="998">
        <f t="shared" si="22"/>
        <v>245925815</v>
      </c>
      <c r="AM112" s="1245">
        <f>CPQL!AM51</f>
        <v>370448392</v>
      </c>
      <c r="AO112" s="1245">
        <f>CPQL!AO51</f>
        <v>4645479</v>
      </c>
      <c r="AQ112" s="1245">
        <v>216000000</v>
      </c>
      <c r="AR112" s="1011">
        <f t="shared" ca="1" si="23"/>
        <v>1424556</v>
      </c>
      <c r="AS112" s="1338">
        <f t="shared" ca="1" si="24"/>
        <v>5.792624901944432E-3</v>
      </c>
    </row>
    <row r="113" spans="2:45" s="6" customFormat="1" x14ac:dyDescent="0.3">
      <c r="B113" s="589">
        <v>48</v>
      </c>
      <c r="C113" s="588">
        <v>19</v>
      </c>
      <c r="D113" s="981">
        <v>6427005802</v>
      </c>
      <c r="E113" s="638" t="s">
        <v>476</v>
      </c>
      <c r="F113" s="638" t="s">
        <v>591</v>
      </c>
      <c r="G113" s="578" t="str">
        <f t="shared" ref="G113:G121" si="25">E113</f>
        <v>Chi phí kiểm toán</v>
      </c>
      <c r="H113" s="588" t="s">
        <v>2234</v>
      </c>
      <c r="I113" s="578" t="s">
        <v>522</v>
      </c>
      <c r="J113" s="588" t="s">
        <v>2236</v>
      </c>
      <c r="K113" s="1245">
        <f>CPQL!K52</f>
        <v>0</v>
      </c>
      <c r="L113" s="1245">
        <f>CPQL!L52</f>
        <v>0</v>
      </c>
      <c r="M113" s="1245">
        <f>CPQL!M52</f>
        <v>0</v>
      </c>
      <c r="N113" s="1245">
        <f>CPQL!N52</f>
        <v>0</v>
      </c>
      <c r="O113" s="1245">
        <f>CPQL!O52</f>
        <v>0</v>
      </c>
      <c r="P113" s="1245">
        <f>CPQL!P52</f>
        <v>0</v>
      </c>
      <c r="Q113" s="1245">
        <f>CPQL!Q52</f>
        <v>0</v>
      </c>
      <c r="R113" s="1245">
        <f>CPQL!R52</f>
        <v>0</v>
      </c>
      <c r="S113" s="1245">
        <f>CPQL!S52</f>
        <v>0</v>
      </c>
      <c r="T113" s="1245">
        <f>CPQL!T52</f>
        <v>0</v>
      </c>
      <c r="U113" s="1245">
        <f>CPQL!U52</f>
        <v>0</v>
      </c>
      <c r="V113" s="1245">
        <f>CPQL!V52</f>
        <v>0</v>
      </c>
      <c r="W113" s="998">
        <f t="shared" si="21"/>
        <v>0</v>
      </c>
      <c r="X113" s="496"/>
      <c r="Y113" s="1245">
        <f>CPQL!Y52</f>
        <v>0</v>
      </c>
      <c r="Z113" s="1245">
        <f>CPQL!Z52</f>
        <v>0</v>
      </c>
      <c r="AA113" s="1245">
        <f>CPQL!AA52</f>
        <v>0</v>
      </c>
      <c r="AB113" s="1245">
        <f>CPQL!AB52</f>
        <v>0</v>
      </c>
      <c r="AC113" s="1245">
        <f>CPQL!AC52</f>
        <v>0</v>
      </c>
      <c r="AD113" s="1245">
        <f>CPQL!AD52</f>
        <v>0</v>
      </c>
      <c r="AE113" s="1245">
        <f>CPQL!AE52</f>
        <v>0</v>
      </c>
      <c r="AF113" s="1245">
        <f>CPQL!AF52</f>
        <v>0</v>
      </c>
      <c r="AG113" s="1245">
        <f>CPQL!AG52</f>
        <v>0</v>
      </c>
      <c r="AH113" s="1245">
        <f>CPQL!AH52</f>
        <v>0</v>
      </c>
      <c r="AI113" s="1245">
        <f>CPQL!AI52</f>
        <v>0</v>
      </c>
      <c r="AJ113" s="1245">
        <f>CPQL!AJ52</f>
        <v>0</v>
      </c>
      <c r="AK113" s="998">
        <f t="shared" si="22"/>
        <v>0</v>
      </c>
      <c r="AM113" s="1245">
        <f>CPQL!AM52</f>
        <v>0</v>
      </c>
      <c r="AO113" s="1245">
        <f>CPQL!AO52</f>
        <v>0</v>
      </c>
      <c r="AQ113" s="1245"/>
      <c r="AR113" s="1011">
        <f t="shared" si="23"/>
        <v>0</v>
      </c>
      <c r="AS113" s="1338">
        <f t="shared" si="24"/>
        <v>0</v>
      </c>
    </row>
    <row r="114" spans="2:45" s="6" customFormat="1" x14ac:dyDescent="0.3">
      <c r="B114" s="589">
        <v>49</v>
      </c>
      <c r="C114" s="588">
        <v>32</v>
      </c>
      <c r="D114" s="981">
        <v>6427005803</v>
      </c>
      <c r="E114" s="638" t="s">
        <v>477</v>
      </c>
      <c r="F114" s="638" t="s">
        <v>575</v>
      </c>
      <c r="G114" s="578" t="str">
        <f t="shared" si="25"/>
        <v>Chi phí trang trí văn phòng</v>
      </c>
      <c r="H114" s="588" t="s">
        <v>2234</v>
      </c>
      <c r="I114" s="638" t="s">
        <v>521</v>
      </c>
      <c r="J114" s="588" t="s">
        <v>2236</v>
      </c>
      <c r="K114" s="1245">
        <f>CPQL!K53</f>
        <v>0</v>
      </c>
      <c r="L114" s="1245">
        <f>CPQL!L53</f>
        <v>0</v>
      </c>
      <c r="M114" s="1245">
        <f>CPQL!M53</f>
        <v>0</v>
      </c>
      <c r="N114" s="1245">
        <f>CPQL!N53</f>
        <v>0</v>
      </c>
      <c r="O114" s="1245">
        <f>CPQL!O53</f>
        <v>0</v>
      </c>
      <c r="P114" s="1245">
        <f>CPQL!P53</f>
        <v>0</v>
      </c>
      <c r="Q114" s="1245">
        <f>CPQL!Q53</f>
        <v>0</v>
      </c>
      <c r="R114" s="1245">
        <f>CPQL!R53</f>
        <v>0</v>
      </c>
      <c r="S114" s="1245">
        <f>CPQL!S53</f>
        <v>0</v>
      </c>
      <c r="T114" s="1245">
        <f>CPQL!T53</f>
        <v>0</v>
      </c>
      <c r="U114" s="1245">
        <f>CPQL!U53</f>
        <v>0</v>
      </c>
      <c r="V114" s="1245">
        <f>CPQL!V53</f>
        <v>0</v>
      </c>
      <c r="W114" s="998">
        <f t="shared" si="21"/>
        <v>0</v>
      </c>
      <c r="X114" s="496"/>
      <c r="Y114" s="1245">
        <f>CPQL!Y53</f>
        <v>0</v>
      </c>
      <c r="Z114" s="1245">
        <f>CPQL!Z53</f>
        <v>0</v>
      </c>
      <c r="AA114" s="1245">
        <f>CPQL!AA53</f>
        <v>0</v>
      </c>
      <c r="AB114" s="1245">
        <f>CPQL!AB53</f>
        <v>0</v>
      </c>
      <c r="AC114" s="1245">
        <f>CPQL!AC53</f>
        <v>0</v>
      </c>
      <c r="AD114" s="1245">
        <f>CPQL!AD53</f>
        <v>0</v>
      </c>
      <c r="AE114" s="1245">
        <f>CPQL!AE53</f>
        <v>0</v>
      </c>
      <c r="AF114" s="1245">
        <f>CPQL!AF53</f>
        <v>0</v>
      </c>
      <c r="AG114" s="1245">
        <f>CPQL!AG53</f>
        <v>0</v>
      </c>
      <c r="AH114" s="1245">
        <f>CPQL!AH53</f>
        <v>0</v>
      </c>
      <c r="AI114" s="1245">
        <f>CPQL!AI53</f>
        <v>0</v>
      </c>
      <c r="AJ114" s="1245">
        <f>CPQL!AJ53</f>
        <v>0</v>
      </c>
      <c r="AK114" s="998">
        <f t="shared" si="22"/>
        <v>0</v>
      </c>
      <c r="AM114" s="1245">
        <f>CPQL!AM53</f>
        <v>0</v>
      </c>
      <c r="AO114" s="1245">
        <f>CPQL!AO53</f>
        <v>0</v>
      </c>
      <c r="AQ114" s="1245"/>
      <c r="AR114" s="1011">
        <f t="shared" si="23"/>
        <v>0</v>
      </c>
      <c r="AS114" s="1338">
        <f t="shared" si="24"/>
        <v>0</v>
      </c>
    </row>
    <row r="115" spans="2:45" s="6" customFormat="1" x14ac:dyDescent="0.3">
      <c r="B115" s="589">
        <v>50</v>
      </c>
      <c r="C115" s="588">
        <v>32</v>
      </c>
      <c r="D115" s="981">
        <v>6428002803</v>
      </c>
      <c r="E115" s="638" t="s">
        <v>492</v>
      </c>
      <c r="F115" s="638" t="s">
        <v>575</v>
      </c>
      <c r="G115" s="578" t="str">
        <f t="shared" si="25"/>
        <v>Tiền cà phê, bánh phòng họp</v>
      </c>
      <c r="H115" s="588" t="s">
        <v>2234</v>
      </c>
      <c r="I115" s="638" t="s">
        <v>521</v>
      </c>
      <c r="J115" s="588" t="s">
        <v>2236</v>
      </c>
      <c r="K115" s="1245">
        <f>CPQL!K54</f>
        <v>0</v>
      </c>
      <c r="L115" s="1245">
        <f>CPQL!L54</f>
        <v>0</v>
      </c>
      <c r="M115" s="1245">
        <f>CPQL!M54</f>
        <v>0</v>
      </c>
      <c r="N115" s="1245">
        <f>CPQL!N54</f>
        <v>0</v>
      </c>
      <c r="O115" s="1245">
        <f>CPQL!O54</f>
        <v>0</v>
      </c>
      <c r="P115" s="1245">
        <f>CPQL!P54</f>
        <v>0</v>
      </c>
      <c r="Q115" s="1245">
        <f>CPQL!Q54</f>
        <v>0</v>
      </c>
      <c r="R115" s="1245">
        <f>CPQL!R54</f>
        <v>0</v>
      </c>
      <c r="S115" s="1245">
        <f>CPQL!S54</f>
        <v>0</v>
      </c>
      <c r="T115" s="1245">
        <f>CPQL!T54</f>
        <v>0</v>
      </c>
      <c r="U115" s="1245">
        <f>CPQL!U54</f>
        <v>0</v>
      </c>
      <c r="V115" s="1245">
        <f>CPQL!V54</f>
        <v>0</v>
      </c>
      <c r="W115" s="998">
        <f t="shared" si="21"/>
        <v>0</v>
      </c>
      <c r="X115" s="496"/>
      <c r="Y115" s="1245">
        <f>CPQL!Y54</f>
        <v>0</v>
      </c>
      <c r="Z115" s="1245">
        <f>CPQL!Z54</f>
        <v>0</v>
      </c>
      <c r="AA115" s="1245">
        <f>CPQL!AA54</f>
        <v>0</v>
      </c>
      <c r="AB115" s="1245">
        <f>CPQL!AB54</f>
        <v>0</v>
      </c>
      <c r="AC115" s="1245">
        <f>CPQL!AC54</f>
        <v>0</v>
      </c>
      <c r="AD115" s="1245">
        <f>CPQL!AD54</f>
        <v>0</v>
      </c>
      <c r="AE115" s="1245">
        <f>CPQL!AE54</f>
        <v>0</v>
      </c>
      <c r="AF115" s="1245">
        <f>CPQL!AF54</f>
        <v>0</v>
      </c>
      <c r="AG115" s="1245">
        <f>CPQL!AG54</f>
        <v>0</v>
      </c>
      <c r="AH115" s="1245">
        <f>CPQL!AH54</f>
        <v>0</v>
      </c>
      <c r="AI115" s="1245">
        <f>CPQL!AI54</f>
        <v>0</v>
      </c>
      <c r="AJ115" s="1245">
        <f>CPQL!AJ54</f>
        <v>0</v>
      </c>
      <c r="AK115" s="998">
        <f t="shared" si="22"/>
        <v>0</v>
      </c>
      <c r="AM115" s="1245">
        <f>CPQL!AM54</f>
        <v>0</v>
      </c>
      <c r="AO115" s="1245">
        <f>CPQL!AO54</f>
        <v>0</v>
      </c>
      <c r="AQ115" s="1245"/>
      <c r="AR115" s="1011">
        <f t="shared" si="23"/>
        <v>0</v>
      </c>
      <c r="AS115" s="1338">
        <f t="shared" si="24"/>
        <v>0</v>
      </c>
    </row>
    <row r="116" spans="2:45" s="6" customFormat="1" x14ac:dyDescent="0.3">
      <c r="B116" s="589">
        <v>51</v>
      </c>
      <c r="C116" s="588">
        <v>30</v>
      </c>
      <c r="D116" s="981">
        <v>6428004108</v>
      </c>
      <c r="E116" s="638" t="s">
        <v>487</v>
      </c>
      <c r="F116" s="638" t="s">
        <v>595</v>
      </c>
      <c r="G116" s="578" t="str">
        <f t="shared" si="25"/>
        <v>Chi phí phát triển sản phẩm, thị trường</v>
      </c>
      <c r="H116" s="588" t="s">
        <v>2234</v>
      </c>
      <c r="I116" s="578" t="s">
        <v>520</v>
      </c>
      <c r="J116" s="588" t="s">
        <v>2236</v>
      </c>
      <c r="K116" s="1245">
        <f>CPQL!K55</f>
        <v>0</v>
      </c>
      <c r="L116" s="1245">
        <f>CPQL!L55</f>
        <v>0</v>
      </c>
      <c r="M116" s="1245">
        <f>CPQL!M55</f>
        <v>0</v>
      </c>
      <c r="N116" s="1245">
        <f>CPQL!N55</f>
        <v>0</v>
      </c>
      <c r="O116" s="1245">
        <f>CPQL!O55</f>
        <v>0</v>
      </c>
      <c r="P116" s="1245">
        <f>CPQL!P55</f>
        <v>0</v>
      </c>
      <c r="Q116" s="1245">
        <f>CPQL!Q55</f>
        <v>0</v>
      </c>
      <c r="R116" s="1245">
        <f>CPQL!R55</f>
        <v>0</v>
      </c>
      <c r="S116" s="1245">
        <f>CPQL!S55</f>
        <v>0</v>
      </c>
      <c r="T116" s="1245">
        <f>CPQL!T55</f>
        <v>0</v>
      </c>
      <c r="U116" s="1245">
        <f>CPQL!U55</f>
        <v>0</v>
      </c>
      <c r="V116" s="1245">
        <f>CPQL!V55</f>
        <v>0</v>
      </c>
      <c r="W116" s="998">
        <f t="shared" si="21"/>
        <v>0</v>
      </c>
      <c r="X116" s="496"/>
      <c r="Y116" s="1245">
        <f>CPQL!Y55</f>
        <v>0</v>
      </c>
      <c r="Z116" s="1245">
        <f>CPQL!Z55</f>
        <v>0</v>
      </c>
      <c r="AA116" s="1245">
        <f>CPQL!AA55</f>
        <v>0</v>
      </c>
      <c r="AB116" s="1245">
        <f>CPQL!AB55</f>
        <v>0</v>
      </c>
      <c r="AC116" s="1245">
        <f>CPQL!AC55</f>
        <v>0</v>
      </c>
      <c r="AD116" s="1245">
        <f>CPQL!AD55</f>
        <v>0</v>
      </c>
      <c r="AE116" s="1245">
        <f>CPQL!AE55</f>
        <v>0</v>
      </c>
      <c r="AF116" s="1245">
        <f>CPQL!AF55</f>
        <v>0</v>
      </c>
      <c r="AG116" s="1245">
        <f>CPQL!AG55</f>
        <v>0</v>
      </c>
      <c r="AH116" s="1245">
        <f>CPQL!AH55</f>
        <v>0</v>
      </c>
      <c r="AI116" s="1245">
        <f>CPQL!AI55</f>
        <v>0</v>
      </c>
      <c r="AJ116" s="1245">
        <f>CPQL!AJ55</f>
        <v>0</v>
      </c>
      <c r="AK116" s="998">
        <f t="shared" si="22"/>
        <v>0</v>
      </c>
      <c r="AM116" s="1245">
        <f>CPQL!AM55</f>
        <v>0</v>
      </c>
      <c r="AO116" s="1245">
        <f>CPQL!AO55</f>
        <v>0</v>
      </c>
      <c r="AQ116" s="1245"/>
      <c r="AR116" s="1011">
        <f t="shared" si="23"/>
        <v>0</v>
      </c>
      <c r="AS116" s="1338">
        <f t="shared" si="24"/>
        <v>0</v>
      </c>
    </row>
    <row r="117" spans="2:45" s="6" customFormat="1" x14ac:dyDescent="0.3">
      <c r="B117" s="589">
        <v>52</v>
      </c>
      <c r="C117" s="588">
        <v>32</v>
      </c>
      <c r="D117" s="981">
        <v>6428004202</v>
      </c>
      <c r="E117" s="638" t="s">
        <v>452</v>
      </c>
      <c r="F117" s="638" t="s">
        <v>575</v>
      </c>
      <c r="G117" s="578" t="str">
        <f t="shared" si="25"/>
        <v>Chi phí bồi thường, nộp phạt</v>
      </c>
      <c r="H117" s="588" t="s">
        <v>2234</v>
      </c>
      <c r="I117" s="578" t="s">
        <v>522</v>
      </c>
      <c r="J117" s="588" t="s">
        <v>2236</v>
      </c>
      <c r="K117" s="1245">
        <f>CPQL!K56</f>
        <v>0</v>
      </c>
      <c r="L117" s="1245">
        <f>CPQL!L56</f>
        <v>0</v>
      </c>
      <c r="M117" s="1245">
        <f>CPQL!M56</f>
        <v>0</v>
      </c>
      <c r="N117" s="1245">
        <f>CPQL!N56</f>
        <v>0</v>
      </c>
      <c r="O117" s="1245">
        <f>CPQL!O56</f>
        <v>0</v>
      </c>
      <c r="P117" s="1245">
        <f>CPQL!P56</f>
        <v>0</v>
      </c>
      <c r="Q117" s="1245">
        <f>CPQL!Q56</f>
        <v>0</v>
      </c>
      <c r="R117" s="1245">
        <f>CPQL!R56</f>
        <v>0</v>
      </c>
      <c r="S117" s="1245">
        <f>CPQL!S56</f>
        <v>0</v>
      </c>
      <c r="T117" s="1245">
        <f>CPQL!T56</f>
        <v>0</v>
      </c>
      <c r="U117" s="1245">
        <f>CPQL!U56</f>
        <v>0</v>
      </c>
      <c r="V117" s="1245">
        <f>CPQL!V56</f>
        <v>0</v>
      </c>
      <c r="W117" s="998">
        <f t="shared" si="21"/>
        <v>0</v>
      </c>
      <c r="X117" s="496"/>
      <c r="Y117" s="1245">
        <f>CPQL!Y56</f>
        <v>0</v>
      </c>
      <c r="Z117" s="1245">
        <f>CPQL!Z56</f>
        <v>0</v>
      </c>
      <c r="AA117" s="1245">
        <f>CPQL!AA56</f>
        <v>0</v>
      </c>
      <c r="AB117" s="1245">
        <f>CPQL!AB56</f>
        <v>0</v>
      </c>
      <c r="AC117" s="1245">
        <f>CPQL!AC56</f>
        <v>0</v>
      </c>
      <c r="AD117" s="1245">
        <f>CPQL!AD56</f>
        <v>0</v>
      </c>
      <c r="AE117" s="1245">
        <f>CPQL!AE56</f>
        <v>0</v>
      </c>
      <c r="AF117" s="1245">
        <f>CPQL!AF56</f>
        <v>0</v>
      </c>
      <c r="AG117" s="1245">
        <f>CPQL!AG56</f>
        <v>0</v>
      </c>
      <c r="AH117" s="1245">
        <f>CPQL!AH56</f>
        <v>0</v>
      </c>
      <c r="AI117" s="1245">
        <f>CPQL!AI56</f>
        <v>0</v>
      </c>
      <c r="AJ117" s="1245">
        <f>CPQL!AJ56</f>
        <v>0</v>
      </c>
      <c r="AK117" s="998">
        <f t="shared" si="22"/>
        <v>0</v>
      </c>
      <c r="AM117" s="1245">
        <f>CPQL!AM56</f>
        <v>0</v>
      </c>
      <c r="AO117" s="1245">
        <f>CPQL!AO56</f>
        <v>0</v>
      </c>
      <c r="AQ117" s="1245"/>
      <c r="AR117" s="1011">
        <f t="shared" si="23"/>
        <v>0</v>
      </c>
      <c r="AS117" s="1338">
        <f t="shared" si="24"/>
        <v>0</v>
      </c>
    </row>
    <row r="118" spans="2:45" s="6" customFormat="1" x14ac:dyDescent="0.3">
      <c r="B118" s="589">
        <v>53</v>
      </c>
      <c r="C118" s="588">
        <v>37</v>
      </c>
      <c r="D118" s="981">
        <v>6428004302</v>
      </c>
      <c r="E118" s="638" t="s">
        <v>483</v>
      </c>
      <c r="F118" s="638" t="s">
        <v>570</v>
      </c>
      <c r="G118" s="578" t="str">
        <f t="shared" si="25"/>
        <v>Chi phí hiếu hỷ, phúc lợi khác NV</v>
      </c>
      <c r="H118" s="588" t="s">
        <v>2234</v>
      </c>
      <c r="I118" s="638" t="s">
        <v>521</v>
      </c>
      <c r="J118" s="588" t="s">
        <v>2235</v>
      </c>
      <c r="K118" s="1245">
        <f>CPQL!K57</f>
        <v>0</v>
      </c>
      <c r="L118" s="1245">
        <f>CPQL!L57</f>
        <v>22050000</v>
      </c>
      <c r="M118" s="1245">
        <f>CPQL!M57</f>
        <v>0</v>
      </c>
      <c r="N118" s="1245">
        <f>CPQL!N57</f>
        <v>0</v>
      </c>
      <c r="O118" s="1245">
        <f>CPQL!O57</f>
        <v>0</v>
      </c>
      <c r="P118" s="1245">
        <f>CPQL!P57</f>
        <v>0</v>
      </c>
      <c r="Q118" s="1245">
        <f>CPQL!Q57</f>
        <v>0</v>
      </c>
      <c r="R118" s="1245">
        <f>CPQL!R57</f>
        <v>0</v>
      </c>
      <c r="S118" s="1245">
        <f>CPQL!S57</f>
        <v>0</v>
      </c>
      <c r="T118" s="1245">
        <f>CPQL!T57</f>
        <v>0</v>
      </c>
      <c r="U118" s="1245">
        <f>CPQL!U57</f>
        <v>0</v>
      </c>
      <c r="V118" s="1245">
        <f>CPQL!V57</f>
        <v>0</v>
      </c>
      <c r="W118" s="998">
        <f t="shared" si="21"/>
        <v>22050000</v>
      </c>
      <c r="X118" s="496"/>
      <c r="Y118" s="1245">
        <f>CPQL!Y57</f>
        <v>0</v>
      </c>
      <c r="Z118" s="1245">
        <f>CPQL!Z57</f>
        <v>0</v>
      </c>
      <c r="AA118" s="1245">
        <f>CPQL!AA57</f>
        <v>0</v>
      </c>
      <c r="AB118" s="1245">
        <f>CPQL!AB57</f>
        <v>0</v>
      </c>
      <c r="AC118" s="1245">
        <f>CPQL!AC57</f>
        <v>0</v>
      </c>
      <c r="AD118" s="1245">
        <f>CPQL!AD57</f>
        <v>0</v>
      </c>
      <c r="AE118" s="1245">
        <f>CPQL!AE57</f>
        <v>0</v>
      </c>
      <c r="AF118" s="1245">
        <f>CPQL!AF57</f>
        <v>0</v>
      </c>
      <c r="AG118" s="1245">
        <f>CPQL!AG57</f>
        <v>0</v>
      </c>
      <c r="AH118" s="1245">
        <f>CPQL!AH57</f>
        <v>0</v>
      </c>
      <c r="AI118" s="1245">
        <f>CPQL!AI57</f>
        <v>0</v>
      </c>
      <c r="AJ118" s="1245">
        <f>CPQL!AJ57</f>
        <v>0</v>
      </c>
      <c r="AK118" s="998">
        <f t="shared" si="22"/>
        <v>0</v>
      </c>
      <c r="AM118" s="1245">
        <f>CPQL!AM57</f>
        <v>1000000</v>
      </c>
      <c r="AO118" s="1245">
        <f>CPQL!AO57</f>
        <v>0</v>
      </c>
      <c r="AQ118" s="1245"/>
      <c r="AR118" s="1011">
        <f t="shared" si="23"/>
        <v>22050000</v>
      </c>
      <c r="AS118" s="1338">
        <f t="shared" si="24"/>
        <v>0</v>
      </c>
    </row>
    <row r="119" spans="2:45" s="5" customFormat="1" x14ac:dyDescent="0.3">
      <c r="B119" s="589">
        <v>54</v>
      </c>
      <c r="C119" s="588">
        <v>25</v>
      </c>
      <c r="D119" s="981">
        <v>6428004701</v>
      </c>
      <c r="E119" s="638" t="s">
        <v>480</v>
      </c>
      <c r="F119" s="638" t="s">
        <v>601</v>
      </c>
      <c r="G119" s="578" t="str">
        <f t="shared" si="25"/>
        <v>Chi phí ủng hộ, hỗ trợ, tài trợ</v>
      </c>
      <c r="H119" s="588" t="s">
        <v>2234</v>
      </c>
      <c r="I119" s="638" t="s">
        <v>513</v>
      </c>
      <c r="J119" s="588" t="s">
        <v>2236</v>
      </c>
      <c r="K119" s="1245">
        <f>CPQL!K58</f>
        <v>0</v>
      </c>
      <c r="L119" s="1245">
        <f>CPQL!L58</f>
        <v>0</v>
      </c>
      <c r="M119" s="1245">
        <f>CPQL!M58</f>
        <v>0</v>
      </c>
      <c r="N119" s="1245">
        <f>CPQL!N58</f>
        <v>0</v>
      </c>
      <c r="O119" s="1245">
        <f>CPQL!O58</f>
        <v>0</v>
      </c>
      <c r="P119" s="1245">
        <f>CPQL!P58</f>
        <v>0</v>
      </c>
      <c r="Q119" s="1245">
        <f>CPQL!Q58</f>
        <v>0</v>
      </c>
      <c r="R119" s="1245">
        <f>CPQL!R58</f>
        <v>0</v>
      </c>
      <c r="S119" s="1245">
        <f>CPQL!S58</f>
        <v>0</v>
      </c>
      <c r="T119" s="1245">
        <f>CPQL!T58</f>
        <v>0</v>
      </c>
      <c r="U119" s="1245">
        <f>CPQL!U58</f>
        <v>0</v>
      </c>
      <c r="V119" s="1245">
        <f>CPQL!V58</f>
        <v>0</v>
      </c>
      <c r="W119" s="998">
        <f t="shared" si="21"/>
        <v>0</v>
      </c>
      <c r="X119" s="496"/>
      <c r="Y119" s="1245">
        <f>CPQL!Y58</f>
        <v>0</v>
      </c>
      <c r="Z119" s="1245">
        <f>CPQL!Z58</f>
        <v>2000000</v>
      </c>
      <c r="AA119" s="1245">
        <f>CPQL!AA58</f>
        <v>0</v>
      </c>
      <c r="AB119" s="1245">
        <f>CPQL!AB58</f>
        <v>0</v>
      </c>
      <c r="AC119" s="1245">
        <f>CPQL!AC58</f>
        <v>0</v>
      </c>
      <c r="AD119" s="1245">
        <f>CPQL!AD58</f>
        <v>0</v>
      </c>
      <c r="AE119" s="1245">
        <f>CPQL!AE58</f>
        <v>0</v>
      </c>
      <c r="AF119" s="1245">
        <f>CPQL!AF58</f>
        <v>0</v>
      </c>
      <c r="AG119" s="1245">
        <f>CPQL!AG58</f>
        <v>0</v>
      </c>
      <c r="AH119" s="1245">
        <f>CPQL!AH58</f>
        <v>0</v>
      </c>
      <c r="AI119" s="1245">
        <f>CPQL!AI58</f>
        <v>0</v>
      </c>
      <c r="AJ119" s="1245">
        <f>CPQL!AJ58</f>
        <v>0</v>
      </c>
      <c r="AK119" s="998">
        <f t="shared" si="22"/>
        <v>2000000</v>
      </c>
      <c r="AM119" s="1245">
        <f>CPQL!AM58</f>
        <v>0</v>
      </c>
      <c r="AO119" s="1245">
        <f>CPQL!AO58</f>
        <v>1500000</v>
      </c>
      <c r="AQ119" s="1245"/>
      <c r="AR119" s="1011">
        <f t="shared" si="23"/>
        <v>-2000000</v>
      </c>
      <c r="AS119" s="1338">
        <f t="shared" si="24"/>
        <v>-1</v>
      </c>
    </row>
    <row r="120" spans="2:45" s="6" customFormat="1" x14ac:dyDescent="0.3">
      <c r="B120" s="589">
        <v>55</v>
      </c>
      <c r="C120" s="588">
        <v>11</v>
      </c>
      <c r="D120" s="981">
        <v>6428004802</v>
      </c>
      <c r="E120" s="638" t="s">
        <v>448</v>
      </c>
      <c r="F120" s="638" t="s">
        <v>594</v>
      </c>
      <c r="G120" s="578" t="str">
        <f t="shared" si="25"/>
        <v>Chi phí mua mẫu</v>
      </c>
      <c r="H120" s="588" t="s">
        <v>2234</v>
      </c>
      <c r="I120" s="578" t="s">
        <v>523</v>
      </c>
      <c r="J120" s="588" t="s">
        <v>2236</v>
      </c>
      <c r="K120" s="1245">
        <f>CPQL!K59</f>
        <v>0</v>
      </c>
      <c r="L120" s="1245">
        <f>CPQL!L59</f>
        <v>0</v>
      </c>
      <c r="M120" s="1245">
        <f>CPQL!M59</f>
        <v>0</v>
      </c>
      <c r="N120" s="1245">
        <f>CPQL!N59</f>
        <v>0</v>
      </c>
      <c r="O120" s="1245">
        <f>CPQL!O59</f>
        <v>0</v>
      </c>
      <c r="P120" s="1245">
        <f>CPQL!P59</f>
        <v>0</v>
      </c>
      <c r="Q120" s="1245">
        <f>CPQL!Q59</f>
        <v>0</v>
      </c>
      <c r="R120" s="1245">
        <f>CPQL!R59</f>
        <v>0</v>
      </c>
      <c r="S120" s="1245">
        <f>CPQL!S59</f>
        <v>0</v>
      </c>
      <c r="T120" s="1245">
        <f>CPQL!T59</f>
        <v>0</v>
      </c>
      <c r="U120" s="1245">
        <f>CPQL!U59</f>
        <v>0</v>
      </c>
      <c r="V120" s="1245">
        <f>CPQL!V59</f>
        <v>0</v>
      </c>
      <c r="W120" s="998">
        <f t="shared" si="21"/>
        <v>0</v>
      </c>
      <c r="X120" s="496"/>
      <c r="Y120" s="1245">
        <f>CPQL!Y59</f>
        <v>0</v>
      </c>
      <c r="Z120" s="1245">
        <f>CPQL!Z59</f>
        <v>0</v>
      </c>
      <c r="AA120" s="1245">
        <f>CPQL!AA59</f>
        <v>0</v>
      </c>
      <c r="AB120" s="1245">
        <f>CPQL!AB59</f>
        <v>0</v>
      </c>
      <c r="AC120" s="1245">
        <f>CPQL!AC59</f>
        <v>0</v>
      </c>
      <c r="AD120" s="1245">
        <f>CPQL!AD59</f>
        <v>0</v>
      </c>
      <c r="AE120" s="1245">
        <f>CPQL!AE59</f>
        <v>0</v>
      </c>
      <c r="AF120" s="1245">
        <f>CPQL!AF59</f>
        <v>0</v>
      </c>
      <c r="AG120" s="1245">
        <f>CPQL!AG59</f>
        <v>0</v>
      </c>
      <c r="AH120" s="1245">
        <f>CPQL!AH59</f>
        <v>0</v>
      </c>
      <c r="AI120" s="1245">
        <f>CPQL!AI59</f>
        <v>0</v>
      </c>
      <c r="AJ120" s="1245">
        <f>CPQL!AJ59</f>
        <v>0</v>
      </c>
      <c r="AK120" s="998">
        <f t="shared" si="22"/>
        <v>0</v>
      </c>
      <c r="AM120" s="1245">
        <f>CPQL!AM59</f>
        <v>0</v>
      </c>
      <c r="AO120" s="1245">
        <f>CPQL!AO59</f>
        <v>0</v>
      </c>
      <c r="AQ120" s="1245"/>
      <c r="AR120" s="1011">
        <f t="shared" si="23"/>
        <v>0</v>
      </c>
      <c r="AS120" s="1338">
        <f t="shared" si="24"/>
        <v>0</v>
      </c>
    </row>
    <row r="121" spans="2:45" s="6" customFormat="1" x14ac:dyDescent="0.3">
      <c r="B121" s="589">
        <v>56</v>
      </c>
      <c r="C121" s="588">
        <v>1</v>
      </c>
      <c r="D121" s="981">
        <v>6428005703</v>
      </c>
      <c r="E121" s="638" t="s">
        <v>440</v>
      </c>
      <c r="F121" s="638" t="s">
        <v>597</v>
      </c>
      <c r="G121" s="578" t="str">
        <f t="shared" si="25"/>
        <v>Chi phí ăn uống</v>
      </c>
      <c r="H121" s="588" t="s">
        <v>2234</v>
      </c>
      <c r="I121" s="638" t="s">
        <v>521</v>
      </c>
      <c r="J121" s="588" t="s">
        <v>2236</v>
      </c>
      <c r="K121" s="1245">
        <f>CPQL!K60</f>
        <v>0</v>
      </c>
      <c r="L121" s="1245">
        <f>CPQL!L60</f>
        <v>0</v>
      </c>
      <c r="M121" s="1245">
        <f>CPQL!M60</f>
        <v>0</v>
      </c>
      <c r="N121" s="1245">
        <f>CPQL!N60</f>
        <v>0</v>
      </c>
      <c r="O121" s="1245">
        <f>CPQL!O60</f>
        <v>0</v>
      </c>
      <c r="P121" s="1245">
        <f>CPQL!P60</f>
        <v>0</v>
      </c>
      <c r="Q121" s="1245">
        <f>CPQL!Q60</f>
        <v>0</v>
      </c>
      <c r="R121" s="1245">
        <f>CPQL!R60</f>
        <v>0</v>
      </c>
      <c r="S121" s="1245">
        <f>CPQL!S60</f>
        <v>0</v>
      </c>
      <c r="T121" s="1245">
        <f>CPQL!T60</f>
        <v>0</v>
      </c>
      <c r="U121" s="1245">
        <f>CPQL!U60</f>
        <v>0</v>
      </c>
      <c r="V121" s="1245">
        <f>CPQL!V60</f>
        <v>0</v>
      </c>
      <c r="W121" s="998">
        <f t="shared" si="21"/>
        <v>0</v>
      </c>
      <c r="X121" s="496"/>
      <c r="Y121" s="1245">
        <f>CPQL!Y60</f>
        <v>0</v>
      </c>
      <c r="Z121" s="1245">
        <f>CPQL!Z60</f>
        <v>0</v>
      </c>
      <c r="AA121" s="1245">
        <f>CPQL!AA60</f>
        <v>0</v>
      </c>
      <c r="AB121" s="1245">
        <f>CPQL!AB60</f>
        <v>0</v>
      </c>
      <c r="AC121" s="1245">
        <f>CPQL!AC60</f>
        <v>0</v>
      </c>
      <c r="AD121" s="1245">
        <f>CPQL!AD60</f>
        <v>0</v>
      </c>
      <c r="AE121" s="1245">
        <f>CPQL!AE60</f>
        <v>0</v>
      </c>
      <c r="AF121" s="1245">
        <f>CPQL!AF60</f>
        <v>0</v>
      </c>
      <c r="AG121" s="1245">
        <f>CPQL!AG60</f>
        <v>0</v>
      </c>
      <c r="AH121" s="1245">
        <f>CPQL!AH60</f>
        <v>0</v>
      </c>
      <c r="AI121" s="1245">
        <f>CPQL!AI60</f>
        <v>0</v>
      </c>
      <c r="AJ121" s="1245">
        <f>CPQL!AJ60</f>
        <v>0</v>
      </c>
      <c r="AK121" s="998">
        <f t="shared" si="22"/>
        <v>0</v>
      </c>
      <c r="AM121" s="1245">
        <f>CPQL!AM60</f>
        <v>0</v>
      </c>
      <c r="AO121" s="1245">
        <f>CPQL!AO60</f>
        <v>0</v>
      </c>
      <c r="AQ121" s="1245"/>
      <c r="AR121" s="1011">
        <f t="shared" si="23"/>
        <v>0</v>
      </c>
      <c r="AS121" s="1338">
        <f t="shared" si="24"/>
        <v>0</v>
      </c>
    </row>
    <row r="122" spans="2:45" s="6" customFormat="1" x14ac:dyDescent="0.3">
      <c r="B122" s="589">
        <v>57</v>
      </c>
      <c r="C122" s="588">
        <v>32</v>
      </c>
      <c r="D122" s="981">
        <v>6428007201</v>
      </c>
      <c r="E122" s="638" t="s">
        <v>96</v>
      </c>
      <c r="F122" s="638" t="s">
        <v>575</v>
      </c>
      <c r="G122" s="578" t="s">
        <v>96</v>
      </c>
      <c r="H122" s="588" t="s">
        <v>2234</v>
      </c>
      <c r="I122" s="638" t="s">
        <v>521</v>
      </c>
      <c r="J122" s="588" t="s">
        <v>2236</v>
      </c>
      <c r="K122" s="1245">
        <f>CPQL!K61</f>
        <v>3795569.2333333329</v>
      </c>
      <c r="L122" s="1245">
        <f>CPQL!L61</f>
        <v>3795569.2333333329</v>
      </c>
      <c r="M122" s="1245">
        <f>CPQL!M61</f>
        <v>10095569.233333332</v>
      </c>
      <c r="N122" s="1245">
        <f>CPQL!N61</f>
        <v>3795569.2333333329</v>
      </c>
      <c r="O122" s="1245">
        <f>CPQL!O61</f>
        <v>3795569.2333333329</v>
      </c>
      <c r="P122" s="1245">
        <f>CPQL!P61</f>
        <v>3795569.2333333329</v>
      </c>
      <c r="Q122" s="1245">
        <f>CPQL!Q61</f>
        <v>3795569.2333333329</v>
      </c>
      <c r="R122" s="1245">
        <f>CPQL!R61</f>
        <v>3795569.2333333329</v>
      </c>
      <c r="S122" s="1245">
        <f>CPQL!S61</f>
        <v>3795569.2333333329</v>
      </c>
      <c r="T122" s="1245">
        <f>CPQL!T61</f>
        <v>3795569.2333333329</v>
      </c>
      <c r="U122" s="1245">
        <f>CPQL!U61</f>
        <v>3795569.2333333329</v>
      </c>
      <c r="V122" s="1245">
        <f>CPQL!V61</f>
        <v>3795569.2333333329</v>
      </c>
      <c r="W122" s="998">
        <f t="shared" si="21"/>
        <v>51846830.800000004</v>
      </c>
      <c r="X122" s="496"/>
      <c r="Y122" s="1245">
        <f>CPQL!Y61</f>
        <v>500000</v>
      </c>
      <c r="Z122" s="1245">
        <f>CPQL!Z61</f>
        <v>0</v>
      </c>
      <c r="AA122" s="1245">
        <f>CPQL!AA61</f>
        <v>2971401</v>
      </c>
      <c r="AB122" s="1245">
        <f>CPQL!AB61</f>
        <v>1529916</v>
      </c>
      <c r="AC122" s="1245">
        <f>CPQL!AC61</f>
        <v>16170800</v>
      </c>
      <c r="AD122" s="1245">
        <f>CPQL!AD61</f>
        <v>2156287</v>
      </c>
      <c r="AE122" s="1245">
        <f>CPQL!AE61</f>
        <v>236428</v>
      </c>
      <c r="AF122" s="1245">
        <f>CPQL!AF61</f>
        <v>-148251</v>
      </c>
      <c r="AG122" s="1245">
        <f>CPQL!AG61</f>
        <v>10302050</v>
      </c>
      <c r="AH122" s="1245">
        <f>CPQL!AH61</f>
        <v>10000000</v>
      </c>
      <c r="AI122" s="1245">
        <f>CPQL!AI61</f>
        <v>10000000</v>
      </c>
      <c r="AJ122" s="1245">
        <f>CPQL!AJ61</f>
        <v>10000000</v>
      </c>
      <c r="AK122" s="998">
        <f t="shared" si="22"/>
        <v>63718631</v>
      </c>
      <c r="AM122" s="1245">
        <f>CPQL!AM61</f>
        <v>9900788</v>
      </c>
      <c r="AO122" s="1245">
        <f>CPQL!AO61</f>
        <v>700</v>
      </c>
      <c r="AQ122" s="1245">
        <v>84000000</v>
      </c>
      <c r="AR122" s="1011">
        <f t="shared" si="23"/>
        <v>-11871800.199999996</v>
      </c>
      <c r="AS122" s="1338">
        <f t="shared" si="24"/>
        <v>-0.18631599602320392</v>
      </c>
    </row>
    <row r="123" spans="2:45" s="6" customFormat="1" x14ac:dyDescent="0.3">
      <c r="B123" s="589">
        <v>58</v>
      </c>
      <c r="C123" s="588">
        <v>7</v>
      </c>
      <c r="D123" s="981">
        <v>6423001908</v>
      </c>
      <c r="E123" s="638" t="s">
        <v>435</v>
      </c>
      <c r="F123" s="638" t="s">
        <v>580</v>
      </c>
      <c r="G123" s="578" t="str">
        <f>E123</f>
        <v>Phân bổ công cụ dụng cụ</v>
      </c>
      <c r="H123" s="588" t="s">
        <v>2234</v>
      </c>
      <c r="I123" s="578" t="s">
        <v>522</v>
      </c>
      <c r="J123" s="588" t="s">
        <v>2236</v>
      </c>
      <c r="K123" s="1245">
        <f ca="1">CPQL!K62</f>
        <v>0</v>
      </c>
      <c r="L123" s="1245">
        <f ca="1">CPQL!L62</f>
        <v>0</v>
      </c>
      <c r="M123" s="1245">
        <f ca="1">CPQL!M62</f>
        <v>0</v>
      </c>
      <c r="N123" s="1245">
        <f ca="1">CPQL!N62</f>
        <v>0</v>
      </c>
      <c r="O123" s="1245">
        <f ca="1">CPQL!O62</f>
        <v>0</v>
      </c>
      <c r="P123" s="1245">
        <f ca="1">CPQL!P62</f>
        <v>0</v>
      </c>
      <c r="Q123" s="1245">
        <f ca="1">CPQL!Q62</f>
        <v>0</v>
      </c>
      <c r="R123" s="1245">
        <f ca="1">CPQL!R62</f>
        <v>0</v>
      </c>
      <c r="S123" s="1245">
        <f ca="1">CPQL!S62</f>
        <v>0</v>
      </c>
      <c r="T123" s="1245">
        <f ca="1">CPQL!T62</f>
        <v>0</v>
      </c>
      <c r="U123" s="1245">
        <f ca="1">CPQL!U62</f>
        <v>0</v>
      </c>
      <c r="V123" s="1245">
        <f ca="1">CPQL!V62</f>
        <v>0</v>
      </c>
      <c r="W123" s="998">
        <f t="shared" ca="1" si="21"/>
        <v>0</v>
      </c>
      <c r="X123" s="496"/>
      <c r="Y123" s="1245">
        <f>CPQL!Y62</f>
        <v>2491403</v>
      </c>
      <c r="Z123" s="1245">
        <f>CPQL!Z62</f>
        <v>3424735</v>
      </c>
      <c r="AA123" s="1245">
        <f>CPQL!AA62</f>
        <v>0</v>
      </c>
      <c r="AB123" s="1245">
        <f>CPQL!AB62</f>
        <v>2273919</v>
      </c>
      <c r="AC123" s="1245">
        <f>CPQL!AC62</f>
        <v>2101599</v>
      </c>
      <c r="AD123" s="1245">
        <f>CPQL!AD62</f>
        <v>0</v>
      </c>
      <c r="AE123" s="1245">
        <f>CPQL!AE62</f>
        <v>1962501</v>
      </c>
      <c r="AF123" s="1245">
        <f>CPQL!AF62</f>
        <v>1962499</v>
      </c>
      <c r="AG123" s="1245">
        <f>CPQL!AG62</f>
        <v>587493</v>
      </c>
      <c r="AH123" s="1245">
        <f>CPQL!AH62</f>
        <v>587493</v>
      </c>
      <c r="AI123" s="1245">
        <f>CPQL!AI62</f>
        <v>587493</v>
      </c>
      <c r="AJ123" s="1245">
        <f>CPQL!AJ62</f>
        <v>587493</v>
      </c>
      <c r="AK123" s="998">
        <f t="shared" si="22"/>
        <v>16566628</v>
      </c>
      <c r="AM123" s="1245">
        <f>CPQL!AM62</f>
        <v>6504737</v>
      </c>
      <c r="AO123" s="1245">
        <f>CPQL!AO62</f>
        <v>50000000</v>
      </c>
      <c r="AQ123" s="1245"/>
      <c r="AR123" s="1011">
        <f t="shared" ca="1" si="23"/>
        <v>-16566628</v>
      </c>
      <c r="AS123" s="1338">
        <f t="shared" ca="1" si="24"/>
        <v>-1</v>
      </c>
    </row>
    <row r="124" spans="2:45" s="6" customFormat="1" x14ac:dyDescent="0.3">
      <c r="B124" s="589">
        <v>59</v>
      </c>
      <c r="C124" s="588"/>
      <c r="D124" s="576"/>
      <c r="E124" s="577" t="s">
        <v>468</v>
      </c>
      <c r="F124" s="577" t="s">
        <v>617</v>
      </c>
      <c r="G124" s="578" t="str">
        <f>E124</f>
        <v>Chi phí Khấu hao</v>
      </c>
      <c r="H124" s="588" t="s">
        <v>2234</v>
      </c>
      <c r="I124" s="578" t="s">
        <v>522</v>
      </c>
      <c r="J124" s="588" t="s">
        <v>2235</v>
      </c>
      <c r="K124" s="1245">
        <f ca="1">CPQL!K63</f>
        <v>10655816.666666668</v>
      </c>
      <c r="L124" s="1245">
        <f ca="1">CPQL!L63</f>
        <v>10655816.666666668</v>
      </c>
      <c r="M124" s="1245">
        <f ca="1">CPQL!M63</f>
        <v>10655816.666666668</v>
      </c>
      <c r="N124" s="1245">
        <f ca="1">CPQL!N63</f>
        <v>10655816.666666668</v>
      </c>
      <c r="O124" s="1245">
        <f ca="1">CPQL!O63</f>
        <v>10655816.666666668</v>
      </c>
      <c r="P124" s="1245">
        <f ca="1">CPQL!P63</f>
        <v>10655816.666666668</v>
      </c>
      <c r="Q124" s="1245">
        <f ca="1">CPQL!Q63</f>
        <v>10655816.666666668</v>
      </c>
      <c r="R124" s="1245">
        <f ca="1">CPQL!R63</f>
        <v>10655816.666666668</v>
      </c>
      <c r="S124" s="1245">
        <f ca="1">CPQL!S63</f>
        <v>10655816.666666668</v>
      </c>
      <c r="T124" s="1245">
        <f ca="1">CPQL!T63</f>
        <v>10655816.666666668</v>
      </c>
      <c r="U124" s="1245">
        <f ca="1">CPQL!U63</f>
        <v>10655816.666666668</v>
      </c>
      <c r="V124" s="1245">
        <f ca="1">CPQL!V63</f>
        <v>10655816.666666668</v>
      </c>
      <c r="W124" s="998">
        <f t="shared" ca="1" si="21"/>
        <v>127869800.00000004</v>
      </c>
      <c r="X124" s="496"/>
      <c r="Y124" s="1245">
        <f>CPQL!Y63</f>
        <v>7795267.2727272725</v>
      </c>
      <c r="Z124" s="1245">
        <f>CPQL!Z63</f>
        <v>7795267.2727272725</v>
      </c>
      <c r="AA124" s="1245">
        <f>CPQL!AA63</f>
        <v>7795267.2727272725</v>
      </c>
      <c r="AB124" s="1245">
        <f>CPQL!AB63</f>
        <v>7795267.2727272725</v>
      </c>
      <c r="AC124" s="1245">
        <f>CPQL!AC63</f>
        <v>7795267.2727272725</v>
      </c>
      <c r="AD124" s="1245">
        <f>CPQL!AD63</f>
        <v>7795267.2727272725</v>
      </c>
      <c r="AE124" s="1245">
        <f>CPQL!AE63</f>
        <v>7795267.2727272725</v>
      </c>
      <c r="AF124" s="1245">
        <f>CPQL!AF63</f>
        <v>7795267.2727272725</v>
      </c>
      <c r="AG124" s="1245">
        <f>CPQL!AG63</f>
        <v>7795267.2727272725</v>
      </c>
      <c r="AH124" s="1245">
        <f>CPQL!AH63</f>
        <v>7795267.2727272725</v>
      </c>
      <c r="AI124" s="1245">
        <f>CPQL!AI63</f>
        <v>5952675</v>
      </c>
      <c r="AJ124" s="1245">
        <f>CPQL!AJ63</f>
        <v>5952675</v>
      </c>
      <c r="AK124" s="998">
        <f t="shared" si="22"/>
        <v>89858022.727272719</v>
      </c>
      <c r="AM124" s="1245">
        <f>CPQL!AM63</f>
        <v>13747942</v>
      </c>
      <c r="AO124" s="1245">
        <f>CPQL!AO63</f>
        <v>0</v>
      </c>
      <c r="AQ124" s="1245">
        <v>60000000</v>
      </c>
      <c r="AR124" s="1340">
        <f t="shared" ca="1" si="23"/>
        <v>38011777.272727326</v>
      </c>
      <c r="AS124" s="1338">
        <f t="shared" ca="1" si="24"/>
        <v>0.42302040618116576</v>
      </c>
    </row>
    <row r="125" spans="2:45" s="6" customFormat="1" x14ac:dyDescent="0.3">
      <c r="B125" s="590"/>
      <c r="C125" s="1341"/>
      <c r="D125" s="581"/>
      <c r="E125" s="1342"/>
      <c r="F125" s="1342"/>
      <c r="G125" s="1022"/>
      <c r="H125" s="1022"/>
      <c r="I125" s="1022"/>
      <c r="J125" s="1022"/>
      <c r="K125" s="591">
        <f>[29]CPQL!K64</f>
        <v>0</v>
      </c>
      <c r="L125" s="591">
        <f>[29]CPQL!L64</f>
        <v>0</v>
      </c>
      <c r="M125" s="591">
        <f>[29]CPQL!M64</f>
        <v>0</v>
      </c>
      <c r="N125" s="591">
        <f>[29]CPQL!N64</f>
        <v>0</v>
      </c>
      <c r="O125" s="591">
        <f>[29]CPQL!O64</f>
        <v>0</v>
      </c>
      <c r="P125" s="591">
        <f>[29]CPQL!P64</f>
        <v>0</v>
      </c>
      <c r="Q125" s="591">
        <f>[29]CPQL!Q64</f>
        <v>0</v>
      </c>
      <c r="R125" s="591">
        <f>[29]CPQL!R64</f>
        <v>0</v>
      </c>
      <c r="S125" s="591">
        <f>[29]CPQL!S64</f>
        <v>0</v>
      </c>
      <c r="T125" s="591">
        <f>[29]CPQL!T64</f>
        <v>0</v>
      </c>
      <c r="U125" s="591">
        <f>[29]CPQL!U64</f>
        <v>0</v>
      </c>
      <c r="V125" s="591">
        <f>[29]CPQL!V64</f>
        <v>0</v>
      </c>
      <c r="W125" s="599">
        <f>[29]CPQL!W64</f>
        <v>0</v>
      </c>
      <c r="X125" s="496"/>
      <c r="Y125" s="591">
        <f>[29]CPQL!Y64</f>
        <v>0</v>
      </c>
      <c r="Z125" s="591">
        <f>[29]CPQL!Z64</f>
        <v>0</v>
      </c>
      <c r="AA125" s="591">
        <f>[29]CPQL!AA64</f>
        <v>0</v>
      </c>
      <c r="AB125" s="591">
        <f>[29]CPQL!AB64</f>
        <v>0</v>
      </c>
      <c r="AC125" s="591">
        <f>[29]CPQL!AC64</f>
        <v>0</v>
      </c>
      <c r="AD125" s="591">
        <f>[29]CPQL!AD64</f>
        <v>0</v>
      </c>
      <c r="AE125" s="591">
        <f>[29]CPQL!AE64</f>
        <v>0</v>
      </c>
      <c r="AF125" s="591">
        <f>[29]CPQL!AF64</f>
        <v>0</v>
      </c>
      <c r="AG125" s="591">
        <f>[29]CPQL!AG64</f>
        <v>0</v>
      </c>
      <c r="AH125" s="591">
        <f>[29]CPQL!AH64</f>
        <v>0</v>
      </c>
      <c r="AI125" s="591">
        <f>[29]CPQL!AI64</f>
        <v>0</v>
      </c>
      <c r="AJ125" s="591">
        <f>[29]CPQL!AJ64</f>
        <v>0</v>
      </c>
      <c r="AK125" s="998">
        <f t="shared" si="22"/>
        <v>0</v>
      </c>
      <c r="AM125" s="599">
        <f>[29]CPQL!AM64</f>
        <v>0</v>
      </c>
      <c r="AO125" s="599">
        <f>[29]CPQL!AO64</f>
        <v>0</v>
      </c>
      <c r="AQ125" s="1355"/>
      <c r="AR125" s="1340">
        <f t="shared" si="23"/>
        <v>0</v>
      </c>
      <c r="AS125" s="1338">
        <f t="shared" si="24"/>
        <v>0</v>
      </c>
    </row>
    <row r="126" spans="2:45" s="37" customFormat="1" ht="13" x14ac:dyDescent="0.35">
      <c r="B126" s="389"/>
      <c r="C126" s="1332"/>
      <c r="D126" s="650"/>
      <c r="E126" s="650" t="s">
        <v>1612</v>
      </c>
      <c r="F126" s="651"/>
      <c r="G126" s="652"/>
      <c r="H126" s="652"/>
      <c r="I126" s="652"/>
      <c r="J126" s="653"/>
      <c r="K126" s="568">
        <f ca="1">SUM(K66:K125)</f>
        <v>471536610.03414291</v>
      </c>
      <c r="L126" s="568">
        <f t="shared" ref="L126:W126" ca="1" si="26">SUM(L66:L125)</f>
        <v>499621200.03414291</v>
      </c>
      <c r="M126" s="568">
        <f t="shared" ca="1" si="26"/>
        <v>438001005.03414291</v>
      </c>
      <c r="N126" s="568">
        <f t="shared" ca="1" si="26"/>
        <v>441430006.03414291</v>
      </c>
      <c r="O126" s="568">
        <f t="shared" ca="1" si="26"/>
        <v>440990570.03414291</v>
      </c>
      <c r="P126" s="568">
        <f t="shared" ca="1" si="26"/>
        <v>437891777.03414291</v>
      </c>
      <c r="Q126" s="568">
        <f t="shared" ca="1" si="26"/>
        <v>437665344.03414291</v>
      </c>
      <c r="R126" s="568">
        <f t="shared" ca="1" si="26"/>
        <v>493579860.03414291</v>
      </c>
      <c r="S126" s="568">
        <f t="shared" ca="1" si="26"/>
        <v>435408150.03414291</v>
      </c>
      <c r="T126" s="568">
        <f t="shared" ca="1" si="26"/>
        <v>442013302.03414291</v>
      </c>
      <c r="U126" s="568">
        <f t="shared" ca="1" si="26"/>
        <v>434477238.03414291</v>
      </c>
      <c r="V126" s="568">
        <f t="shared" ca="1" si="26"/>
        <v>441205120.03414291</v>
      </c>
      <c r="W126" s="568">
        <f t="shared" ca="1" si="26"/>
        <v>5413820182.4097147</v>
      </c>
      <c r="Y126" s="568">
        <f t="shared" ref="Y126:AJ126" si="27">SUM(Y66:Y125)</f>
        <v>319634493.27272725</v>
      </c>
      <c r="Z126" s="568">
        <f t="shared" si="27"/>
        <v>297721333.27272725</v>
      </c>
      <c r="AA126" s="568">
        <f t="shared" si="27"/>
        <v>273465926.27272725</v>
      </c>
      <c r="AB126" s="568">
        <f t="shared" si="27"/>
        <v>315703121.27272725</v>
      </c>
      <c r="AC126" s="568">
        <f t="shared" si="27"/>
        <v>314869868.27272725</v>
      </c>
      <c r="AD126" s="568">
        <f t="shared" si="27"/>
        <v>277929023.27272725</v>
      </c>
      <c r="AE126" s="568">
        <f t="shared" si="27"/>
        <v>358916205.27272725</v>
      </c>
      <c r="AF126" s="568">
        <f t="shared" si="27"/>
        <v>334519465.27272725</v>
      </c>
      <c r="AG126" s="568">
        <f t="shared" si="27"/>
        <v>322927311.27272725</v>
      </c>
      <c r="AH126" s="568">
        <f t="shared" si="27"/>
        <v>361309598.53568351</v>
      </c>
      <c r="AI126" s="568">
        <f t="shared" si="27"/>
        <v>354304671.26295626</v>
      </c>
      <c r="AJ126" s="568">
        <f t="shared" si="27"/>
        <v>359769939.26295626</v>
      </c>
      <c r="AK126" s="568">
        <f>SUM(AK66:AK125)</f>
        <v>3891070956.5161414</v>
      </c>
      <c r="AM126" s="568">
        <f t="shared" ref="AM126" si="28">SUM(AM66:AM125)</f>
        <v>2036034770</v>
      </c>
      <c r="AO126" s="568">
        <f t="shared" ref="AO126" si="29">SUM(AO66:AO125)</f>
        <v>1414416772</v>
      </c>
      <c r="AQ126" s="568">
        <f>SUM(AQ66:AQ125)</f>
        <v>3677209651.9999852</v>
      </c>
      <c r="AR126" s="1329">
        <f ca="1">IFERROR(W126-AK126,0)</f>
        <v>1522749225.8935733</v>
      </c>
      <c r="AS126" s="1330">
        <f t="shared" ca="1" si="24"/>
        <v>0.3913445020434585</v>
      </c>
    </row>
    <row r="127" spans="2:45" s="1020" customFormat="1" ht="19.75" customHeight="1" x14ac:dyDescent="0.35">
      <c r="B127" s="1016" t="s">
        <v>1614</v>
      </c>
      <c r="C127" s="1343"/>
      <c r="D127" s="666"/>
      <c r="E127" s="666" t="s">
        <v>375</v>
      </c>
      <c r="F127" s="667"/>
      <c r="G127" s="654"/>
      <c r="H127" s="654"/>
      <c r="I127" s="654"/>
      <c r="J127" s="655"/>
      <c r="K127" s="1344">
        <f ca="1">K58+K64+K126</f>
        <v>1776703648.7029808</v>
      </c>
      <c r="L127" s="1344">
        <f t="shared" ref="L127:V127" ca="1" si="30">L58+L64+L126</f>
        <v>1750166478.9316046</v>
      </c>
      <c r="M127" s="1344">
        <f t="shared" ca="1" si="30"/>
        <v>1730170497.3934398</v>
      </c>
      <c r="N127" s="1344">
        <f t="shared" ca="1" si="30"/>
        <v>1802636731.1838982</v>
      </c>
      <c r="O127" s="1344">
        <f t="shared" ca="1" si="30"/>
        <v>1758411535.3838983</v>
      </c>
      <c r="P127" s="1344">
        <f t="shared" ca="1" si="30"/>
        <v>1801916745.6505649</v>
      </c>
      <c r="Q127" s="1344">
        <f t="shared" ca="1" si="30"/>
        <v>1813600290.0172315</v>
      </c>
      <c r="R127" s="1344">
        <f t="shared" ca="1" si="30"/>
        <v>1887047450.600565</v>
      </c>
      <c r="S127" s="1344">
        <f t="shared" ca="1" si="30"/>
        <v>1818407866.2172315</v>
      </c>
      <c r="T127" s="1344">
        <f t="shared" ca="1" si="30"/>
        <v>1763985908.5505648</v>
      </c>
      <c r="U127" s="1344">
        <f t="shared" ca="1" si="30"/>
        <v>1775803310.850565</v>
      </c>
      <c r="V127" s="1344">
        <f t="shared" ca="1" si="30"/>
        <v>1779890549.1505649</v>
      </c>
      <c r="W127" s="1344">
        <f ca="1">W58+W64+W126</f>
        <v>21458741012.63311</v>
      </c>
      <c r="Y127" s="1344">
        <f t="shared" ref="Y127:AJ127" si="31">Y58+Y64+Y126</f>
        <v>1258726010</v>
      </c>
      <c r="Z127" s="1344">
        <f t="shared" si="31"/>
        <v>1288026809.0000005</v>
      </c>
      <c r="AA127" s="1344">
        <f t="shared" si="31"/>
        <v>1352525928.9999995</v>
      </c>
      <c r="AB127" s="1344">
        <f t="shared" si="31"/>
        <v>1469372771.9999998</v>
      </c>
      <c r="AC127" s="1344">
        <f t="shared" si="31"/>
        <v>1435477906</v>
      </c>
      <c r="AD127" s="1344">
        <f t="shared" si="31"/>
        <v>1426609860.9999998</v>
      </c>
      <c r="AE127" s="1344">
        <f t="shared" si="31"/>
        <v>1667018652.9999995</v>
      </c>
      <c r="AF127" s="1344">
        <f t="shared" si="31"/>
        <v>1556942908.9999993</v>
      </c>
      <c r="AG127" s="1344">
        <f t="shared" si="31"/>
        <v>1483393449.9999998</v>
      </c>
      <c r="AH127" s="1344">
        <f t="shared" si="31"/>
        <v>1617639306.5991836</v>
      </c>
      <c r="AI127" s="1344">
        <f t="shared" si="31"/>
        <v>1601652019.0585995</v>
      </c>
      <c r="AJ127" s="1344">
        <f t="shared" si="31"/>
        <v>1580514471.1654587</v>
      </c>
      <c r="AK127" s="1344">
        <f>AK58+AK64+AK126</f>
        <v>17737900095.823238</v>
      </c>
      <c r="AM127" s="1344">
        <f>AM58+AM64+AM126</f>
        <v>12725608627</v>
      </c>
      <c r="AO127" s="1344">
        <f>AO58+AO64+AO126</f>
        <v>12784834240</v>
      </c>
      <c r="AQ127" s="1344">
        <f>AQ58+AQ64+AQ126</f>
        <v>20444435557.111095</v>
      </c>
      <c r="AR127" s="1345">
        <f t="shared" ca="1" si="23"/>
        <v>3720840916.8098717</v>
      </c>
      <c r="AS127" s="1346">
        <f ca="1">IFERROR((W127/AK127)-1,0)</f>
        <v>0.20976783591683557</v>
      </c>
    </row>
    <row r="130" spans="5:43" x14ac:dyDescent="0.3">
      <c r="AQ130" s="1351"/>
    </row>
    <row r="131" spans="5:43" ht="19" x14ac:dyDescent="0.4">
      <c r="E131" s="1347"/>
    </row>
    <row r="137" spans="5:43" x14ac:dyDescent="0.3">
      <c r="F137" s="1348"/>
    </row>
  </sheetData>
  <autoFilter ref="B4:Z62" xr:uid="{F389CAD7-B805-419C-ADF2-730EFA002AE2}"/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CAD7-B805-419C-ADF2-730EFA002AE2}">
  <sheetPr>
    <tabColor theme="9"/>
  </sheetPr>
  <dimension ref="B1:AB129"/>
  <sheetViews>
    <sheetView showGridLines="0" zoomScale="82" zoomScaleNormal="82" workbookViewId="0">
      <pane xSplit="3" ySplit="4" topLeftCell="D109" activePane="bottomRight" state="frozen"/>
      <selection pane="topRight" activeCell="D1" sqref="D1"/>
      <selection pane="bottomLeft" activeCell="A5" sqref="A5"/>
      <selection pane="bottomRight" activeCell="P13" sqref="P13"/>
    </sheetView>
  </sheetViews>
  <sheetFormatPr defaultColWidth="8.81640625" defaultRowHeight="14" outlineLevelRow="1" outlineLevelCol="1" x14ac:dyDescent="0.3"/>
  <cols>
    <col min="1" max="1" width="2.81640625" style="496" customWidth="1"/>
    <col min="2" max="2" width="6" style="496" customWidth="1"/>
    <col min="3" max="3" width="9.81640625" style="496" hidden="1" customWidth="1"/>
    <col min="4" max="4" width="14.453125" style="496" bestFit="1" customWidth="1"/>
    <col min="5" max="5" width="35.54296875" style="496" hidden="1" customWidth="1"/>
    <col min="6" max="6" width="39.54296875" style="496" hidden="1" customWidth="1"/>
    <col min="7" max="7" width="43.54296875" style="496" customWidth="1" outlineLevel="1"/>
    <col min="8" max="8" width="27.54296875" style="496" hidden="1" customWidth="1" outlineLevel="1"/>
    <col min="9" max="9" width="11.54296875" style="496" hidden="1" customWidth="1" outlineLevel="1"/>
    <col min="10" max="11" width="7.54296875" style="496" customWidth="1" outlineLevel="1"/>
    <col min="12" max="12" width="7.54296875" style="496" customWidth="1"/>
    <col min="13" max="24" width="7.26953125" style="496" customWidth="1"/>
    <col min="25" max="25" width="8.1796875" style="496" customWidth="1"/>
    <col min="26" max="26" width="8.81640625" style="496"/>
    <col min="27" max="27" width="13.26953125" style="496" customWidth="1"/>
    <col min="28" max="16384" width="8.81640625" style="496"/>
  </cols>
  <sheetData>
    <row r="1" spans="2:26" s="36" customFormat="1" ht="12.5" x14ac:dyDescent="0.35">
      <c r="B1" s="371"/>
      <c r="C1" s="371"/>
      <c r="D1" s="371"/>
      <c r="E1" s="371"/>
      <c r="F1" s="371"/>
      <c r="G1" s="372"/>
      <c r="H1" s="372"/>
      <c r="I1" s="372"/>
      <c r="J1" s="372"/>
      <c r="K1" s="372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2:26" s="36" customFormat="1" ht="12.5" x14ac:dyDescent="0.35">
      <c r="B2" s="40"/>
      <c r="C2" s="40"/>
      <c r="D2" s="2"/>
      <c r="E2" s="1"/>
      <c r="F2" s="1"/>
      <c r="G2" s="1"/>
      <c r="H2" s="372"/>
      <c r="I2" s="372"/>
      <c r="J2" s="372"/>
      <c r="K2" s="372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spans="2:26" s="36" customFormat="1" ht="16.399999999999999" customHeight="1" x14ac:dyDescent="0.35">
      <c r="B3" s="138" t="s">
        <v>1644</v>
      </c>
      <c r="C3" s="40"/>
      <c r="D3" s="2"/>
      <c r="E3" s="1"/>
      <c r="F3" s="1"/>
      <c r="G3" s="1"/>
      <c r="H3" s="372"/>
      <c r="I3" s="372"/>
      <c r="J3" s="372"/>
      <c r="K3" s="372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592" t="s">
        <v>1615</v>
      </c>
    </row>
    <row r="4" spans="2:26" s="36" customFormat="1" ht="42" x14ac:dyDescent="0.35">
      <c r="B4" s="377" t="s">
        <v>0</v>
      </c>
      <c r="C4" s="377" t="s">
        <v>703</v>
      </c>
      <c r="D4" s="668" t="s">
        <v>568</v>
      </c>
      <c r="E4" s="379" t="s">
        <v>470</v>
      </c>
      <c r="F4" s="669" t="s">
        <v>701</v>
      </c>
      <c r="G4" s="377" t="s">
        <v>702</v>
      </c>
      <c r="H4" s="377" t="s">
        <v>132</v>
      </c>
      <c r="I4" s="603" t="s">
        <v>232</v>
      </c>
      <c r="J4" s="269" t="s">
        <v>1943</v>
      </c>
      <c r="K4" s="269" t="s">
        <v>1942</v>
      </c>
      <c r="L4" s="269" t="s">
        <v>405</v>
      </c>
      <c r="M4" s="269" t="s">
        <v>56</v>
      </c>
      <c r="N4" s="269" t="s">
        <v>57</v>
      </c>
      <c r="O4" s="269" t="s">
        <v>58</v>
      </c>
      <c r="P4" s="269" t="s">
        <v>59</v>
      </c>
      <c r="Q4" s="269" t="s">
        <v>60</v>
      </c>
      <c r="R4" s="269" t="s">
        <v>61</v>
      </c>
      <c r="S4" s="269" t="s">
        <v>62</v>
      </c>
      <c r="T4" s="269" t="s">
        <v>63</v>
      </c>
      <c r="U4" s="269" t="s">
        <v>64</v>
      </c>
      <c r="V4" s="269" t="s">
        <v>65</v>
      </c>
      <c r="W4" s="269" t="s">
        <v>66</v>
      </c>
      <c r="X4" s="269" t="s">
        <v>67</v>
      </c>
      <c r="Y4" s="7" t="s">
        <v>2246</v>
      </c>
    </row>
    <row r="5" spans="2:26" s="36" customFormat="1" ht="13" x14ac:dyDescent="0.35">
      <c r="B5" s="138" t="s">
        <v>630</v>
      </c>
      <c r="C5" s="138"/>
      <c r="D5" s="195"/>
      <c r="E5" s="138"/>
      <c r="F5" s="138"/>
      <c r="G5" s="138"/>
      <c r="H5" s="372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</row>
    <row r="6" spans="2:26" s="37" customFormat="1" ht="21" customHeight="1" outlineLevel="1" x14ac:dyDescent="0.35">
      <c r="B6" s="389" t="s">
        <v>2</v>
      </c>
      <c r="C6" s="651"/>
      <c r="D6" s="656"/>
      <c r="E6" s="652" t="s">
        <v>85</v>
      </c>
      <c r="F6" s="657"/>
      <c r="G6" s="652" t="s">
        <v>85</v>
      </c>
      <c r="H6" s="657"/>
      <c r="I6" s="657"/>
      <c r="J6" s="659">
        <f>SUM(J7:J27)</f>
        <v>1196.0953250269047</v>
      </c>
      <c r="K6" s="659">
        <f>SUM(K7:K27)</f>
        <v>1149.7964741051842</v>
      </c>
      <c r="L6" s="659">
        <f>SUM(L7:L27)</f>
        <v>1093.4410781270512</v>
      </c>
      <c r="M6" s="659">
        <f t="shared" ref="M6:Y6" ca="1" si="0">SUM(M7:M27)</f>
        <v>1095.4117406904875</v>
      </c>
      <c r="N6" s="659">
        <f t="shared" ca="1" si="0"/>
        <v>1370.9584737085963</v>
      </c>
      <c r="O6" s="659">
        <f t="shared" ca="1" si="0"/>
        <v>1018.2414355298102</v>
      </c>
      <c r="P6" s="659">
        <f t="shared" ca="1" si="0"/>
        <v>1011.0234481143226</v>
      </c>
      <c r="Q6" s="659">
        <f t="shared" ca="1" si="0"/>
        <v>971.09334934294225</v>
      </c>
      <c r="R6" s="659">
        <f t="shared" ca="1" si="0"/>
        <v>1001.0445161300619</v>
      </c>
      <c r="S6" s="659">
        <f t="shared" ca="1" si="0"/>
        <v>1051.6804287615562</v>
      </c>
      <c r="T6" s="659">
        <f t="shared" ca="1" si="0"/>
        <v>1070.8990475682695</v>
      </c>
      <c r="U6" s="659">
        <f t="shared" ca="1" si="0"/>
        <v>1059.616078002703</v>
      </c>
      <c r="V6" s="659">
        <f t="shared" ca="1" si="0"/>
        <v>977.02561787261379</v>
      </c>
      <c r="W6" s="659">
        <f t="shared" ca="1" si="0"/>
        <v>1001.0445161300619</v>
      </c>
      <c r="X6" s="659">
        <f t="shared" ca="1" si="0"/>
        <v>984.41521716595673</v>
      </c>
      <c r="Y6" s="659">
        <f t="shared" ca="1" si="0"/>
        <v>1040.6906055049346</v>
      </c>
      <c r="Z6" s="86"/>
    </row>
    <row r="7" spans="2:26" s="36" customFormat="1" ht="12.5" outlineLevel="1" x14ac:dyDescent="0.25">
      <c r="B7" s="570">
        <v>1</v>
      </c>
      <c r="C7" s="570"/>
      <c r="D7" s="571">
        <v>6220002601</v>
      </c>
      <c r="E7" s="572" t="s">
        <v>454</v>
      </c>
      <c r="F7" s="572" t="s">
        <v>569</v>
      </c>
      <c r="G7" s="572" t="s">
        <v>454</v>
      </c>
      <c r="H7" s="571" t="s">
        <v>521</v>
      </c>
      <c r="I7" s="605" t="s">
        <v>612</v>
      </c>
      <c r="J7" s="1017">
        <f>IFERROR((CPSX!AO6+CPSX!AO111)/('3.Thanh pham'!E$97+'3.Thanh pham'!E$136),0)</f>
        <v>807.47510329669308</v>
      </c>
      <c r="K7" s="1017">
        <f>IFERROR((CPSX!AM6+CPSX!AM111)/('3.Thanh pham'!F$97+'3.Thanh pham'!F$136),0)</f>
        <v>747.57670226530706</v>
      </c>
      <c r="L7" s="1017">
        <f>IFERROR((CPSX!AK6+CPSX!AK111)/('3.Thanh pham'!G$97+'3.Thanh pham'!G$136),0)</f>
        <v>743.19719837226319</v>
      </c>
      <c r="M7" s="585">
        <f>IFERROR((CPSX!K6+CPSX!K111)/('3.Thanh pham'!H$97+'3.Thanh pham'!H$136),0)</f>
        <v>598.24058647180061</v>
      </c>
      <c r="N7" s="585">
        <f>IFERROR((CPSX!L6+CPSX!L111)/('3.Thanh pham'!I$97+'3.Thanh pham'!I$136),0)</f>
        <v>787.29402785584909</v>
      </c>
      <c r="O7" s="585">
        <f>IFERROR((CPSX!M6+CPSX!M111)/('3.Thanh pham'!J$97+'3.Thanh pham'!J$136),0)</f>
        <v>526.61350975050811</v>
      </c>
      <c r="P7" s="585">
        <f>IFERROR((CPSX!N6+CPSX!N111)/('3.Thanh pham'!K$97+'3.Thanh pham'!K$136),0)</f>
        <v>532.61722797719426</v>
      </c>
      <c r="Q7" s="585">
        <f>IFERROR((CPSX!O6+CPSX!O111)/('3.Thanh pham'!L$97+'3.Thanh pham'!L$136),0)</f>
        <v>487.63813538906288</v>
      </c>
      <c r="R7" s="585">
        <f>IFERROR((CPSX!P6+CPSX!P111)/('3.Thanh pham'!M$97+'3.Thanh pham'!M$136),0)</f>
        <v>532.61722797719426</v>
      </c>
      <c r="S7" s="585">
        <f>IFERROR((CPSX!Q6+CPSX!Q111)/('3.Thanh pham'!N$97+'3.Thanh pham'!N$136),0)</f>
        <v>518.07757327551599</v>
      </c>
      <c r="T7" s="585">
        <f>IFERROR((CPSX!R6+CPSX!R111)/('3.Thanh pham'!O$97+'3.Thanh pham'!O$136),0)</f>
        <v>518.07757327551599</v>
      </c>
      <c r="U7" s="585">
        <f>IFERROR((CPSX!S6+CPSX!S111)/('3.Thanh pham'!P$97+'3.Thanh pham'!P$136),0)</f>
        <v>522.01737252067778</v>
      </c>
      <c r="V7" s="585">
        <f>IFERROR((CPSX!T6+CPSX!T111)/('3.Thanh pham'!Q$97+'3.Thanh pham'!Q$136),0)</f>
        <v>503.53791857383766</v>
      </c>
      <c r="W7" s="585">
        <f>IFERROR((CPSX!U6+CPSX!U111)/('3.Thanh pham'!R$97+'3.Thanh pham'!R$136),0)</f>
        <v>532.61722797719426</v>
      </c>
      <c r="X7" s="585">
        <f>IFERROR((CPSX!V6+CPSX!V111)/('3.Thanh pham'!S$97+'3.Thanh pham'!S$136),0)</f>
        <v>518.07757327551599</v>
      </c>
      <c r="Y7" s="585">
        <f>IFERROR((CPSX!W6+CPSX!W111)/('3.Thanh pham'!T$97+'3.Thanh pham'!T$136),0)</f>
        <v>540.15249086565484</v>
      </c>
      <c r="Z7" s="86"/>
    </row>
    <row r="8" spans="2:26" s="36" customFormat="1" ht="12.5" outlineLevel="1" x14ac:dyDescent="0.25">
      <c r="B8" s="575">
        <v>2</v>
      </c>
      <c r="C8" s="575"/>
      <c r="D8" s="576">
        <v>6220002602</v>
      </c>
      <c r="E8" s="577" t="s">
        <v>455</v>
      </c>
      <c r="F8" s="577" t="s">
        <v>569</v>
      </c>
      <c r="G8" s="577" t="s">
        <v>455</v>
      </c>
      <c r="H8" s="576" t="s">
        <v>521</v>
      </c>
      <c r="I8" s="606" t="s">
        <v>612</v>
      </c>
      <c r="J8" s="1017">
        <f>IFERROR((CPSX!AO7+CPSX!AO112)/('3.Thanh pham'!E$97+'3.Thanh pham'!E$136),0)</f>
        <v>47.583156692811073</v>
      </c>
      <c r="K8" s="1017">
        <f>IFERROR((CPSX!AM7+CPSX!AM112)/('3.Thanh pham'!F$97+'3.Thanh pham'!F$136),0)</f>
        <v>36.685255156548543</v>
      </c>
      <c r="L8" s="1017">
        <f>IFERROR((CPSX!AK7+CPSX!AK112)/('3.Thanh pham'!G$97+'3.Thanh pham'!G$136),0)</f>
        <v>26.29284366050231</v>
      </c>
      <c r="M8" s="658">
        <f>IFERROR((CPSX!K7+CPSX!K112)/('3.Thanh pham'!H$97+'3.Thanh pham'!H$136),0)</f>
        <v>26.679715195802885</v>
      </c>
      <c r="N8" s="658">
        <f>IFERROR((CPSX!L7+CPSX!L112)/('3.Thanh pham'!I$97+'3.Thanh pham'!I$136),0)</f>
        <v>35.572953594403849</v>
      </c>
      <c r="O8" s="658">
        <f>IFERROR((CPSX!M7+CPSX!M112)/('3.Thanh pham'!J$97+'3.Thanh pham'!J$136),0)</f>
        <v>24.627429411510356</v>
      </c>
      <c r="P8" s="658">
        <f>IFERROR((CPSX!N7+CPSX!N112)/('3.Thanh pham'!K$97+'3.Thanh pham'!K$136),0)</f>
        <v>22.868327310688187</v>
      </c>
      <c r="Q8" s="658">
        <f>IFERROR((CPSX!O7+CPSX!O112)/('3.Thanh pham'!L$97+'3.Thanh pham'!L$136),0)</f>
        <v>22.868327310688187</v>
      </c>
      <c r="R8" s="658">
        <f>IFERROR((CPSX!P7+CPSX!P112)/('3.Thanh pham'!M$97+'3.Thanh pham'!M$136),0)</f>
        <v>22.868327310688187</v>
      </c>
      <c r="S8" s="658">
        <f>IFERROR((CPSX!Q7+CPSX!Q112)/('3.Thanh pham'!N$97+'3.Thanh pham'!N$136),0)</f>
        <v>22.868327310688187</v>
      </c>
      <c r="T8" s="658">
        <f>IFERROR((CPSX!R7+CPSX!R112)/('3.Thanh pham'!O$97+'3.Thanh pham'!O$136),0)</f>
        <v>22.868327310688187</v>
      </c>
      <c r="U8" s="658">
        <f>IFERROR((CPSX!S7+CPSX!S112)/('3.Thanh pham'!P$97+'3.Thanh pham'!P$136),0)</f>
        <v>22.868327310688187</v>
      </c>
      <c r="V8" s="658">
        <f>IFERROR((CPSX!T7+CPSX!T112)/('3.Thanh pham'!Q$97+'3.Thanh pham'!Q$136),0)</f>
        <v>22.868327310688187</v>
      </c>
      <c r="W8" s="658">
        <f>IFERROR((CPSX!U7+CPSX!U112)/('3.Thanh pham'!R$97+'3.Thanh pham'!R$136),0)</f>
        <v>22.868327310688187</v>
      </c>
      <c r="X8" s="658">
        <f>IFERROR((CPSX!V7+CPSX!V112)/('3.Thanh pham'!S$97+'3.Thanh pham'!S$136),0)</f>
        <v>22.868327310688187</v>
      </c>
      <c r="Y8" s="658">
        <f>IFERROR((CPSX!W7+CPSX!W112)/('3.Thanh pham'!T$97+'3.Thanh pham'!T$136),0)</f>
        <v>24.011743676222597</v>
      </c>
      <c r="Z8" s="86"/>
    </row>
    <row r="9" spans="2:26" s="36" customFormat="1" ht="12.5" outlineLevel="1" x14ac:dyDescent="0.25">
      <c r="B9" s="575">
        <v>3</v>
      </c>
      <c r="C9" s="575"/>
      <c r="D9" s="576">
        <v>6220002802</v>
      </c>
      <c r="E9" s="577" t="s">
        <v>458</v>
      </c>
      <c r="F9" s="577" t="s">
        <v>570</v>
      </c>
      <c r="G9" s="577" t="s">
        <v>458</v>
      </c>
      <c r="H9" s="576" t="s">
        <v>521</v>
      </c>
      <c r="I9" s="606" t="s">
        <v>612</v>
      </c>
      <c r="J9" s="1017">
        <f>IFERROR((CPSX!AO8+CPSX!AO113)/('3.Thanh pham'!E$97+'3.Thanh pham'!E$136),0)</f>
        <v>11.52493872694814</v>
      </c>
      <c r="K9" s="1017">
        <f>IFERROR((CPSX!AM8+CPSX!AM113)/('3.Thanh pham'!F$97+'3.Thanh pham'!F$136),0)</f>
        <v>7.4226352244150906</v>
      </c>
      <c r="L9" s="1017">
        <f>IFERROR((CPSX!AK8+CPSX!AK113)/('3.Thanh pham'!G$97+'3.Thanh pham'!G$136),0)</f>
        <v>14.589250674403775</v>
      </c>
      <c r="M9" s="658">
        <f>IFERROR((CPSX!K8+CPSX!K113)/('3.Thanh pham'!H$97+'3.Thanh pham'!H$136),0)</f>
        <v>10.118043844856661</v>
      </c>
      <c r="N9" s="658">
        <f>IFERROR((CPSX!L8+CPSX!L113)/('3.Thanh pham'!I$97+'3.Thanh pham'!I$136),0)</f>
        <v>0</v>
      </c>
      <c r="O9" s="658">
        <f>IFERROR((CPSX!M8+CPSX!M113)/('3.Thanh pham'!J$97+'3.Thanh pham'!J$136),0)</f>
        <v>0</v>
      </c>
      <c r="P9" s="658">
        <f>IFERROR((CPSX!N8+CPSX!N113)/('3.Thanh pham'!K$97+'3.Thanh pham'!K$136),0)</f>
        <v>0</v>
      </c>
      <c r="Q9" s="658">
        <f>IFERROR((CPSX!O8+CPSX!O113)/('3.Thanh pham'!L$97+'3.Thanh pham'!L$136),0)</f>
        <v>17.345218019754277</v>
      </c>
      <c r="R9" s="658">
        <f>IFERROR((CPSX!P8+CPSX!P113)/('3.Thanh pham'!M$97+'3.Thanh pham'!M$136),0)</f>
        <v>0</v>
      </c>
      <c r="S9" s="658">
        <f>IFERROR((CPSX!Q8+CPSX!Q113)/('3.Thanh pham'!N$97+'3.Thanh pham'!N$136),0)</f>
        <v>0</v>
      </c>
      <c r="T9" s="658">
        <f>IFERROR((CPSX!R8+CPSX!R113)/('3.Thanh pham'!O$97+'3.Thanh pham'!O$136),0)</f>
        <v>0</v>
      </c>
      <c r="U9" s="658">
        <f>IFERROR((CPSX!S8+CPSX!S113)/('3.Thanh pham'!P$97+'3.Thanh pham'!P$136),0)</f>
        <v>8.6726090098771387</v>
      </c>
      <c r="V9" s="658">
        <f>IFERROR((CPSX!T8+CPSX!T113)/('3.Thanh pham'!Q$97+'3.Thanh pham'!Q$136),0)</f>
        <v>0</v>
      </c>
      <c r="W9" s="658">
        <f>IFERROR((CPSX!U8+CPSX!U113)/('3.Thanh pham'!R$97+'3.Thanh pham'!R$136),0)</f>
        <v>0</v>
      </c>
      <c r="X9" s="658">
        <f>IFERROR((CPSX!V8+CPSX!V113)/('3.Thanh pham'!S$97+'3.Thanh pham'!S$136),0)</f>
        <v>0</v>
      </c>
      <c r="Y9" s="658">
        <f>IFERROR((CPSX!W8+CPSX!W113)/('3.Thanh pham'!T$97+'3.Thanh pham'!T$136),0)</f>
        <v>3.0354131534569984</v>
      </c>
      <c r="Z9" s="86"/>
    </row>
    <row r="10" spans="2:26" s="36" customFormat="1" ht="12.5" outlineLevel="1" x14ac:dyDescent="0.25">
      <c r="B10" s="575">
        <v>4</v>
      </c>
      <c r="C10" s="575"/>
      <c r="D10" s="576">
        <v>6220002806</v>
      </c>
      <c r="E10" s="577" t="s">
        <v>471</v>
      </c>
      <c r="F10" s="577" t="s">
        <v>569</v>
      </c>
      <c r="G10" s="577" t="s">
        <v>471</v>
      </c>
      <c r="H10" s="576" t="s">
        <v>521</v>
      </c>
      <c r="I10" s="606" t="s">
        <v>612</v>
      </c>
      <c r="J10" s="1017">
        <f>IFERROR((CPSX!AO9+CPSX!AO114)/('3.Thanh pham'!E$97+'3.Thanh pham'!E$136),0)</f>
        <v>0</v>
      </c>
      <c r="K10" s="1017">
        <f>IFERROR((CPSX!AM9+CPSX!AM114)/('3.Thanh pham'!F$97+'3.Thanh pham'!F$136),0)</f>
        <v>0</v>
      </c>
      <c r="L10" s="1017">
        <f>IFERROR((CPSX!AK9+CPSX!AK114)/('3.Thanh pham'!G$97+'3.Thanh pham'!G$136),0)</f>
        <v>0</v>
      </c>
      <c r="M10" s="658">
        <f>IFERROR((CPSX!K9+CPSX!K114)/('3.Thanh pham'!H$97+'3.Thanh pham'!H$136),0)</f>
        <v>2.5691568296795952</v>
      </c>
      <c r="N10" s="658">
        <f>IFERROR((CPSX!L9+CPSX!L114)/('3.Thanh pham'!I$97+'3.Thanh pham'!I$136),0)</f>
        <v>3.4255424395727938</v>
      </c>
      <c r="O10" s="658">
        <f>IFERROR((CPSX!M9+CPSX!M114)/('3.Thanh pham'!J$97+'3.Thanh pham'!J$136),0)</f>
        <v>2.3715293812427034</v>
      </c>
      <c r="P10" s="658">
        <f>IFERROR((CPSX!N9+CPSX!N114)/('3.Thanh pham'!K$97+'3.Thanh pham'!K$136),0)</f>
        <v>2.2021344254396529</v>
      </c>
      <c r="Q10" s="658">
        <f>IFERROR((CPSX!O9+CPSX!O114)/('3.Thanh pham'!L$97+'3.Thanh pham'!L$136),0)</f>
        <v>2.2021344254396529</v>
      </c>
      <c r="R10" s="658">
        <f>IFERROR((CPSX!P9+CPSX!P114)/('3.Thanh pham'!M$97+'3.Thanh pham'!M$136),0)</f>
        <v>2.2021344254396529</v>
      </c>
      <c r="S10" s="658">
        <f>IFERROR((CPSX!Q9+CPSX!Q114)/('3.Thanh pham'!N$97+'3.Thanh pham'!N$136),0)</f>
        <v>2.2021344254396529</v>
      </c>
      <c r="T10" s="658">
        <f>IFERROR((CPSX!R9+CPSX!R114)/('3.Thanh pham'!O$97+'3.Thanh pham'!O$136),0)</f>
        <v>2.2021344254396529</v>
      </c>
      <c r="U10" s="658">
        <f>IFERROR((CPSX!S9+CPSX!S114)/('3.Thanh pham'!P$97+'3.Thanh pham'!P$136),0)</f>
        <v>2.2021344254396529</v>
      </c>
      <c r="V10" s="658">
        <f>IFERROR((CPSX!T9+CPSX!T114)/('3.Thanh pham'!Q$97+'3.Thanh pham'!Q$136),0)</f>
        <v>2.2021344254396529</v>
      </c>
      <c r="W10" s="658">
        <f>IFERROR((CPSX!U9+CPSX!U114)/('3.Thanh pham'!R$97+'3.Thanh pham'!R$136),0)</f>
        <v>2.2021344254396529</v>
      </c>
      <c r="X10" s="658">
        <f>IFERROR((CPSX!V9+CPSX!V114)/('3.Thanh pham'!S$97+'3.Thanh pham'!S$136),0)</f>
        <v>2.2021344254396529</v>
      </c>
      <c r="Y10" s="658">
        <f>IFERROR((CPSX!W9+CPSX!W114)/('3.Thanh pham'!T$97+'3.Thanh pham'!T$136),0)</f>
        <v>2.3122411467116359</v>
      </c>
      <c r="Z10" s="86"/>
    </row>
    <row r="11" spans="2:26" s="36" customFormat="1" ht="12.5" outlineLevel="1" x14ac:dyDescent="0.25">
      <c r="B11" s="575">
        <v>5</v>
      </c>
      <c r="C11" s="575"/>
      <c r="D11" s="576">
        <v>6220007202</v>
      </c>
      <c r="E11" s="577" t="s">
        <v>431</v>
      </c>
      <c r="F11" s="577" t="s">
        <v>570</v>
      </c>
      <c r="G11" s="577" t="s">
        <v>431</v>
      </c>
      <c r="H11" s="576" t="s">
        <v>521</v>
      </c>
      <c r="I11" s="606" t="s">
        <v>612</v>
      </c>
      <c r="J11" s="1017">
        <f>IFERROR((CPSX!AO10+CPSX!AO115)/('3.Thanh pham'!E$97+'3.Thanh pham'!E$136),0)</f>
        <v>0</v>
      </c>
      <c r="K11" s="1017">
        <f>IFERROR((CPSX!AM10+CPSX!AM115)/('3.Thanh pham'!F$97+'3.Thanh pham'!F$136),0)</f>
        <v>0</v>
      </c>
      <c r="L11" s="1017">
        <f>IFERROR((CPSX!AK10+CPSX!AK115)/('3.Thanh pham'!G$97+'3.Thanh pham'!G$136),0)</f>
        <v>0</v>
      </c>
      <c r="M11" s="658">
        <f>IFERROR((CPSX!K10+CPSX!K115)/('3.Thanh pham'!H$97+'3.Thanh pham'!H$136),0)</f>
        <v>0</v>
      </c>
      <c r="N11" s="658">
        <f>IFERROR((CPSX!L10+CPSX!L115)/('3.Thanh pham'!I$97+'3.Thanh pham'!I$136),0)</f>
        <v>48.091936793454501</v>
      </c>
      <c r="O11" s="658">
        <f>IFERROR((CPSX!M10+CPSX!M115)/('3.Thanh pham'!J$97+'3.Thanh pham'!J$136),0)</f>
        <v>0</v>
      </c>
      <c r="P11" s="658">
        <f>IFERROR((CPSX!N10+CPSX!N115)/('3.Thanh pham'!K$97+'3.Thanh pham'!K$136),0)</f>
        <v>0</v>
      </c>
      <c r="Q11" s="658">
        <f>IFERROR((CPSX!O10+CPSX!O115)/('3.Thanh pham'!L$97+'3.Thanh pham'!L$136),0)</f>
        <v>0</v>
      </c>
      <c r="R11" s="658">
        <f>IFERROR((CPSX!P10+CPSX!P115)/('3.Thanh pham'!M$97+'3.Thanh pham'!M$136),0)</f>
        <v>0</v>
      </c>
      <c r="S11" s="658">
        <f>IFERROR((CPSX!Q10+CPSX!Q115)/('3.Thanh pham'!N$97+'3.Thanh pham'!N$136),0)</f>
        <v>0</v>
      </c>
      <c r="T11" s="658">
        <f>IFERROR((CPSX!R10+CPSX!R115)/('3.Thanh pham'!O$97+'3.Thanh pham'!O$136),0)</f>
        <v>0</v>
      </c>
      <c r="U11" s="658">
        <f>IFERROR((CPSX!S10+CPSX!S115)/('3.Thanh pham'!P$97+'3.Thanh pham'!P$136),0)</f>
        <v>0</v>
      </c>
      <c r="V11" s="658">
        <f>IFERROR((CPSX!T10+CPSX!T115)/('3.Thanh pham'!Q$97+'3.Thanh pham'!Q$136),0)</f>
        <v>0</v>
      </c>
      <c r="W11" s="658">
        <f>IFERROR((CPSX!U10+CPSX!U115)/('3.Thanh pham'!R$97+'3.Thanh pham'!R$136),0)</f>
        <v>0</v>
      </c>
      <c r="X11" s="658">
        <f>IFERROR((CPSX!V10+CPSX!V115)/('3.Thanh pham'!S$97+'3.Thanh pham'!S$136),0)</f>
        <v>0</v>
      </c>
      <c r="Y11" s="658">
        <f>IFERROR((CPSX!W10+CPSX!W115)/('3.Thanh pham'!T$97+'3.Thanh pham'!T$136),0)</f>
        <v>2.7051714446318158</v>
      </c>
      <c r="Z11" s="86"/>
    </row>
    <row r="12" spans="2:26" s="36" customFormat="1" ht="12.5" outlineLevel="1" x14ac:dyDescent="0.25">
      <c r="B12" s="575">
        <v>6</v>
      </c>
      <c r="C12" s="575"/>
      <c r="D12" s="576">
        <v>6220003201</v>
      </c>
      <c r="E12" s="577" t="s">
        <v>460</v>
      </c>
      <c r="F12" s="577" t="s">
        <v>570</v>
      </c>
      <c r="G12" s="577" t="s">
        <v>460</v>
      </c>
      <c r="H12" s="576" t="s">
        <v>521</v>
      </c>
      <c r="I12" s="606" t="s">
        <v>612</v>
      </c>
      <c r="J12" s="1017">
        <f>IFERROR((CPSX!AO11+CPSX!AO116)/('3.Thanh pham'!E$97+'3.Thanh pham'!E$136),0)</f>
        <v>57.837568321586737</v>
      </c>
      <c r="K12" s="1017">
        <f>IFERROR((CPSX!AM11+CPSX!AM116)/('3.Thanh pham'!F$97+'3.Thanh pham'!F$136),0)</f>
        <v>54.322574150078779</v>
      </c>
      <c r="L12" s="1017">
        <f>IFERROR((CPSX!AK11+CPSX!AK116)/('3.Thanh pham'!G$97+'3.Thanh pham'!G$136),0)</f>
        <v>59.17103537401357</v>
      </c>
      <c r="M12" s="658">
        <f>IFERROR((CPSX!K11+CPSX!K116)/('3.Thanh pham'!H$97+'3.Thanh pham'!H$136),0)</f>
        <v>50.168634064080948</v>
      </c>
      <c r="N12" s="658">
        <f>IFERROR((CPSX!L11+CPSX!L116)/('3.Thanh pham'!I$97+'3.Thanh pham'!I$136),0)</f>
        <v>58.864530635188309</v>
      </c>
      <c r="O12" s="658">
        <f>IFERROR((CPSX!M11+CPSX!M116)/('3.Thanh pham'!J$97+'3.Thanh pham'!J$136),0)</f>
        <v>44.457128032170189</v>
      </c>
      <c r="P12" s="658">
        <f>IFERROR((CPSX!N11+CPSX!N116)/('3.Thanh pham'!K$97+'3.Thanh pham'!K$136),0)</f>
        <v>46.441821247892072</v>
      </c>
      <c r="Q12" s="658">
        <f>IFERROR((CPSX!O11+CPSX!O116)/('3.Thanh pham'!L$97+'3.Thanh pham'!L$136),0)</f>
        <v>37.841483979763915</v>
      </c>
      <c r="R12" s="658">
        <f>IFERROR((CPSX!P11+CPSX!P116)/('3.Thanh pham'!M$97+'3.Thanh pham'!M$136),0)</f>
        <v>46.441821247892072</v>
      </c>
      <c r="S12" s="658">
        <f>IFERROR((CPSX!Q11+CPSX!Q116)/('3.Thanh pham'!N$97+'3.Thanh pham'!N$136),0)</f>
        <v>44.721753794266441</v>
      </c>
      <c r="T12" s="658">
        <f>IFERROR((CPSX!R11+CPSX!R116)/('3.Thanh pham'!O$97+'3.Thanh pham'!O$136),0)</f>
        <v>44.721753794266441</v>
      </c>
      <c r="U12" s="658">
        <f>IFERROR((CPSX!S11+CPSX!S116)/('3.Thanh pham'!P$97+'3.Thanh pham'!P$136),0)</f>
        <v>43.001686340640809</v>
      </c>
      <c r="V12" s="658">
        <f>IFERROR((CPSX!T11+CPSX!T116)/('3.Thanh pham'!Q$97+'3.Thanh pham'!Q$136),0)</f>
        <v>43.001686340640809</v>
      </c>
      <c r="W12" s="658">
        <f>IFERROR((CPSX!U11+CPSX!U116)/('3.Thanh pham'!R$97+'3.Thanh pham'!R$136),0)</f>
        <v>46.441821247892072</v>
      </c>
      <c r="X12" s="658">
        <f>IFERROR((CPSX!V11+CPSX!V116)/('3.Thanh pham'!S$97+'3.Thanh pham'!S$136),0)</f>
        <v>44.721753794266441</v>
      </c>
      <c r="Y12" s="658">
        <f>IFERROR((CPSX!W11+CPSX!W116)/('3.Thanh pham'!T$97+'3.Thanh pham'!T$136),0)</f>
        <v>45.452782462057336</v>
      </c>
      <c r="Z12" s="86"/>
    </row>
    <row r="13" spans="2:26" s="36" customFormat="1" ht="12.5" outlineLevel="1" x14ac:dyDescent="0.25">
      <c r="B13" s="575">
        <v>7</v>
      </c>
      <c r="C13" s="575"/>
      <c r="D13" s="576">
        <v>6220002603</v>
      </c>
      <c r="E13" s="577" t="s">
        <v>459</v>
      </c>
      <c r="F13" s="577" t="s">
        <v>569</v>
      </c>
      <c r="G13" s="577" t="s">
        <v>459</v>
      </c>
      <c r="H13" s="576" t="s">
        <v>521</v>
      </c>
      <c r="I13" s="606" t="s">
        <v>612</v>
      </c>
      <c r="J13" s="1017">
        <f>IFERROR((CPSX!AO12+CPSX!AO117)/('3.Thanh pham'!E$97+'3.Thanh pham'!E$136),0)</f>
        <v>0</v>
      </c>
      <c r="K13" s="1017">
        <f>IFERROR((CPSX!AM12+CPSX!AM117)/('3.Thanh pham'!F$97+'3.Thanh pham'!F$136),0)</f>
        <v>0</v>
      </c>
      <c r="L13" s="1017">
        <f>IFERROR((CPSX!AK12+CPSX!AK117)/('3.Thanh pham'!G$97+'3.Thanh pham'!G$136),0)</f>
        <v>0</v>
      </c>
      <c r="M13" s="658">
        <f>IFERROR((CPSX!K12+CPSX!K117)/('3.Thanh pham'!H$97+'3.Thanh pham'!H$136),0)</f>
        <v>0</v>
      </c>
      <c r="N13" s="658">
        <f>IFERROR((CPSX!L12+CPSX!L117)/('3.Thanh pham'!I$97+'3.Thanh pham'!I$136),0)</f>
        <v>0</v>
      </c>
      <c r="O13" s="658">
        <f>IFERROR((CPSX!M12+CPSX!M117)/('3.Thanh pham'!J$97+'3.Thanh pham'!J$136),0)</f>
        <v>0</v>
      </c>
      <c r="P13" s="658">
        <f>IFERROR((CPSX!N12+CPSX!N117)/('3.Thanh pham'!K$97+'3.Thanh pham'!K$136),0)</f>
        <v>0</v>
      </c>
      <c r="Q13" s="658">
        <f>IFERROR((CPSX!O12+CPSX!O117)/('3.Thanh pham'!L$97+'3.Thanh pham'!L$136),0)</f>
        <v>0</v>
      </c>
      <c r="R13" s="658">
        <f>IFERROR((CPSX!P12+CPSX!P117)/('3.Thanh pham'!M$97+'3.Thanh pham'!M$136),0)</f>
        <v>0</v>
      </c>
      <c r="S13" s="658">
        <f>IFERROR((CPSX!Q12+CPSX!Q117)/('3.Thanh pham'!N$97+'3.Thanh pham'!N$136),0)</f>
        <v>0</v>
      </c>
      <c r="T13" s="658">
        <f>IFERROR((CPSX!R12+CPSX!R117)/('3.Thanh pham'!O$97+'3.Thanh pham'!O$136),0)</f>
        <v>0</v>
      </c>
      <c r="U13" s="658">
        <f>IFERROR((CPSX!S12+CPSX!S117)/('3.Thanh pham'!P$97+'3.Thanh pham'!P$136),0)</f>
        <v>0</v>
      </c>
      <c r="V13" s="658">
        <f>IFERROR((CPSX!T12+CPSX!T117)/('3.Thanh pham'!Q$97+'3.Thanh pham'!Q$136),0)</f>
        <v>0</v>
      </c>
      <c r="W13" s="658">
        <f>IFERROR((CPSX!U12+CPSX!U117)/('3.Thanh pham'!R$97+'3.Thanh pham'!R$136),0)</f>
        <v>0</v>
      </c>
      <c r="X13" s="658">
        <f>IFERROR((CPSX!V12+CPSX!V117)/('3.Thanh pham'!S$97+'3.Thanh pham'!S$136),0)</f>
        <v>0</v>
      </c>
      <c r="Y13" s="658">
        <f>IFERROR((CPSX!W12+CPSX!W117)/('3.Thanh pham'!T$97+'3.Thanh pham'!T$136),0)</f>
        <v>0</v>
      </c>
      <c r="Z13" s="86"/>
    </row>
    <row r="14" spans="2:26" s="36" customFormat="1" ht="12.5" outlineLevel="1" x14ac:dyDescent="0.25">
      <c r="B14" s="575">
        <v>8</v>
      </c>
      <c r="C14" s="575"/>
      <c r="D14" s="576">
        <v>6220003401</v>
      </c>
      <c r="E14" s="577" t="s">
        <v>456</v>
      </c>
      <c r="F14" s="577" t="s">
        <v>570</v>
      </c>
      <c r="G14" s="577" t="s">
        <v>456</v>
      </c>
      <c r="H14" s="576" t="s">
        <v>521</v>
      </c>
      <c r="I14" s="606" t="s">
        <v>612</v>
      </c>
      <c r="J14" s="1017">
        <f>IFERROR((CPSX!AO13+CPSX!AO118)/('3.Thanh pham'!E$97+'3.Thanh pham'!E$136),0)</f>
        <v>100.25984408884104</v>
      </c>
      <c r="K14" s="1017">
        <f>IFERROR((CPSX!AM13+CPSX!AM118)/('3.Thanh pham'!F$97+'3.Thanh pham'!F$136),0)</f>
        <v>99.871126122835406</v>
      </c>
      <c r="L14" s="1017">
        <f>IFERROR((CPSX!AK13+CPSX!AK118)/('3.Thanh pham'!G$97+'3.Thanh pham'!G$136),0)</f>
        <v>71.478876179450452</v>
      </c>
      <c r="M14" s="658">
        <f>IFERROR((CPSX!K13+CPSX!K118)/('3.Thanh pham'!H$97+'3.Thanh pham'!H$136),0)</f>
        <v>65.863850477796518</v>
      </c>
      <c r="N14" s="658">
        <f>IFERROR((CPSX!L13+CPSX!L118)/('3.Thanh pham'!I$97+'3.Thanh pham'!I$136),0)</f>
        <v>87.818467303728681</v>
      </c>
      <c r="O14" s="658">
        <f>IFERROR((CPSX!M13+CPSX!M118)/('3.Thanh pham'!J$97+'3.Thanh pham'!J$136),0)</f>
        <v>60.797400441042939</v>
      </c>
      <c r="P14" s="658">
        <f>IFERROR((CPSX!N13+CPSX!N118)/('3.Thanh pham'!K$97+'3.Thanh pham'!K$136),0)</f>
        <v>56.45472898096844</v>
      </c>
      <c r="Q14" s="658">
        <f>IFERROR((CPSX!O13+CPSX!O118)/('3.Thanh pham'!L$97+'3.Thanh pham'!L$136),0)</f>
        <v>56.45472898096844</v>
      </c>
      <c r="R14" s="658">
        <f>IFERROR((CPSX!P13+CPSX!P118)/('3.Thanh pham'!M$97+'3.Thanh pham'!M$136),0)</f>
        <v>56.45472898096844</v>
      </c>
      <c r="S14" s="658">
        <f>IFERROR((CPSX!Q13+CPSX!Q118)/('3.Thanh pham'!N$97+'3.Thanh pham'!N$136),0)</f>
        <v>56.45472898096844</v>
      </c>
      <c r="T14" s="658">
        <f>IFERROR((CPSX!R13+CPSX!R118)/('3.Thanh pham'!O$97+'3.Thanh pham'!O$136),0)</f>
        <v>56.45472898096844</v>
      </c>
      <c r="U14" s="658">
        <f>IFERROR((CPSX!S13+CPSX!S118)/('3.Thanh pham'!P$97+'3.Thanh pham'!P$136),0)</f>
        <v>56.45472898096844</v>
      </c>
      <c r="V14" s="658">
        <f>IFERROR((CPSX!T13+CPSX!T118)/('3.Thanh pham'!Q$97+'3.Thanh pham'!Q$136),0)</f>
        <v>56.45472898096844</v>
      </c>
      <c r="W14" s="658">
        <f>IFERROR((CPSX!U13+CPSX!U118)/('3.Thanh pham'!R$97+'3.Thanh pham'!R$136),0)</f>
        <v>56.45472898096844</v>
      </c>
      <c r="X14" s="658">
        <f>IFERROR((CPSX!V13+CPSX!V118)/('3.Thanh pham'!S$97+'3.Thanh pham'!S$136),0)</f>
        <v>56.45472898096844</v>
      </c>
      <c r="Y14" s="658">
        <f>IFERROR((CPSX!W13+CPSX!W118)/('3.Thanh pham'!T$97+'3.Thanh pham'!T$136),0)</f>
        <v>59.277465430016861</v>
      </c>
      <c r="Z14" s="86"/>
    </row>
    <row r="15" spans="2:26" s="36" customFormat="1" ht="12.5" outlineLevel="1" x14ac:dyDescent="0.25">
      <c r="B15" s="575">
        <v>9</v>
      </c>
      <c r="C15" s="575"/>
      <c r="D15" s="576">
        <v>6220002701</v>
      </c>
      <c r="E15" s="577" t="s">
        <v>457</v>
      </c>
      <c r="F15" s="577" t="s">
        <v>569</v>
      </c>
      <c r="G15" s="577" t="s">
        <v>457</v>
      </c>
      <c r="H15" s="576" t="s">
        <v>521</v>
      </c>
      <c r="I15" s="606" t="s">
        <v>612</v>
      </c>
      <c r="J15" s="1017">
        <f>IFERROR((CPSX!AO14+CPSX!AO119)/('3.Thanh pham'!E$97+'3.Thanh pham'!E$136),0)</f>
        <v>0</v>
      </c>
      <c r="K15" s="1017">
        <f>IFERROR((CPSX!AM14+CPSX!AM119)/('3.Thanh pham'!F$97+'3.Thanh pham'!F$136),0)</f>
        <v>0</v>
      </c>
      <c r="L15" s="1017">
        <f>IFERROR((CPSX!AK14+CPSX!AK119)/('3.Thanh pham'!G$97+'3.Thanh pham'!G$136),0)</f>
        <v>0</v>
      </c>
      <c r="M15" s="658">
        <f>IFERROR((CPSX!K14+CPSX!K119)/('3.Thanh pham'!H$97+'3.Thanh pham'!H$136),0)</f>
        <v>10.77970582724377</v>
      </c>
      <c r="N15" s="658">
        <f>IFERROR((CPSX!L14+CPSX!L119)/('3.Thanh pham'!I$97+'3.Thanh pham'!I$136),0)</f>
        <v>17.707418649678345</v>
      </c>
      <c r="O15" s="658">
        <f>IFERROR((CPSX!M14+CPSX!M119)/('3.Thanh pham'!J$97+'3.Thanh pham'!J$136),0)</f>
        <v>28.657363255069832</v>
      </c>
      <c r="P15" s="658">
        <f>IFERROR((CPSX!N14+CPSX!N119)/('3.Thanh pham'!K$97+'3.Thanh pham'!K$136),0)</f>
        <v>19.957823817554004</v>
      </c>
      <c r="Q15" s="658">
        <f>IFERROR((CPSX!O14+CPSX!O119)/('3.Thanh pham'!L$97+'3.Thanh pham'!L$136),0)</f>
        <v>16.261936882678871</v>
      </c>
      <c r="R15" s="658">
        <f>IFERROR((CPSX!P14+CPSX!P119)/('3.Thanh pham'!M$97+'3.Thanh pham'!M$136),0)</f>
        <v>9.9788918332931829</v>
      </c>
      <c r="S15" s="658">
        <f>IFERROR((CPSX!Q14+CPSX!Q119)/('3.Thanh pham'!N$97+'3.Thanh pham'!N$136),0)</f>
        <v>76.874526620091544</v>
      </c>
      <c r="T15" s="658">
        <f>IFERROR((CPSX!R14+CPSX!R119)/('3.Thanh pham'!O$97+'3.Thanh pham'!O$136),0)</f>
        <v>96.093145426804782</v>
      </c>
      <c r="U15" s="658">
        <f>IFERROR((CPSX!S14+CPSX!S119)/('3.Thanh pham'!P$97+'3.Thanh pham'!P$136),0)</f>
        <v>73.917835059824938</v>
      </c>
      <c r="V15" s="658">
        <f>IFERROR((CPSX!T14+CPSX!T119)/('3.Thanh pham'!Q$97+'3.Thanh pham'!Q$136),0)</f>
        <v>18.479437886453063</v>
      </c>
      <c r="W15" s="658">
        <f>IFERROR((CPSX!U14+CPSX!U119)/('3.Thanh pham'!R$97+'3.Thanh pham'!R$136),0)</f>
        <v>9.9788918332931829</v>
      </c>
      <c r="X15" s="658">
        <f>IFERROR((CPSX!V14+CPSX!V119)/('3.Thanh pham'!S$97+'3.Thanh pham'!S$136),0)</f>
        <v>9.6093150244920906</v>
      </c>
      <c r="Y15" s="658">
        <f>IFERROR((CPSX!W14+CPSX!W119)/('3.Thanh pham'!T$97+'3.Thanh pham'!T$136),0)</f>
        <v>33.108713884204612</v>
      </c>
      <c r="Z15" s="86"/>
    </row>
    <row r="16" spans="2:26" s="36" customFormat="1" ht="12.5" outlineLevel="1" x14ac:dyDescent="0.25">
      <c r="B16" s="575">
        <v>10</v>
      </c>
      <c r="C16" s="575"/>
      <c r="D16" s="981" t="s">
        <v>809</v>
      </c>
      <c r="E16" s="638" t="s">
        <v>810</v>
      </c>
      <c r="F16" s="638" t="s">
        <v>811</v>
      </c>
      <c r="G16" s="638" t="s">
        <v>810</v>
      </c>
      <c r="H16" s="981" t="s">
        <v>521</v>
      </c>
      <c r="I16" s="606" t="s">
        <v>623</v>
      </c>
      <c r="J16" s="1017">
        <f>IFERROR((CPSX!AO15+CPSX!AO120)/('3.Thanh pham'!E$97+'3.Thanh pham'!E$136),0)</f>
        <v>0</v>
      </c>
      <c r="K16" s="1017">
        <f>IFERROR((CPSX!AM15+CPSX!AM120)/('3.Thanh pham'!F$97+'3.Thanh pham'!F$136),0)</f>
        <v>0</v>
      </c>
      <c r="L16" s="1017">
        <f>IFERROR((CPSX!AK15+CPSX!AK120)/('3.Thanh pham'!G$97+'3.Thanh pham'!G$136),0)</f>
        <v>0</v>
      </c>
      <c r="M16" s="1015">
        <f>IFERROR((CPSX!K15+CPSX!K120)/('3.Thanh pham'!H$97+'3.Thanh pham'!H$136),0)</f>
        <v>0</v>
      </c>
      <c r="N16" s="1015">
        <f>IFERROR((CPSX!L15+CPSX!L120)/('3.Thanh pham'!I$97+'3.Thanh pham'!I$136),0)</f>
        <v>0</v>
      </c>
      <c r="O16" s="1015">
        <f>IFERROR((CPSX!M15+CPSX!M120)/('3.Thanh pham'!J$97+'3.Thanh pham'!J$136),0)</f>
        <v>0</v>
      </c>
      <c r="P16" s="1015">
        <f>IFERROR((CPSX!N15+CPSX!N120)/('3.Thanh pham'!K$97+'3.Thanh pham'!K$136),0)</f>
        <v>0</v>
      </c>
      <c r="Q16" s="1015">
        <f>IFERROR((CPSX!O15+CPSX!O120)/('3.Thanh pham'!L$97+'3.Thanh pham'!L$136),0)</f>
        <v>0</v>
      </c>
      <c r="R16" s="1015">
        <f>IFERROR((CPSX!P15+CPSX!P120)/('3.Thanh pham'!M$97+'3.Thanh pham'!M$136),0)</f>
        <v>0</v>
      </c>
      <c r="S16" s="1015">
        <f>IFERROR((CPSX!Q15+CPSX!Q120)/('3.Thanh pham'!N$97+'3.Thanh pham'!N$136),0)</f>
        <v>0</v>
      </c>
      <c r="T16" s="1015">
        <f>IFERROR((CPSX!R15+CPSX!R120)/('3.Thanh pham'!O$97+'3.Thanh pham'!O$136),0)</f>
        <v>0</v>
      </c>
      <c r="U16" s="1015">
        <f>IFERROR((CPSX!S15+CPSX!S120)/('3.Thanh pham'!P$97+'3.Thanh pham'!P$136),0)</f>
        <v>0</v>
      </c>
      <c r="V16" s="1015">
        <f>IFERROR((CPSX!T15+CPSX!T120)/('3.Thanh pham'!Q$97+'3.Thanh pham'!Q$136),0)</f>
        <v>0</v>
      </c>
      <c r="W16" s="1015">
        <f>IFERROR((CPSX!U15+CPSX!U120)/('3.Thanh pham'!R$97+'3.Thanh pham'!R$136),0)</f>
        <v>0</v>
      </c>
      <c r="X16" s="1015">
        <f>IFERROR((CPSX!V15+CPSX!V120)/('3.Thanh pham'!S$97+'3.Thanh pham'!S$136),0)</f>
        <v>0</v>
      </c>
      <c r="Y16" s="1015">
        <f>IFERROR((CPSX!W15+CPSX!W120)/('3.Thanh pham'!T$97+'3.Thanh pham'!T$136),0)</f>
        <v>0</v>
      </c>
      <c r="Z16" s="86"/>
    </row>
    <row r="17" spans="2:26" s="36" customFormat="1" ht="12.5" outlineLevel="1" x14ac:dyDescent="0.25">
      <c r="B17" s="575">
        <v>11</v>
      </c>
      <c r="C17" s="575"/>
      <c r="D17" s="981">
        <v>6220003001</v>
      </c>
      <c r="E17" s="638" t="s">
        <v>430</v>
      </c>
      <c r="F17" s="638" t="s">
        <v>570</v>
      </c>
      <c r="G17" s="638" t="s">
        <v>430</v>
      </c>
      <c r="H17" s="981" t="s">
        <v>521</v>
      </c>
      <c r="I17" s="606" t="s">
        <v>622</v>
      </c>
      <c r="J17" s="1017">
        <f>IFERROR((CPSX!AO16+CPSX!AO121)/('3.Thanh pham'!E$97+'3.Thanh pham'!E$136),0)</f>
        <v>2.0863668532094128</v>
      </c>
      <c r="K17" s="1017">
        <f>IFERROR((CPSX!AM16+CPSX!AM121)/('3.Thanh pham'!F$97+'3.Thanh pham'!F$136),0)</f>
        <v>0.11916870424838442</v>
      </c>
      <c r="L17" s="1017">
        <f>IFERROR((CPSX!AK16+CPSX!AK121)/('3.Thanh pham'!G$97+'3.Thanh pham'!G$136),0)</f>
        <v>5.3009884780090095</v>
      </c>
      <c r="M17" s="1015">
        <f ca="1">IFERROR((CPSX!K16+CPSX!K121)/('3.Thanh pham'!H$97+'3.Thanh pham'!H$136),0)</f>
        <v>3.5746453724828884</v>
      </c>
      <c r="N17" s="1015">
        <f ca="1">IFERROR((CPSX!L16+CPSX!L121)/('3.Thanh pham'!I$97+'3.Thanh pham'!I$136),0)</f>
        <v>4.7661938299771851</v>
      </c>
      <c r="O17" s="1015">
        <f ca="1">IFERROR((CPSX!M16+CPSX!M121)/('3.Thanh pham'!J$97+'3.Thanh pham'!J$136),0)</f>
        <v>3.2996726515226662</v>
      </c>
      <c r="P17" s="1015">
        <f ca="1">IFERROR((CPSX!N16+CPSX!N121)/('3.Thanh pham'!K$97+'3.Thanh pham'!K$136),0)</f>
        <v>3.063981747842476</v>
      </c>
      <c r="Q17" s="1015">
        <f ca="1">IFERROR((CPSX!O16+CPSX!O121)/('3.Thanh pham'!L$97+'3.Thanh pham'!L$136),0)</f>
        <v>3.063981747842476</v>
      </c>
      <c r="R17" s="1015">
        <f ca="1">IFERROR((CPSX!P16+CPSX!P121)/('3.Thanh pham'!M$97+'3.Thanh pham'!M$136),0)</f>
        <v>3.063981747842476</v>
      </c>
      <c r="S17" s="1015">
        <f ca="1">IFERROR((CPSX!Q16+CPSX!Q121)/('3.Thanh pham'!N$97+'3.Thanh pham'!N$136),0)</f>
        <v>3.063981747842476</v>
      </c>
      <c r="T17" s="1015">
        <f ca="1">IFERROR((CPSX!R16+CPSX!R121)/('3.Thanh pham'!O$97+'3.Thanh pham'!O$136),0)</f>
        <v>3.063981747842476</v>
      </c>
      <c r="U17" s="1015">
        <f ca="1">IFERROR((CPSX!S16+CPSX!S121)/('3.Thanh pham'!P$97+'3.Thanh pham'!P$136),0)</f>
        <v>3.063981747842476</v>
      </c>
      <c r="V17" s="1015">
        <f ca="1">IFERROR((CPSX!T16+CPSX!T121)/('3.Thanh pham'!Q$97+'3.Thanh pham'!Q$136),0)</f>
        <v>3.063981747842476</v>
      </c>
      <c r="W17" s="1015">
        <f ca="1">IFERROR((CPSX!U16+CPSX!U121)/('3.Thanh pham'!R$97+'3.Thanh pham'!R$136),0)</f>
        <v>3.063981747842476</v>
      </c>
      <c r="X17" s="1015">
        <f ca="1">IFERROR((CPSX!V16+CPSX!V121)/('3.Thanh pham'!S$97+'3.Thanh pham'!S$136),0)</f>
        <v>3.063981747842476</v>
      </c>
      <c r="Y17" s="1015">
        <f ca="1">IFERROR((CPSX!W16+CPSX!W121)/('3.Thanh pham'!T$97+'3.Thanh pham'!T$136),0)</f>
        <v>3.2171808352346005</v>
      </c>
      <c r="Z17" s="86"/>
    </row>
    <row r="18" spans="2:26" s="36" customFormat="1" ht="12.5" outlineLevel="1" x14ac:dyDescent="0.25">
      <c r="B18" s="575">
        <v>12</v>
      </c>
      <c r="C18" s="575"/>
      <c r="D18" s="981">
        <v>6277003101</v>
      </c>
      <c r="E18" s="638" t="s">
        <v>441</v>
      </c>
      <c r="F18" s="638" t="s">
        <v>570</v>
      </c>
      <c r="G18" s="638" t="s">
        <v>1946</v>
      </c>
      <c r="H18" s="981" t="s">
        <v>521</v>
      </c>
      <c r="I18" s="606" t="s">
        <v>622</v>
      </c>
      <c r="J18" s="1017">
        <f>IFERROR((CPSX!AO17+CPSX!AO122)/('3.Thanh pham'!E$97+'3.Thanh pham'!E$136),0)</f>
        <v>0</v>
      </c>
      <c r="K18" s="1017">
        <f>IFERROR((CPSX!AM17+CPSX!AM122)/('3.Thanh pham'!F$97+'3.Thanh pham'!F$136),0)</f>
        <v>0</v>
      </c>
      <c r="L18" s="1017">
        <f>IFERROR((CPSX!AK17+CPSX!AK122)/('3.Thanh pham'!G$97+'3.Thanh pham'!G$136),0)</f>
        <v>0</v>
      </c>
      <c r="M18" s="1015">
        <f>IFERROR((CPSX!K17+CPSX!K122)/('3.Thanh pham'!H$97+'3.Thanh pham'!H$136),0)</f>
        <v>0</v>
      </c>
      <c r="N18" s="1015">
        <f>IFERROR((CPSX!L17+CPSX!L122)/('3.Thanh pham'!I$97+'3.Thanh pham'!I$136),0)</f>
        <v>0</v>
      </c>
      <c r="O18" s="1015">
        <f>IFERROR((CPSX!M17+CPSX!M122)/('3.Thanh pham'!J$97+'3.Thanh pham'!J$136),0)</f>
        <v>0</v>
      </c>
      <c r="P18" s="1015">
        <f>IFERROR((CPSX!N17+CPSX!N122)/('3.Thanh pham'!K$97+'3.Thanh pham'!K$136),0)</f>
        <v>0</v>
      </c>
      <c r="Q18" s="1015">
        <f>IFERROR((CPSX!O17+CPSX!O122)/('3.Thanh pham'!L$97+'3.Thanh pham'!L$136),0)</f>
        <v>0</v>
      </c>
      <c r="R18" s="1015">
        <f>IFERROR((CPSX!P17+CPSX!P122)/('3.Thanh pham'!M$97+'3.Thanh pham'!M$136),0)</f>
        <v>0</v>
      </c>
      <c r="S18" s="1015">
        <f>IFERROR((CPSX!Q17+CPSX!Q122)/('3.Thanh pham'!N$97+'3.Thanh pham'!N$136),0)</f>
        <v>0</v>
      </c>
      <c r="T18" s="1015">
        <f>IFERROR((CPSX!R17+CPSX!R122)/('3.Thanh pham'!O$97+'3.Thanh pham'!O$136),0)</f>
        <v>0</v>
      </c>
      <c r="U18" s="1015">
        <f>IFERROR((CPSX!S17+CPSX!S122)/('3.Thanh pham'!P$97+'3.Thanh pham'!P$136),0)</f>
        <v>0</v>
      </c>
      <c r="V18" s="1015">
        <f>IFERROR((CPSX!T17+CPSX!T122)/('3.Thanh pham'!Q$97+'3.Thanh pham'!Q$136),0)</f>
        <v>0</v>
      </c>
      <c r="W18" s="1015">
        <f>IFERROR((CPSX!U17+CPSX!U122)/('3.Thanh pham'!R$97+'3.Thanh pham'!R$136),0)</f>
        <v>0</v>
      </c>
      <c r="X18" s="1015">
        <f>IFERROR((CPSX!V17+CPSX!V122)/('3.Thanh pham'!S$97+'3.Thanh pham'!S$136),0)</f>
        <v>0</v>
      </c>
      <c r="Y18" s="1015">
        <f>IFERROR((CPSX!W17+CPSX!W122)/('3.Thanh pham'!T$97+'3.Thanh pham'!T$136),0)</f>
        <v>0</v>
      </c>
      <c r="Z18" s="86"/>
    </row>
    <row r="19" spans="2:26" s="36" customFormat="1" ht="12.5" outlineLevel="1" x14ac:dyDescent="0.25">
      <c r="B19" s="575">
        <v>13</v>
      </c>
      <c r="C19" s="575"/>
      <c r="D19" s="981">
        <v>6275001801</v>
      </c>
      <c r="E19" s="638" t="s">
        <v>428</v>
      </c>
      <c r="F19" s="638" t="s">
        <v>571</v>
      </c>
      <c r="G19" s="638" t="s">
        <v>428</v>
      </c>
      <c r="H19" s="981" t="s">
        <v>518</v>
      </c>
      <c r="I19" s="606" t="s">
        <v>621</v>
      </c>
      <c r="J19" s="1017">
        <f>IFERROR((CPSX!AO18+CPSX!AO123)/('3.Thanh pham'!E$97+'3.Thanh pham'!E$136),0)</f>
        <v>57.733937721335053</v>
      </c>
      <c r="K19" s="1017">
        <f>IFERROR((CPSX!AM18+CPSX!AM123)/('3.Thanh pham'!F$97+'3.Thanh pham'!F$136),0)</f>
        <v>77.054421082462113</v>
      </c>
      <c r="L19" s="1017">
        <f>IFERROR((CPSX!AK18+CPSX!AK123)/('3.Thanh pham'!G$97+'3.Thanh pham'!G$136),0)</f>
        <v>77.234179606193521</v>
      </c>
      <c r="M19" s="1015">
        <f>IFERROR((CPSX!K18+CPSX!K123)/('3.Thanh pham'!H$97+'3.Thanh pham'!H$136),0)</f>
        <v>85.411792508566705</v>
      </c>
      <c r="N19" s="1015">
        <f>IFERROR((CPSX!L18+CPSX!L123)/('3.Thanh pham'!I$97+'3.Thanh pham'!I$136),0)</f>
        <v>85.411792508566705</v>
      </c>
      <c r="O19" s="1015">
        <f>IFERROR((CPSX!M18+CPSX!M123)/('3.Thanh pham'!J$97+'3.Thanh pham'!J$136),0)</f>
        <v>85.411792508566705</v>
      </c>
      <c r="P19" s="1015">
        <f>IFERROR((CPSX!N18+CPSX!N123)/('3.Thanh pham'!K$97+'3.Thanh pham'!K$136),0)</f>
        <v>85.411792508566705</v>
      </c>
      <c r="Q19" s="1015">
        <f>IFERROR((CPSX!O18+CPSX!O123)/('3.Thanh pham'!L$97+'3.Thanh pham'!L$136),0)</f>
        <v>85.411792508566705</v>
      </c>
      <c r="R19" s="1015">
        <f>IFERROR((CPSX!P18+CPSX!P123)/('3.Thanh pham'!M$97+'3.Thanh pham'!M$136),0)</f>
        <v>85.411792508566705</v>
      </c>
      <c r="S19" s="1015">
        <f>IFERROR((CPSX!Q18+CPSX!Q123)/('3.Thanh pham'!N$97+'3.Thanh pham'!N$136),0)</f>
        <v>85.411792508566705</v>
      </c>
      <c r="T19" s="1015">
        <f>IFERROR((CPSX!R18+CPSX!R123)/('3.Thanh pham'!O$97+'3.Thanh pham'!O$136),0)</f>
        <v>85.411792508566705</v>
      </c>
      <c r="U19" s="1015">
        <f>IFERROR((CPSX!S18+CPSX!S123)/('3.Thanh pham'!P$97+'3.Thanh pham'!P$136),0)</f>
        <v>85.411792508566705</v>
      </c>
      <c r="V19" s="1015">
        <f>IFERROR((CPSX!T18+CPSX!T123)/('3.Thanh pham'!Q$97+'3.Thanh pham'!Q$136),0)</f>
        <v>85.411792508566705</v>
      </c>
      <c r="W19" s="1015">
        <f>IFERROR((CPSX!U18+CPSX!U123)/('3.Thanh pham'!R$97+'3.Thanh pham'!R$136),0)</f>
        <v>85.411792508566705</v>
      </c>
      <c r="X19" s="1015">
        <f>IFERROR((CPSX!V18+CPSX!V123)/('3.Thanh pham'!S$97+'3.Thanh pham'!S$136),0)</f>
        <v>85.411792508566705</v>
      </c>
      <c r="Y19" s="1015">
        <f>IFERROR((CPSX!W18+CPSX!W123)/('3.Thanh pham'!T$97+'3.Thanh pham'!T$136),0)</f>
        <v>85.411792508566691</v>
      </c>
      <c r="Z19" s="86"/>
    </row>
    <row r="20" spans="2:26" s="36" customFormat="1" ht="12.5" outlineLevel="1" x14ac:dyDescent="0.25">
      <c r="B20" s="575">
        <v>14</v>
      </c>
      <c r="C20" s="575"/>
      <c r="D20" s="576">
        <v>6272000100</v>
      </c>
      <c r="E20" s="577" t="s">
        <v>429</v>
      </c>
      <c r="F20" s="577" t="s">
        <v>572</v>
      </c>
      <c r="G20" s="577" t="s">
        <v>1774</v>
      </c>
      <c r="H20" s="576" t="s">
        <v>518</v>
      </c>
      <c r="I20" s="606" t="s">
        <v>621</v>
      </c>
      <c r="J20" s="1017">
        <f>IFERROR((CPSX!AO19+CPSX!AO124)/('3.Thanh pham'!E$97+'3.Thanh pham'!E$136),0)</f>
        <v>18.763280058866709</v>
      </c>
      <c r="K20" s="1017">
        <f>IFERROR((CPSX!AM19+CPSX!AM124)/('3.Thanh pham'!F$97+'3.Thanh pham'!F$136),0)</f>
        <v>48.359457034931673</v>
      </c>
      <c r="L20" s="1017">
        <f>IFERROR((CPSX!AK19+CPSX!AK124)/('3.Thanh pham'!G$97+'3.Thanh pham'!G$136),0)</f>
        <v>15.372717161763354</v>
      </c>
      <c r="M20" s="658">
        <f>IFERROR((CPSX!K19+CPSX!K124)/('3.Thanh pham'!H$97+'3.Thanh pham'!H$136),0)</f>
        <v>90.322580645161295</v>
      </c>
      <c r="N20" s="658">
        <f>IFERROR((CPSX!L19+CPSX!L124)/('3.Thanh pham'!I$97+'3.Thanh pham'!I$136),0)</f>
        <v>90.322580645161295</v>
      </c>
      <c r="O20" s="658">
        <f>IFERROR((CPSX!M19+CPSX!M124)/('3.Thanh pham'!J$97+'3.Thanh pham'!J$136),0)</f>
        <v>90.322580645161295</v>
      </c>
      <c r="P20" s="658">
        <f>IFERROR((CPSX!N19+CPSX!N124)/('3.Thanh pham'!K$97+'3.Thanh pham'!K$136),0)</f>
        <v>90.322580645161295</v>
      </c>
      <c r="Q20" s="658">
        <f>IFERROR((CPSX!O19+CPSX!O124)/('3.Thanh pham'!L$97+'3.Thanh pham'!L$136),0)</f>
        <v>90.322580645161295</v>
      </c>
      <c r="R20" s="658">
        <f>IFERROR((CPSX!P19+CPSX!P124)/('3.Thanh pham'!M$97+'3.Thanh pham'!M$136),0)</f>
        <v>90.322580645161295</v>
      </c>
      <c r="S20" s="658">
        <f>IFERROR((CPSX!Q19+CPSX!Q124)/('3.Thanh pham'!N$97+'3.Thanh pham'!N$136),0)</f>
        <v>90.322580645161295</v>
      </c>
      <c r="T20" s="658">
        <f>IFERROR((CPSX!R19+CPSX!R124)/('3.Thanh pham'!O$97+'3.Thanh pham'!O$136),0)</f>
        <v>90.322580645161295</v>
      </c>
      <c r="U20" s="658">
        <f>IFERROR((CPSX!S19+CPSX!S124)/('3.Thanh pham'!P$97+'3.Thanh pham'!P$136),0)</f>
        <v>90.322580645161295</v>
      </c>
      <c r="V20" s="658">
        <f>IFERROR((CPSX!T19+CPSX!T124)/('3.Thanh pham'!Q$97+'3.Thanh pham'!Q$136),0)</f>
        <v>90.322580645161295</v>
      </c>
      <c r="W20" s="658">
        <f>IFERROR((CPSX!U19+CPSX!U124)/('3.Thanh pham'!R$97+'3.Thanh pham'!R$136),0)</f>
        <v>90.322580645161295</v>
      </c>
      <c r="X20" s="658">
        <f>IFERROR((CPSX!V19+CPSX!V124)/('3.Thanh pham'!S$97+'3.Thanh pham'!S$136),0)</f>
        <v>90.322580645161295</v>
      </c>
      <c r="Y20" s="658">
        <f>IFERROR((CPSX!W19+CPSX!W124)/('3.Thanh pham'!T$97+'3.Thanh pham'!T$136),0)</f>
        <v>90.322580645161324</v>
      </c>
      <c r="Z20" s="86"/>
    </row>
    <row r="21" spans="2:26" s="36" customFormat="1" ht="12.5" outlineLevel="1" x14ac:dyDescent="0.25">
      <c r="B21" s="575">
        <v>15</v>
      </c>
      <c r="C21" s="575"/>
      <c r="D21" s="576">
        <v>6272000100</v>
      </c>
      <c r="E21" s="577" t="s">
        <v>429</v>
      </c>
      <c r="F21" s="577" t="s">
        <v>572</v>
      </c>
      <c r="G21" s="577" t="s">
        <v>14</v>
      </c>
      <c r="H21" s="576" t="s">
        <v>516</v>
      </c>
      <c r="I21" s="606" t="s">
        <v>621</v>
      </c>
      <c r="J21" s="1017">
        <f>IFERROR((CPSX!AO20+CPSX!AO125)/('3.Thanh pham'!E$97+'3.Thanh pham'!E$136),0)</f>
        <v>78.028817904424031</v>
      </c>
      <c r="K21" s="1017">
        <f>IFERROR((CPSX!AM20+CPSX!AM125)/('3.Thanh pham'!F$97+'3.Thanh pham'!F$136),0)</f>
        <v>64.160978434728662</v>
      </c>
      <c r="L21" s="1017">
        <f>IFERROR((CPSX!AK20+CPSX!AK125)/('3.Thanh pham'!G$97+'3.Thanh pham'!G$136),0)</f>
        <v>52.400468036176918</v>
      </c>
      <c r="M21" s="658">
        <f>IFERROR((CPSX!K20+CPSX!K125)/('3.Thanh pham'!H$97+'3.Thanh pham'!H$136),0)</f>
        <v>66.521739130434781</v>
      </c>
      <c r="N21" s="658">
        <f>IFERROR((CPSX!L20+CPSX!L125)/('3.Thanh pham'!I$97+'3.Thanh pham'!I$136),0)</f>
        <v>66.521739130434781</v>
      </c>
      <c r="O21" s="658">
        <f>IFERROR((CPSX!M20+CPSX!M125)/('3.Thanh pham'!J$97+'3.Thanh pham'!J$136),0)</f>
        <v>66.521739130434781</v>
      </c>
      <c r="P21" s="658">
        <f>IFERROR((CPSX!N20+CPSX!N125)/('3.Thanh pham'!K$97+'3.Thanh pham'!K$136),0)</f>
        <v>66.521739130434781</v>
      </c>
      <c r="Q21" s="658">
        <f>IFERROR((CPSX!O20+CPSX!O125)/('3.Thanh pham'!L$97+'3.Thanh pham'!L$136),0)</f>
        <v>66.521739130434781</v>
      </c>
      <c r="R21" s="658">
        <f>IFERROR((CPSX!P20+CPSX!P125)/('3.Thanh pham'!M$97+'3.Thanh pham'!M$136),0)</f>
        <v>66.521739130434781</v>
      </c>
      <c r="S21" s="658">
        <f>IFERROR((CPSX!Q20+CPSX!Q125)/('3.Thanh pham'!N$97+'3.Thanh pham'!N$136),0)</f>
        <v>66.521739130434781</v>
      </c>
      <c r="T21" s="658">
        <f>IFERROR((CPSX!R20+CPSX!R125)/('3.Thanh pham'!O$97+'3.Thanh pham'!O$136),0)</f>
        <v>66.521739130434781</v>
      </c>
      <c r="U21" s="658">
        <f>IFERROR((CPSX!S20+CPSX!S125)/('3.Thanh pham'!P$97+'3.Thanh pham'!P$136),0)</f>
        <v>66.521739130434781</v>
      </c>
      <c r="V21" s="658">
        <f>IFERROR((CPSX!T20+CPSX!T125)/('3.Thanh pham'!Q$97+'3.Thanh pham'!Q$136),0)</f>
        <v>66.521739130434781</v>
      </c>
      <c r="W21" s="658">
        <f>IFERROR((CPSX!U20+CPSX!U125)/('3.Thanh pham'!R$97+'3.Thanh pham'!R$136),0)</f>
        <v>66.521739130434781</v>
      </c>
      <c r="X21" s="658">
        <f>IFERROR((CPSX!V20+CPSX!V125)/('3.Thanh pham'!S$97+'3.Thanh pham'!S$136),0)</f>
        <v>66.521739130434781</v>
      </c>
      <c r="Y21" s="658">
        <f>IFERROR((CPSX!W20+CPSX!W125)/('3.Thanh pham'!T$97+'3.Thanh pham'!T$136),0)</f>
        <v>66.521739130434796</v>
      </c>
      <c r="Z21" s="86"/>
    </row>
    <row r="22" spans="2:26" s="36" customFormat="1" ht="12.5" outlineLevel="1" x14ac:dyDescent="0.25">
      <c r="B22" s="575">
        <v>16</v>
      </c>
      <c r="C22" s="575"/>
      <c r="D22" s="576">
        <v>6272000100</v>
      </c>
      <c r="E22" s="577" t="s">
        <v>429</v>
      </c>
      <c r="F22" s="577" t="s">
        <v>572</v>
      </c>
      <c r="G22" s="577" t="s">
        <v>309</v>
      </c>
      <c r="H22" s="576" t="s">
        <v>516</v>
      </c>
      <c r="I22" s="606" t="s">
        <v>621</v>
      </c>
      <c r="J22" s="1017">
        <f>IFERROR((CPSX!AO21+CPSX!AO126)/('3.Thanh pham'!E$97+'3.Thanh pham'!E$136),0)</f>
        <v>0</v>
      </c>
      <c r="K22" s="1017">
        <f>IFERROR((CPSX!AM21+CPSX!AM126)/('3.Thanh pham'!F$97+'3.Thanh pham'!F$136),0)</f>
        <v>0</v>
      </c>
      <c r="L22" s="1017">
        <f>IFERROR((CPSX!AK21+CPSX!AK126)/('3.Thanh pham'!G$97+'3.Thanh pham'!G$136),0)</f>
        <v>0</v>
      </c>
      <c r="M22" s="658">
        <f>IFERROR((CPSX!K21+CPSX!K126)/('3.Thanh pham'!H$97+'3.Thanh pham'!H$136),0)</f>
        <v>0</v>
      </c>
      <c r="N22" s="658">
        <f>IFERROR((CPSX!L21+CPSX!L126)/('3.Thanh pham'!I$97+'3.Thanh pham'!I$136),0)</f>
        <v>0</v>
      </c>
      <c r="O22" s="658">
        <f>IFERROR((CPSX!M21+CPSX!M126)/('3.Thanh pham'!J$97+'3.Thanh pham'!J$136),0)</f>
        <v>0</v>
      </c>
      <c r="P22" s="658">
        <f>IFERROR((CPSX!N21+CPSX!N126)/('3.Thanh pham'!K$97+'3.Thanh pham'!K$136),0)</f>
        <v>0</v>
      </c>
      <c r="Q22" s="658">
        <f>IFERROR((CPSX!O21+CPSX!O126)/('3.Thanh pham'!L$97+'3.Thanh pham'!L$136),0)</f>
        <v>0</v>
      </c>
      <c r="R22" s="658">
        <f>IFERROR((CPSX!P21+CPSX!P126)/('3.Thanh pham'!M$97+'3.Thanh pham'!M$136),0)</f>
        <v>0</v>
      </c>
      <c r="S22" s="658">
        <f>IFERROR((CPSX!Q21+CPSX!Q126)/('3.Thanh pham'!N$97+'3.Thanh pham'!N$136),0)</f>
        <v>0</v>
      </c>
      <c r="T22" s="658">
        <f>IFERROR((CPSX!R21+CPSX!R126)/('3.Thanh pham'!O$97+'3.Thanh pham'!O$136),0)</f>
        <v>0</v>
      </c>
      <c r="U22" s="658">
        <f>IFERROR((CPSX!S21+CPSX!S126)/('3.Thanh pham'!P$97+'3.Thanh pham'!P$136),0)</f>
        <v>0</v>
      </c>
      <c r="V22" s="658">
        <f>IFERROR((CPSX!T21+CPSX!T126)/('3.Thanh pham'!Q$97+'3.Thanh pham'!Q$136),0)</f>
        <v>0</v>
      </c>
      <c r="W22" s="658">
        <f>IFERROR((CPSX!U21+CPSX!U126)/('3.Thanh pham'!R$97+'3.Thanh pham'!R$136),0)</f>
        <v>0</v>
      </c>
      <c r="X22" s="658">
        <f>IFERROR((CPSX!V21+CPSX!V126)/('3.Thanh pham'!S$97+'3.Thanh pham'!S$136),0)</f>
        <v>0</v>
      </c>
      <c r="Y22" s="658">
        <f>IFERROR((CPSX!W21+CPSX!W126)/('3.Thanh pham'!T$97+'3.Thanh pham'!T$136),0)</f>
        <v>0</v>
      </c>
      <c r="Z22" s="86"/>
    </row>
    <row r="23" spans="2:26" s="36" customFormat="1" ht="12.5" outlineLevel="1" x14ac:dyDescent="0.25">
      <c r="B23" s="575">
        <v>17</v>
      </c>
      <c r="C23" s="575"/>
      <c r="D23" s="576">
        <v>6272000100</v>
      </c>
      <c r="E23" s="577" t="s">
        <v>429</v>
      </c>
      <c r="F23" s="577" t="s">
        <v>572</v>
      </c>
      <c r="G23" s="577" t="s">
        <v>254</v>
      </c>
      <c r="H23" s="576" t="s">
        <v>516</v>
      </c>
      <c r="I23" s="606" t="s">
        <v>621</v>
      </c>
      <c r="J23" s="1017">
        <f>IFERROR((CPSX!AO22+CPSX!AO127)/('3.Thanh pham'!E$97+'3.Thanh pham'!E$136),0)</f>
        <v>0</v>
      </c>
      <c r="K23" s="1017">
        <f>IFERROR((CPSX!AM22+CPSX!AM127)/('3.Thanh pham'!F$97+'3.Thanh pham'!F$136),0)</f>
        <v>0</v>
      </c>
      <c r="L23" s="1017">
        <f>IFERROR((CPSX!AK22+CPSX!AK127)/('3.Thanh pham'!G$97+'3.Thanh pham'!G$136),0)</f>
        <v>0</v>
      </c>
      <c r="M23" s="658">
        <f>IFERROR((CPSX!K22+CPSX!K127)/('3.Thanh pham'!H$97+'3.Thanh pham'!H$136),0)</f>
        <v>0</v>
      </c>
      <c r="N23" s="658">
        <f>IFERROR((CPSX!L22+CPSX!L127)/('3.Thanh pham'!I$97+'3.Thanh pham'!I$136),0)</f>
        <v>0</v>
      </c>
      <c r="O23" s="658">
        <f>IFERROR((CPSX!M22+CPSX!M127)/('3.Thanh pham'!J$97+'3.Thanh pham'!J$136),0)</f>
        <v>0</v>
      </c>
      <c r="P23" s="658">
        <f>IFERROR((CPSX!N22+CPSX!N127)/('3.Thanh pham'!K$97+'3.Thanh pham'!K$136),0)</f>
        <v>0</v>
      </c>
      <c r="Q23" s="658">
        <f>IFERROR((CPSX!O22+CPSX!O127)/('3.Thanh pham'!L$97+'3.Thanh pham'!L$136),0)</f>
        <v>0</v>
      </c>
      <c r="R23" s="658">
        <f>IFERROR((CPSX!P22+CPSX!P127)/('3.Thanh pham'!M$97+'3.Thanh pham'!M$136),0)</f>
        <v>0</v>
      </c>
      <c r="S23" s="658">
        <f>IFERROR((CPSX!Q22+CPSX!Q127)/('3.Thanh pham'!N$97+'3.Thanh pham'!N$136),0)</f>
        <v>0</v>
      </c>
      <c r="T23" s="658">
        <f>IFERROR((CPSX!R22+CPSX!R127)/('3.Thanh pham'!O$97+'3.Thanh pham'!O$136),0)</f>
        <v>0</v>
      </c>
      <c r="U23" s="658">
        <f>IFERROR((CPSX!S22+CPSX!S127)/('3.Thanh pham'!P$97+'3.Thanh pham'!P$136),0)</f>
        <v>0</v>
      </c>
      <c r="V23" s="658">
        <f>IFERROR((CPSX!T22+CPSX!T127)/('3.Thanh pham'!Q$97+'3.Thanh pham'!Q$136),0)</f>
        <v>0</v>
      </c>
      <c r="W23" s="658">
        <f>IFERROR((CPSX!U22+CPSX!U127)/('3.Thanh pham'!R$97+'3.Thanh pham'!R$136),0)</f>
        <v>0</v>
      </c>
      <c r="X23" s="658">
        <f>IFERROR((CPSX!V22+CPSX!V127)/('3.Thanh pham'!S$97+'3.Thanh pham'!S$136),0)</f>
        <v>0</v>
      </c>
      <c r="Y23" s="658">
        <f>IFERROR((CPSX!W22+CPSX!W127)/('3.Thanh pham'!T$97+'3.Thanh pham'!T$136),0)</f>
        <v>0</v>
      </c>
      <c r="Z23" s="86"/>
    </row>
    <row r="24" spans="2:26" s="36" customFormat="1" ht="12.5" outlineLevel="1" x14ac:dyDescent="0.25">
      <c r="B24" s="575">
        <v>18</v>
      </c>
      <c r="C24" s="575"/>
      <c r="D24" s="576">
        <v>6272000100</v>
      </c>
      <c r="E24" s="577" t="s">
        <v>429</v>
      </c>
      <c r="F24" s="577" t="s">
        <v>572</v>
      </c>
      <c r="G24" s="577" t="s">
        <v>389</v>
      </c>
      <c r="H24" s="576" t="s">
        <v>516</v>
      </c>
      <c r="I24" s="606" t="s">
        <v>621</v>
      </c>
      <c r="J24" s="1017">
        <f>IFERROR((CPSX!AO23+CPSX!AO128)/('3.Thanh pham'!E$97+'3.Thanh pham'!E$136),0)</f>
        <v>0</v>
      </c>
      <c r="K24" s="1017">
        <f>IFERROR((CPSX!AM23+CPSX!AM128)/('3.Thanh pham'!F$97+'3.Thanh pham'!F$136),0)</f>
        <v>0</v>
      </c>
      <c r="L24" s="1017">
        <f>IFERROR((CPSX!AK23+CPSX!AK128)/('3.Thanh pham'!G$97+'3.Thanh pham'!G$136),0)</f>
        <v>0</v>
      </c>
      <c r="M24" s="658">
        <f>IFERROR((CPSX!K23+CPSX!K128)/('3.Thanh pham'!H$97+'3.Thanh pham'!H$136),0)</f>
        <v>38.70967741935484</v>
      </c>
      <c r="N24" s="658">
        <f>IFERROR((CPSX!L23+CPSX!L128)/('3.Thanh pham'!I$97+'3.Thanh pham'!I$136),0)</f>
        <v>38.70967741935484</v>
      </c>
      <c r="O24" s="658">
        <f>IFERROR((CPSX!M23+CPSX!M128)/('3.Thanh pham'!J$97+'3.Thanh pham'!J$136),0)</f>
        <v>38.70967741935484</v>
      </c>
      <c r="P24" s="658">
        <f>IFERROR((CPSX!N23+CPSX!N128)/('3.Thanh pham'!K$97+'3.Thanh pham'!K$136),0)</f>
        <v>38.70967741935484</v>
      </c>
      <c r="Q24" s="658">
        <f>IFERROR((CPSX!O23+CPSX!O128)/('3.Thanh pham'!L$97+'3.Thanh pham'!L$136),0)</f>
        <v>38.70967741935484</v>
      </c>
      <c r="R24" s="658">
        <f>IFERROR((CPSX!P23+CPSX!P128)/('3.Thanh pham'!M$97+'3.Thanh pham'!M$136),0)</f>
        <v>38.70967741935484</v>
      </c>
      <c r="S24" s="658">
        <f>IFERROR((CPSX!Q23+CPSX!Q128)/('3.Thanh pham'!N$97+'3.Thanh pham'!N$136),0)</f>
        <v>38.70967741935484</v>
      </c>
      <c r="T24" s="658">
        <f>IFERROR((CPSX!R23+CPSX!R128)/('3.Thanh pham'!O$97+'3.Thanh pham'!O$136),0)</f>
        <v>38.70967741935484</v>
      </c>
      <c r="U24" s="658">
        <f>IFERROR((CPSX!S23+CPSX!S128)/('3.Thanh pham'!P$97+'3.Thanh pham'!P$136),0)</f>
        <v>38.70967741935484</v>
      </c>
      <c r="V24" s="658">
        <f>IFERROR((CPSX!T23+CPSX!T128)/('3.Thanh pham'!Q$97+'3.Thanh pham'!Q$136),0)</f>
        <v>38.70967741935484</v>
      </c>
      <c r="W24" s="658">
        <f>IFERROR((CPSX!U23+CPSX!U128)/('3.Thanh pham'!R$97+'3.Thanh pham'!R$136),0)</f>
        <v>38.70967741935484</v>
      </c>
      <c r="X24" s="658">
        <f>IFERROR((CPSX!V23+CPSX!V128)/('3.Thanh pham'!S$97+'3.Thanh pham'!S$136),0)</f>
        <v>38.70967741935484</v>
      </c>
      <c r="Y24" s="658">
        <f>IFERROR((CPSX!W23+CPSX!W128)/('3.Thanh pham'!T$97+'3.Thanh pham'!T$136),0)</f>
        <v>38.709677419354847</v>
      </c>
      <c r="Z24" s="86"/>
    </row>
    <row r="25" spans="2:26" s="36" customFormat="1" ht="12.5" outlineLevel="1" x14ac:dyDescent="0.25">
      <c r="B25" s="575">
        <v>19</v>
      </c>
      <c r="C25" s="575"/>
      <c r="D25" s="981" t="s">
        <v>901</v>
      </c>
      <c r="E25" s="638" t="s">
        <v>902</v>
      </c>
      <c r="F25" s="638" t="s">
        <v>572</v>
      </c>
      <c r="G25" s="638" t="s">
        <v>1948</v>
      </c>
      <c r="H25" s="981" t="s">
        <v>516</v>
      </c>
      <c r="I25" s="606" t="s">
        <v>623</v>
      </c>
      <c r="J25" s="1017">
        <f>IFERROR((CPSX!AO24+CPSX!AO129)/('3.Thanh pham'!E$97+'3.Thanh pham'!E$136),0)</f>
        <v>0</v>
      </c>
      <c r="K25" s="1017">
        <f>IFERROR((CPSX!AM24+CPSX!AM129)/('3.Thanh pham'!F$97+'3.Thanh pham'!F$136),0)</f>
        <v>0</v>
      </c>
      <c r="L25" s="1017">
        <f>IFERROR((CPSX!AK24+CPSX!AK129)/('3.Thanh pham'!G$97+'3.Thanh pham'!G$136),0)</f>
        <v>0</v>
      </c>
      <c r="M25" s="1015">
        <f>IFERROR((CPSX!K24+CPSX!K129)/('3.Thanh pham'!H$97+'3.Thanh pham'!H$136),0)</f>
        <v>0</v>
      </c>
      <c r="N25" s="1015">
        <f>IFERROR((CPSX!L24+CPSX!L129)/('3.Thanh pham'!I$97+'3.Thanh pham'!I$136),0)</f>
        <v>0</v>
      </c>
      <c r="O25" s="1015">
        <f>IFERROR((CPSX!M24+CPSX!M129)/('3.Thanh pham'!J$97+'3.Thanh pham'!J$136),0)</f>
        <v>0</v>
      </c>
      <c r="P25" s="1015">
        <f>IFERROR((CPSX!N24+CPSX!N129)/('3.Thanh pham'!K$97+'3.Thanh pham'!K$136),0)</f>
        <v>0</v>
      </c>
      <c r="Q25" s="1015">
        <f>IFERROR((CPSX!O24+CPSX!O129)/('3.Thanh pham'!L$97+'3.Thanh pham'!L$136),0)</f>
        <v>0</v>
      </c>
      <c r="R25" s="1015">
        <f>IFERROR((CPSX!P24+CPSX!P129)/('3.Thanh pham'!M$97+'3.Thanh pham'!M$136),0)</f>
        <v>0</v>
      </c>
      <c r="S25" s="1015">
        <f>IFERROR((CPSX!Q24+CPSX!Q129)/('3.Thanh pham'!N$97+'3.Thanh pham'!N$136),0)</f>
        <v>0</v>
      </c>
      <c r="T25" s="1015">
        <f>IFERROR((CPSX!R24+CPSX!R129)/('3.Thanh pham'!O$97+'3.Thanh pham'!O$136),0)</f>
        <v>0</v>
      </c>
      <c r="U25" s="1015">
        <f>IFERROR((CPSX!S24+CPSX!S129)/('3.Thanh pham'!P$97+'3.Thanh pham'!P$136),0)</f>
        <v>0</v>
      </c>
      <c r="V25" s="1015">
        <f>IFERROR((CPSX!T24+CPSX!T129)/('3.Thanh pham'!Q$97+'3.Thanh pham'!Q$136),0)</f>
        <v>0</v>
      </c>
      <c r="W25" s="1015">
        <f>IFERROR((CPSX!U24+CPSX!U129)/('3.Thanh pham'!R$97+'3.Thanh pham'!R$136),0)</f>
        <v>0</v>
      </c>
      <c r="X25" s="1015">
        <f>IFERROR((CPSX!V24+CPSX!V129)/('3.Thanh pham'!S$97+'3.Thanh pham'!S$136),0)</f>
        <v>0</v>
      </c>
      <c r="Y25" s="1015">
        <f>IFERROR((CPSX!W24+CPSX!W129)/('3.Thanh pham'!T$97+'3.Thanh pham'!T$136),0)</f>
        <v>0</v>
      </c>
      <c r="Z25" s="86"/>
    </row>
    <row r="26" spans="2:26" s="36" customFormat="1" ht="12.5" outlineLevel="1" x14ac:dyDescent="0.25">
      <c r="B26" s="575">
        <v>20</v>
      </c>
      <c r="C26" s="575"/>
      <c r="D26" s="576">
        <v>6272003502</v>
      </c>
      <c r="E26" s="577" t="s">
        <v>450</v>
      </c>
      <c r="F26" s="577" t="s">
        <v>573</v>
      </c>
      <c r="G26" s="577" t="s">
        <v>87</v>
      </c>
      <c r="H26" s="576" t="s">
        <v>517</v>
      </c>
      <c r="I26" s="606" t="s">
        <v>621</v>
      </c>
      <c r="J26" s="1017">
        <f>IFERROR((CPSX!AO25+CPSX!AO130)/('3.Thanh pham'!E$97+'3.Thanh pham'!E$136),0)</f>
        <v>14.802311362189567</v>
      </c>
      <c r="K26" s="1017">
        <f>IFERROR((CPSX!AM25+CPSX!AM130)/('3.Thanh pham'!F$97+'3.Thanh pham'!F$136),0)</f>
        <v>14.224155929628374</v>
      </c>
      <c r="L26" s="1017">
        <f>IFERROR((CPSX!AK25+CPSX!AK130)/('3.Thanh pham'!G$97+'3.Thanh pham'!G$136),0)</f>
        <v>28.403520584275164</v>
      </c>
      <c r="M26" s="658">
        <f>IFERROR((CPSX!K25+CPSX!K130)/('3.Thanh pham'!H$97+'3.Thanh pham'!H$136),0)</f>
        <v>46.451612903225808</v>
      </c>
      <c r="N26" s="658">
        <f>IFERROR((CPSX!L25+CPSX!L130)/('3.Thanh pham'!I$97+'3.Thanh pham'!I$136),0)</f>
        <v>46.451612903225808</v>
      </c>
      <c r="O26" s="658">
        <f>IFERROR((CPSX!M25+CPSX!M130)/('3.Thanh pham'!J$97+'3.Thanh pham'!J$136),0)</f>
        <v>46.451612903225808</v>
      </c>
      <c r="P26" s="658">
        <f>IFERROR((CPSX!N25+CPSX!N130)/('3.Thanh pham'!K$97+'3.Thanh pham'!K$136),0)</f>
        <v>46.451612903225808</v>
      </c>
      <c r="Q26" s="658">
        <f>IFERROR((CPSX!O25+CPSX!O130)/('3.Thanh pham'!L$97+'3.Thanh pham'!L$136),0)</f>
        <v>46.451612903225808</v>
      </c>
      <c r="R26" s="658">
        <f>IFERROR((CPSX!P25+CPSX!P130)/('3.Thanh pham'!M$97+'3.Thanh pham'!M$136),0)</f>
        <v>46.451612903225808</v>
      </c>
      <c r="S26" s="658">
        <f>IFERROR((CPSX!Q25+CPSX!Q130)/('3.Thanh pham'!N$97+'3.Thanh pham'!N$136),0)</f>
        <v>46.451612903225808</v>
      </c>
      <c r="T26" s="658">
        <f>IFERROR((CPSX!R25+CPSX!R130)/('3.Thanh pham'!O$97+'3.Thanh pham'!O$136),0)</f>
        <v>46.451612903225808</v>
      </c>
      <c r="U26" s="658">
        <f>IFERROR((CPSX!S25+CPSX!S130)/('3.Thanh pham'!P$97+'3.Thanh pham'!P$136),0)</f>
        <v>46.451612903225808</v>
      </c>
      <c r="V26" s="658">
        <f>IFERROR((CPSX!T25+CPSX!T130)/('3.Thanh pham'!Q$97+'3.Thanh pham'!Q$136),0)</f>
        <v>46.451612903225808</v>
      </c>
      <c r="W26" s="658">
        <f>IFERROR((CPSX!U25+CPSX!U130)/('3.Thanh pham'!R$97+'3.Thanh pham'!R$136),0)</f>
        <v>46.451612903225808</v>
      </c>
      <c r="X26" s="658">
        <f>IFERROR((CPSX!V25+CPSX!V130)/('3.Thanh pham'!S$97+'3.Thanh pham'!S$136),0)</f>
        <v>46.451612903225808</v>
      </c>
      <c r="Y26" s="658">
        <f>IFERROR((CPSX!W25+CPSX!W130)/('3.Thanh pham'!T$97+'3.Thanh pham'!T$136),0)</f>
        <v>46.451612903225801</v>
      </c>
      <c r="Z26" s="86"/>
    </row>
    <row r="27" spans="2:26" s="36" customFormat="1" ht="12.5" outlineLevel="1" x14ac:dyDescent="0.25">
      <c r="B27" s="580"/>
      <c r="C27" s="580"/>
      <c r="D27" s="581"/>
      <c r="E27" s="582"/>
      <c r="F27" s="582"/>
      <c r="G27" s="582"/>
      <c r="H27" s="581"/>
      <c r="I27" s="607"/>
      <c r="J27" s="1015"/>
      <c r="K27" s="1015"/>
      <c r="L27" s="1015"/>
      <c r="M27" s="658"/>
      <c r="N27" s="658"/>
      <c r="O27" s="658"/>
      <c r="P27" s="658"/>
      <c r="Q27" s="658"/>
      <c r="R27" s="658"/>
      <c r="S27" s="658"/>
      <c r="T27" s="658"/>
      <c r="U27" s="658"/>
      <c r="V27" s="658"/>
      <c r="W27" s="658"/>
      <c r="X27" s="658"/>
      <c r="Y27" s="658"/>
      <c r="Z27" s="86"/>
    </row>
    <row r="28" spans="2:26" s="37" customFormat="1" ht="18" customHeight="1" outlineLevel="1" x14ac:dyDescent="0.35">
      <c r="B28" s="483" t="s">
        <v>4</v>
      </c>
      <c r="C28" s="471"/>
      <c r="D28" s="383"/>
      <c r="E28" s="482" t="s">
        <v>86</v>
      </c>
      <c r="F28" s="384"/>
      <c r="G28" s="482" t="s">
        <v>86</v>
      </c>
      <c r="H28" s="482"/>
      <c r="I28" s="609"/>
      <c r="J28" s="659">
        <f>SUM(J29:J56)</f>
        <v>553.81092607598339</v>
      </c>
      <c r="K28" s="659">
        <f>SUM(K29:K56)</f>
        <v>769.60837001143852</v>
      </c>
      <c r="L28" s="659">
        <f>SUM(L29:L56)</f>
        <v>1041.7163578547597</v>
      </c>
      <c r="M28" s="659">
        <f t="shared" ref="M28:X28" ca="1" si="1">SUM(M29:M56)</f>
        <v>1135.809456526212</v>
      </c>
      <c r="N28" s="659">
        <f t="shared" ca="1" si="1"/>
        <v>1538.9711112311268</v>
      </c>
      <c r="O28" s="659">
        <f t="shared" ca="1" si="1"/>
        <v>1002.3835473943111</v>
      </c>
      <c r="P28" s="659">
        <f t="shared" ca="1" si="1"/>
        <v>960.84152442202276</v>
      </c>
      <c r="Q28" s="659">
        <f t="shared" ca="1" si="1"/>
        <v>930.44999820344083</v>
      </c>
      <c r="R28" s="659">
        <f t="shared" ca="1" si="1"/>
        <v>975.3466644953653</v>
      </c>
      <c r="S28" s="659">
        <f t="shared" ca="1" si="1"/>
        <v>943.83863649675732</v>
      </c>
      <c r="T28" s="659">
        <f t="shared" ca="1" si="1"/>
        <v>952.77812350122736</v>
      </c>
      <c r="U28" s="659">
        <f t="shared" ca="1" si="1"/>
        <v>947.24928164250514</v>
      </c>
      <c r="V28" s="659">
        <f t="shared" ca="1" si="1"/>
        <v>931.82784156113257</v>
      </c>
      <c r="W28" s="659">
        <f t="shared" ca="1" si="1"/>
        <v>938.89135926770928</v>
      </c>
      <c r="X28" s="659">
        <f t="shared" ca="1" si="1"/>
        <v>951.27968224209303</v>
      </c>
      <c r="Y28" s="659">
        <f ca="1">SUM(Y29:Y56)</f>
        <v>999.79051975732693</v>
      </c>
      <c r="Z28" s="86"/>
    </row>
    <row r="29" spans="2:26" s="36" customFormat="1" ht="12.5" outlineLevel="1" x14ac:dyDescent="0.25">
      <c r="B29" s="570">
        <v>1</v>
      </c>
      <c r="C29" s="570"/>
      <c r="D29" s="571">
        <v>6271002604</v>
      </c>
      <c r="E29" s="572" t="s">
        <v>461</v>
      </c>
      <c r="F29" s="572" t="s">
        <v>574</v>
      </c>
      <c r="G29" s="572" t="s">
        <v>461</v>
      </c>
      <c r="H29" s="571" t="s">
        <v>521</v>
      </c>
      <c r="I29" s="660" t="s">
        <v>612</v>
      </c>
      <c r="J29" s="1254">
        <f>IFERROR((CPSX!AO72+CPSX!AO131)/('3.Thanh pham'!E$97+'3.Thanh pham'!E$136),0)</f>
        <v>44.323598242667032</v>
      </c>
      <c r="K29" s="1254">
        <f>IFERROR((CPSX!AM72+CPSX!AM131)/('3.Thanh pham'!F$97+'3.Thanh pham'!F$136),0)</f>
        <v>38.663228109622629</v>
      </c>
      <c r="L29" s="1254">
        <f>IFERROR((CPSX!AK72+CPSX!AK131)/('3.Thanh pham'!G$97+'3.Thanh pham'!G$136),0)</f>
        <v>124.23053098423333</v>
      </c>
      <c r="M29" s="585">
        <f>IFERROR((CPSX!K72+CPSX!K133)/('3.Thanh pham'!H$97+'3.Thanh pham'!H$136),0)</f>
        <v>263.06632939853853</v>
      </c>
      <c r="N29" s="585">
        <f>IFERROR((CPSX!L72+CPSX!L133)/('3.Thanh pham'!I$97+'3.Thanh pham'!I$136),0)</f>
        <v>360.26765223908563</v>
      </c>
      <c r="O29" s="585">
        <f>IFERROR((CPSX!M72+CPSX!M133)/('3.Thanh pham'!J$97+'3.Thanh pham'!J$136),0)</f>
        <v>226.02712039319121</v>
      </c>
      <c r="P29" s="585">
        <f>IFERROR((CPSX!N72+CPSX!N133)/('3.Thanh pham'!K$97+'3.Thanh pham'!K$136),0)</f>
        <v>234.00969164056855</v>
      </c>
      <c r="Q29" s="585">
        <f>IFERROR((CPSX!O72+CPSX!O133)/('3.Thanh pham'!L$97+'3.Thanh pham'!L$136),0)</f>
        <v>216.47934714526619</v>
      </c>
      <c r="R29" s="585">
        <f>IFERROR((CPSX!P72+CPSX!P133)/('3.Thanh pham'!M$97+'3.Thanh pham'!M$136),0)</f>
        <v>234.00969164056855</v>
      </c>
      <c r="S29" s="585">
        <f>IFERROR((CPSX!Q72+CPSX!Q133)/('3.Thanh pham'!N$97+'3.Thanh pham'!N$136),0)</f>
        <v>225.96723681040714</v>
      </c>
      <c r="T29" s="585">
        <f>IFERROR((CPSX!R72+CPSX!R133)/('3.Thanh pham'!O$97+'3.Thanh pham'!O$136),0)</f>
        <v>225.96723681040714</v>
      </c>
      <c r="U29" s="585">
        <f>IFERROR((CPSX!S72+CPSX!S133)/('3.Thanh pham'!P$97+'3.Thanh pham'!P$136),0)</f>
        <v>233.04606841724885</v>
      </c>
      <c r="V29" s="585">
        <f>IFERROR((CPSX!T72+CPSX!T133)/('3.Thanh pham'!Q$97+'3.Thanh pham'!Q$136),0)</f>
        <v>217.92478198024571</v>
      </c>
      <c r="W29" s="585">
        <f>IFERROR((CPSX!U72+CPSX!U133)/('3.Thanh pham'!R$97+'3.Thanh pham'!R$136),0)</f>
        <v>234.00969164056855</v>
      </c>
      <c r="X29" s="585">
        <f>IFERROR((CPSX!V72+CPSX!V133)/('3.Thanh pham'!S$97+'3.Thanh pham'!S$136),0)</f>
        <v>225.96723681040714</v>
      </c>
      <c r="Y29" s="585">
        <f>IFERROR((CPSX!W72+CPSX!W133)/('3.Thanh pham'!T$97+'3.Thanh pham'!T$136),0)</f>
        <v>237.50556967865842</v>
      </c>
      <c r="Z29" s="86"/>
    </row>
    <row r="30" spans="2:26" s="36" customFormat="1" ht="12.5" outlineLevel="1" x14ac:dyDescent="0.25">
      <c r="B30" s="575">
        <v>2</v>
      </c>
      <c r="C30" s="575"/>
      <c r="D30" s="576">
        <v>6271002605</v>
      </c>
      <c r="E30" s="577" t="s">
        <v>462</v>
      </c>
      <c r="F30" s="577" t="s">
        <v>574</v>
      </c>
      <c r="G30" s="577" t="s">
        <v>462</v>
      </c>
      <c r="H30" s="576" t="s">
        <v>521</v>
      </c>
      <c r="I30" s="661" t="s">
        <v>612</v>
      </c>
      <c r="J30" s="1254">
        <f>IFERROR((CPSX!AO73+CPSX!AO132)/('3.Thanh pham'!E$97+'3.Thanh pham'!E$136),0)</f>
        <v>2.5043766680426884</v>
      </c>
      <c r="K30" s="1254">
        <f>IFERROR((CPSX!AM73+CPSX!AM132)/('3.Thanh pham'!F$97+'3.Thanh pham'!F$136),0)</f>
        <v>1.6700658367290304</v>
      </c>
      <c r="L30" s="1254">
        <f>IFERROR((CPSX!AK73+CPSX!AK132)/('3.Thanh pham'!G$97+'3.Thanh pham'!G$136),0)</f>
        <v>18.239017284946094</v>
      </c>
      <c r="M30" s="585">
        <f>IFERROR((CPSX!K73+CPSX!K134)/('3.Thanh pham'!H$97+'3.Thanh pham'!H$136),0)</f>
        <v>18.429649303603775</v>
      </c>
      <c r="N30" s="585">
        <f>IFERROR((CPSX!L73+CPSX!L134)/('3.Thanh pham'!I$97+'3.Thanh pham'!I$136),0)</f>
        <v>24.572865738138365</v>
      </c>
      <c r="O30" s="585">
        <f>IFERROR((CPSX!M73+CPSX!M134)/('3.Thanh pham'!J$97+'3.Thanh pham'!J$136),0)</f>
        <v>17.011983972557328</v>
      </c>
      <c r="P30" s="585">
        <f>IFERROR((CPSX!N73+CPSX!N134)/('3.Thanh pham'!K$97+'3.Thanh pham'!K$136),0)</f>
        <v>15.796842260231806</v>
      </c>
      <c r="Q30" s="585">
        <f>IFERROR((CPSX!O73+CPSX!O134)/('3.Thanh pham'!L$97+'3.Thanh pham'!L$136),0)</f>
        <v>15.796842260231806</v>
      </c>
      <c r="R30" s="585">
        <f>IFERROR((CPSX!P73+CPSX!P134)/('3.Thanh pham'!M$97+'3.Thanh pham'!M$136),0)</f>
        <v>15.796842260231806</v>
      </c>
      <c r="S30" s="585">
        <f>IFERROR((CPSX!Q73+CPSX!Q134)/('3.Thanh pham'!N$97+'3.Thanh pham'!N$136),0)</f>
        <v>15.796842260231806</v>
      </c>
      <c r="T30" s="585">
        <f>IFERROR((CPSX!R73+CPSX!R134)/('3.Thanh pham'!O$97+'3.Thanh pham'!O$136),0)</f>
        <v>15.796842260231806</v>
      </c>
      <c r="U30" s="585">
        <f>IFERROR((CPSX!S73+CPSX!S134)/('3.Thanh pham'!P$97+'3.Thanh pham'!P$136),0)</f>
        <v>15.796842260231806</v>
      </c>
      <c r="V30" s="585">
        <f>IFERROR((CPSX!T73+CPSX!T134)/('3.Thanh pham'!Q$97+'3.Thanh pham'!Q$136),0)</f>
        <v>15.796842260231806</v>
      </c>
      <c r="W30" s="585">
        <f>IFERROR((CPSX!U73+CPSX!U134)/('3.Thanh pham'!R$97+'3.Thanh pham'!R$136),0)</f>
        <v>15.796842260231806</v>
      </c>
      <c r="X30" s="585">
        <f>IFERROR((CPSX!V73+CPSX!V134)/('3.Thanh pham'!S$97+'3.Thanh pham'!S$136),0)</f>
        <v>15.796842260231806</v>
      </c>
      <c r="Y30" s="585">
        <f>IFERROR((CPSX!W73+CPSX!W134)/('3.Thanh pham'!T$97+'3.Thanh pham'!T$136),0)</f>
        <v>16.586684373243394</v>
      </c>
      <c r="Z30" s="86"/>
    </row>
    <row r="31" spans="2:26" s="36" customFormat="1" ht="12.5" outlineLevel="1" x14ac:dyDescent="0.25">
      <c r="B31" s="575">
        <v>3</v>
      </c>
      <c r="C31" s="575"/>
      <c r="D31" s="576">
        <v>6271002802</v>
      </c>
      <c r="E31" s="577" t="s">
        <v>465</v>
      </c>
      <c r="F31" s="577" t="s">
        <v>570</v>
      </c>
      <c r="G31" s="577" t="s">
        <v>465</v>
      </c>
      <c r="H31" s="576" t="s">
        <v>521</v>
      </c>
      <c r="I31" s="661" t="s">
        <v>612</v>
      </c>
      <c r="J31" s="1254">
        <f>IFERROR((CPSX!AO74+CPSX!AO133)/('3.Thanh pham'!E$97+'3.Thanh pham'!E$136),0)</f>
        <v>0.6065757224709547</v>
      </c>
      <c r="K31" s="1254">
        <f>IFERROR((CPSX!AM74+CPSX!AM133)/('3.Thanh pham'!F$97+'3.Thanh pham'!F$136),0)</f>
        <v>1.8042686009106725</v>
      </c>
      <c r="L31" s="1254">
        <f>IFERROR((CPSX!AK74+CPSX!AK133)/('3.Thanh pham'!G$97+'3.Thanh pham'!G$136),0)</f>
        <v>8.6584565742929609</v>
      </c>
      <c r="M31" s="585">
        <f>IFERROR((CPSX!K74+CPSX!K135)/('3.Thanh pham'!H$97+'3.Thanh pham'!H$136),0)</f>
        <v>3.1853100993067267</v>
      </c>
      <c r="N31" s="585">
        <f>IFERROR((CPSX!L74+CPSX!L135)/('3.Thanh pham'!I$97+'3.Thanh pham'!I$136),0)</f>
        <v>0</v>
      </c>
      <c r="O31" s="585">
        <f>IFERROR((CPSX!M74+CPSX!M135)/('3.Thanh pham'!J$97+'3.Thanh pham'!J$136),0)</f>
        <v>0</v>
      </c>
      <c r="P31" s="585">
        <f>IFERROR((CPSX!N74+CPSX!N135)/('3.Thanh pham'!K$97+'3.Thanh pham'!K$136),0)</f>
        <v>0</v>
      </c>
      <c r="Q31" s="585">
        <f>IFERROR((CPSX!O74+CPSX!O135)/('3.Thanh pham'!L$97+'3.Thanh pham'!L$136),0)</f>
        <v>5.4605315988115315</v>
      </c>
      <c r="R31" s="585">
        <f>IFERROR((CPSX!P74+CPSX!P135)/('3.Thanh pham'!M$97+'3.Thanh pham'!M$136),0)</f>
        <v>0</v>
      </c>
      <c r="S31" s="585">
        <f>IFERROR((CPSX!Q74+CPSX!Q135)/('3.Thanh pham'!N$97+'3.Thanh pham'!N$136),0)</f>
        <v>0</v>
      </c>
      <c r="T31" s="585">
        <f>IFERROR((CPSX!R74+CPSX!R135)/('3.Thanh pham'!O$97+'3.Thanh pham'!O$136),0)</f>
        <v>0</v>
      </c>
      <c r="U31" s="585">
        <f>IFERROR((CPSX!S74+CPSX!S135)/('3.Thanh pham'!P$97+'3.Thanh pham'!P$136),0)</f>
        <v>2.7302657994057657</v>
      </c>
      <c r="V31" s="585">
        <f>IFERROR((CPSX!T74+CPSX!T135)/('3.Thanh pham'!Q$97+'3.Thanh pham'!Q$136),0)</f>
        <v>0</v>
      </c>
      <c r="W31" s="585">
        <f>IFERROR((CPSX!U74+CPSX!U135)/('3.Thanh pham'!R$97+'3.Thanh pham'!R$136),0)</f>
        <v>0</v>
      </c>
      <c r="X31" s="585">
        <f>IFERROR((CPSX!V74+CPSX!V135)/('3.Thanh pham'!S$97+'3.Thanh pham'!S$136),0)</f>
        <v>0</v>
      </c>
      <c r="Y31" s="585">
        <f>IFERROR((CPSX!W74+CPSX!W135)/('3.Thanh pham'!T$97+'3.Thanh pham'!T$136),0)</f>
        <v>0.95559302979201799</v>
      </c>
      <c r="Z31" s="86"/>
    </row>
    <row r="32" spans="2:26" s="36" customFormat="1" ht="12.5" outlineLevel="1" x14ac:dyDescent="0.25">
      <c r="B32" s="575">
        <v>4</v>
      </c>
      <c r="C32" s="575"/>
      <c r="D32" s="576">
        <v>6271002806</v>
      </c>
      <c r="E32" s="577" t="s">
        <v>472</v>
      </c>
      <c r="F32" s="577" t="s">
        <v>574</v>
      </c>
      <c r="G32" s="577" t="s">
        <v>472</v>
      </c>
      <c r="H32" s="576" t="s">
        <v>521</v>
      </c>
      <c r="I32" s="661" t="s">
        <v>612</v>
      </c>
      <c r="J32" s="1254">
        <f>IFERROR((CPSX!AO75+CPSX!AO134)/('3.Thanh pham'!E$97+'3.Thanh pham'!E$136),0)</f>
        <v>0</v>
      </c>
      <c r="K32" s="1254">
        <f>IFERROR((CPSX!AM75+CPSX!AM134)/('3.Thanh pham'!F$97+'3.Thanh pham'!F$136),0)</f>
        <v>0</v>
      </c>
      <c r="L32" s="1254">
        <f>IFERROR((CPSX!AK75+CPSX!AK134)/('3.Thanh pham'!G$97+'3.Thanh pham'!G$136),0)</f>
        <v>0</v>
      </c>
      <c r="M32" s="585">
        <f>IFERROR((CPSX!K75+CPSX!K136)/('3.Thanh pham'!H$97+'3.Thanh pham'!H$136),0)</f>
        <v>24.653999437886451</v>
      </c>
      <c r="N32" s="585">
        <f>IFERROR((CPSX!L75+CPSX!L136)/('3.Thanh pham'!I$97+'3.Thanh pham'!I$136),0)</f>
        <v>32.871999250515273</v>
      </c>
      <c r="O32" s="585">
        <f>IFERROR((CPSX!M75+CPSX!M136)/('3.Thanh pham'!J$97+'3.Thanh pham'!J$136),0)</f>
        <v>22.757537942664417</v>
      </c>
      <c r="P32" s="585">
        <f>IFERROR((CPSX!N75+CPSX!N136)/('3.Thanh pham'!K$97+'3.Thanh pham'!K$136),0)</f>
        <v>21.131999518188387</v>
      </c>
      <c r="Q32" s="585">
        <f>IFERROR((CPSX!O75+CPSX!O136)/('3.Thanh pham'!L$97+'3.Thanh pham'!L$136),0)</f>
        <v>21.131999518188387</v>
      </c>
      <c r="R32" s="585">
        <f>IFERROR((CPSX!P75+CPSX!P136)/('3.Thanh pham'!M$97+'3.Thanh pham'!M$136),0)</f>
        <v>21.131999518188387</v>
      </c>
      <c r="S32" s="585">
        <f>IFERROR((CPSX!Q75+CPSX!Q136)/('3.Thanh pham'!N$97+'3.Thanh pham'!N$136),0)</f>
        <v>21.131999518188387</v>
      </c>
      <c r="T32" s="585">
        <f>IFERROR((CPSX!R75+CPSX!R136)/('3.Thanh pham'!O$97+'3.Thanh pham'!O$136),0)</f>
        <v>21.131999518188387</v>
      </c>
      <c r="U32" s="585">
        <f>IFERROR((CPSX!S75+CPSX!S136)/('3.Thanh pham'!P$97+'3.Thanh pham'!P$136),0)</f>
        <v>21.131999518188387</v>
      </c>
      <c r="V32" s="585">
        <f>IFERROR((CPSX!T75+CPSX!T136)/('3.Thanh pham'!Q$97+'3.Thanh pham'!Q$136),0)</f>
        <v>21.131999518188387</v>
      </c>
      <c r="W32" s="585">
        <f>IFERROR((CPSX!U75+CPSX!U136)/('3.Thanh pham'!R$97+'3.Thanh pham'!R$136),0)</f>
        <v>21.131999518188387</v>
      </c>
      <c r="X32" s="585">
        <f>IFERROR((CPSX!V75+CPSX!V136)/('3.Thanh pham'!S$97+'3.Thanh pham'!S$136),0)</f>
        <v>21.131999518188387</v>
      </c>
      <c r="Y32" s="585">
        <f>IFERROR((CPSX!W75+CPSX!W136)/('3.Thanh pham'!T$97+'3.Thanh pham'!T$136),0)</f>
        <v>22.188599494097808</v>
      </c>
      <c r="Z32" s="86"/>
    </row>
    <row r="33" spans="2:26" s="36" customFormat="1" ht="12.5" outlineLevel="1" x14ac:dyDescent="0.25">
      <c r="B33" s="575">
        <v>5</v>
      </c>
      <c r="C33" s="575"/>
      <c r="D33" s="576">
        <v>6271007202</v>
      </c>
      <c r="E33" s="577" t="s">
        <v>431</v>
      </c>
      <c r="F33" s="577" t="s">
        <v>570</v>
      </c>
      <c r="G33" s="577" t="s">
        <v>431</v>
      </c>
      <c r="H33" s="576" t="s">
        <v>521</v>
      </c>
      <c r="I33" s="661" t="s">
        <v>612</v>
      </c>
      <c r="J33" s="1254">
        <f>IFERROR((CPSX!AO76+CPSX!AO135)/('3.Thanh pham'!E$97+'3.Thanh pham'!E$136),0)</f>
        <v>0</v>
      </c>
      <c r="K33" s="1254">
        <f>IFERROR((CPSX!AM76+CPSX!AM135)/('3.Thanh pham'!F$97+'3.Thanh pham'!F$136),0)</f>
        <v>0</v>
      </c>
      <c r="L33" s="1254">
        <f>IFERROR((CPSX!AK76+CPSX!AK135)/('3.Thanh pham'!G$97+'3.Thanh pham'!G$136),0)</f>
        <v>0</v>
      </c>
      <c r="M33" s="585">
        <f>IFERROR((CPSX!K76+CPSX!K137)/('3.Thanh pham'!H$97+'3.Thanh pham'!H$136),0)</f>
        <v>0</v>
      </c>
      <c r="N33" s="585">
        <f>IFERROR((CPSX!L76+CPSX!L137)/('3.Thanh pham'!I$97+'3.Thanh pham'!I$136),0)</f>
        <v>48.091936793454501</v>
      </c>
      <c r="O33" s="585">
        <f>IFERROR((CPSX!M76+CPSX!M137)/('3.Thanh pham'!J$97+'3.Thanh pham'!J$136),0)</f>
        <v>0</v>
      </c>
      <c r="P33" s="585">
        <f>IFERROR((CPSX!N76+CPSX!N137)/('3.Thanh pham'!K$97+'3.Thanh pham'!K$136),0)</f>
        <v>0</v>
      </c>
      <c r="Q33" s="585">
        <f>IFERROR((CPSX!O76+CPSX!O137)/('3.Thanh pham'!L$97+'3.Thanh pham'!L$136),0)</f>
        <v>0</v>
      </c>
      <c r="R33" s="585">
        <f>IFERROR((CPSX!P76+CPSX!P137)/('3.Thanh pham'!M$97+'3.Thanh pham'!M$136),0)</f>
        <v>0</v>
      </c>
      <c r="S33" s="585">
        <f>IFERROR((CPSX!Q76+CPSX!Q137)/('3.Thanh pham'!N$97+'3.Thanh pham'!N$136),0)</f>
        <v>0</v>
      </c>
      <c r="T33" s="585">
        <f>IFERROR((CPSX!R76+CPSX!R137)/('3.Thanh pham'!O$97+'3.Thanh pham'!O$136),0)</f>
        <v>0</v>
      </c>
      <c r="U33" s="585">
        <f>IFERROR((CPSX!S76+CPSX!S137)/('3.Thanh pham'!P$97+'3.Thanh pham'!P$136),0)</f>
        <v>0</v>
      </c>
      <c r="V33" s="585">
        <f>IFERROR((CPSX!T76+CPSX!T137)/('3.Thanh pham'!Q$97+'3.Thanh pham'!Q$136),0)</f>
        <v>0</v>
      </c>
      <c r="W33" s="585">
        <f>IFERROR((CPSX!U76+CPSX!U137)/('3.Thanh pham'!R$97+'3.Thanh pham'!R$136),0)</f>
        <v>0</v>
      </c>
      <c r="X33" s="585">
        <f>IFERROR((CPSX!V76+CPSX!V137)/('3.Thanh pham'!S$97+'3.Thanh pham'!S$136),0)</f>
        <v>0</v>
      </c>
      <c r="Y33" s="585">
        <f>IFERROR((CPSX!W76+CPSX!W137)/('3.Thanh pham'!T$97+'3.Thanh pham'!T$136),0)</f>
        <v>2.7051714446318158</v>
      </c>
      <c r="Z33" s="86"/>
    </row>
    <row r="34" spans="2:26" s="36" customFormat="1" ht="12.5" outlineLevel="1" x14ac:dyDescent="0.25">
      <c r="B34" s="575">
        <v>6</v>
      </c>
      <c r="C34" s="575"/>
      <c r="D34" s="576">
        <v>6271003202</v>
      </c>
      <c r="E34" s="577" t="s">
        <v>467</v>
      </c>
      <c r="F34" s="577" t="s">
        <v>570</v>
      </c>
      <c r="G34" s="577" t="s">
        <v>467</v>
      </c>
      <c r="H34" s="576" t="s">
        <v>521</v>
      </c>
      <c r="I34" s="661" t="s">
        <v>612</v>
      </c>
      <c r="J34" s="1254">
        <f>IFERROR((CPSX!AO77+CPSX!AO136)/('3.Thanh pham'!E$97+'3.Thanh pham'!E$136),0)</f>
        <v>3.0440825432414069</v>
      </c>
      <c r="K34" s="1254">
        <f>IFERROR((CPSX!AM77+CPSX!AM136)/('3.Thanh pham'!F$97+'3.Thanh pham'!F$136),0)</f>
        <v>1.5474916294492376</v>
      </c>
      <c r="L34" s="1254">
        <f>IFERROR((CPSX!AK77+CPSX!AK136)/('3.Thanh pham'!G$97+'3.Thanh pham'!G$136),0)</f>
        <v>6.2011765493735469</v>
      </c>
      <c r="M34" s="585">
        <f>IFERROR((CPSX!K77+CPSX!K138)/('3.Thanh pham'!H$97+'3.Thanh pham'!H$136),0)</f>
        <v>12.460183623758667</v>
      </c>
      <c r="N34" s="585">
        <f>IFERROR((CPSX!L77+CPSX!L138)/('3.Thanh pham'!I$97+'3.Thanh pham'!I$136),0)</f>
        <v>14.619948785210168</v>
      </c>
      <c r="O34" s="585">
        <f>IFERROR((CPSX!M77+CPSX!M138)/('3.Thanh pham'!J$97+'3.Thanh pham'!J$136),0)</f>
        <v>11.041639641976911</v>
      </c>
      <c r="P34" s="585">
        <f>IFERROR((CPSX!N77+CPSX!N138)/('3.Thanh pham'!K$97+'3.Thanh pham'!K$136),0)</f>
        <v>11.534569983136594</v>
      </c>
      <c r="Q34" s="585">
        <f>IFERROR((CPSX!O77+CPSX!O138)/('3.Thanh pham'!L$97+'3.Thanh pham'!L$136),0)</f>
        <v>9.3985385047779655</v>
      </c>
      <c r="R34" s="585">
        <f>IFERROR((CPSX!P77+CPSX!P138)/('3.Thanh pham'!M$97+'3.Thanh pham'!M$136),0)</f>
        <v>11.534569983136594</v>
      </c>
      <c r="S34" s="585">
        <f>IFERROR((CPSX!Q77+CPSX!Q138)/('3.Thanh pham'!N$97+'3.Thanh pham'!N$136),0)</f>
        <v>11.107363687464868</v>
      </c>
      <c r="T34" s="585">
        <f>IFERROR((CPSX!R77+CPSX!R138)/('3.Thanh pham'!O$97+'3.Thanh pham'!O$136),0)</f>
        <v>11.107363687464868</v>
      </c>
      <c r="U34" s="585">
        <f>IFERROR((CPSX!S77+CPSX!S138)/('3.Thanh pham'!P$97+'3.Thanh pham'!P$136),0)</f>
        <v>10.680157391793141</v>
      </c>
      <c r="V34" s="585">
        <f>IFERROR((CPSX!T77+CPSX!T138)/('3.Thanh pham'!Q$97+'3.Thanh pham'!Q$136),0)</f>
        <v>10.680157391793141</v>
      </c>
      <c r="W34" s="585">
        <f>IFERROR((CPSX!U77+CPSX!U138)/('3.Thanh pham'!R$97+'3.Thanh pham'!R$136),0)</f>
        <v>11.534569983136594</v>
      </c>
      <c r="X34" s="585">
        <f>IFERROR((CPSX!V77+CPSX!V138)/('3.Thanh pham'!S$97+'3.Thanh pham'!S$136),0)</f>
        <v>11.107363687464868</v>
      </c>
      <c r="Y34" s="585">
        <f>IFERROR((CPSX!W77+CPSX!W138)/('3.Thanh pham'!T$97+'3.Thanh pham'!T$136),0)</f>
        <v>11.288926363125352</v>
      </c>
      <c r="Z34" s="86"/>
    </row>
    <row r="35" spans="2:26" s="36" customFormat="1" ht="12.5" outlineLevel="1" x14ac:dyDescent="0.25">
      <c r="B35" s="575">
        <v>7</v>
      </c>
      <c r="C35" s="575"/>
      <c r="D35" s="576">
        <v>6271002603</v>
      </c>
      <c r="E35" s="577" t="s">
        <v>466</v>
      </c>
      <c r="F35" s="577" t="s">
        <v>574</v>
      </c>
      <c r="G35" s="577" t="s">
        <v>466</v>
      </c>
      <c r="H35" s="576" t="s">
        <v>521</v>
      </c>
      <c r="I35" s="661" t="s">
        <v>612</v>
      </c>
      <c r="J35" s="1254">
        <f>IFERROR((CPSX!AO78+CPSX!AO137)/('3.Thanh pham'!E$97+'3.Thanh pham'!E$136),0)</f>
        <v>0</v>
      </c>
      <c r="K35" s="1254">
        <f>IFERROR((CPSX!AM78+CPSX!AM137)/('3.Thanh pham'!F$97+'3.Thanh pham'!F$136),0)</f>
        <v>0</v>
      </c>
      <c r="L35" s="1254">
        <f>IFERROR((CPSX!AK78+CPSX!AK137)/('3.Thanh pham'!G$97+'3.Thanh pham'!G$136),0)</f>
        <v>0</v>
      </c>
      <c r="M35" s="585">
        <f>IFERROR((CPSX!K78+CPSX!K139)/('3.Thanh pham'!H$97+'3.Thanh pham'!H$136),0)</f>
        <v>0</v>
      </c>
      <c r="N35" s="585">
        <f>IFERROR((CPSX!L78+CPSX!L139)/('3.Thanh pham'!I$97+'3.Thanh pham'!I$136),0)</f>
        <v>0</v>
      </c>
      <c r="O35" s="585">
        <f>IFERROR((CPSX!M78+CPSX!M139)/('3.Thanh pham'!J$97+'3.Thanh pham'!J$136),0)</f>
        <v>0</v>
      </c>
      <c r="P35" s="585">
        <f>IFERROR((CPSX!N78+CPSX!N139)/('3.Thanh pham'!K$97+'3.Thanh pham'!K$136),0)</f>
        <v>0</v>
      </c>
      <c r="Q35" s="585">
        <f>IFERROR((CPSX!O78+CPSX!O139)/('3.Thanh pham'!L$97+'3.Thanh pham'!L$136),0)</f>
        <v>0</v>
      </c>
      <c r="R35" s="585">
        <f>IFERROR((CPSX!P78+CPSX!P139)/('3.Thanh pham'!M$97+'3.Thanh pham'!M$136),0)</f>
        <v>0</v>
      </c>
      <c r="S35" s="585">
        <f>IFERROR((CPSX!Q78+CPSX!Q139)/('3.Thanh pham'!N$97+'3.Thanh pham'!N$136),0)</f>
        <v>0</v>
      </c>
      <c r="T35" s="585">
        <f>IFERROR((CPSX!R78+CPSX!R139)/('3.Thanh pham'!O$97+'3.Thanh pham'!O$136),0)</f>
        <v>0</v>
      </c>
      <c r="U35" s="585">
        <f>IFERROR((CPSX!S78+CPSX!S139)/('3.Thanh pham'!P$97+'3.Thanh pham'!P$136),0)</f>
        <v>0</v>
      </c>
      <c r="V35" s="585">
        <f>IFERROR((CPSX!T78+CPSX!T139)/('3.Thanh pham'!Q$97+'3.Thanh pham'!Q$136),0)</f>
        <v>0</v>
      </c>
      <c r="W35" s="585">
        <f>IFERROR((CPSX!U78+CPSX!U139)/('3.Thanh pham'!R$97+'3.Thanh pham'!R$136),0)</f>
        <v>0</v>
      </c>
      <c r="X35" s="585">
        <f>IFERROR((CPSX!V78+CPSX!V139)/('3.Thanh pham'!S$97+'3.Thanh pham'!S$136),0)</f>
        <v>0</v>
      </c>
      <c r="Y35" s="585">
        <f>IFERROR((CPSX!W78+CPSX!W139)/('3.Thanh pham'!T$97+'3.Thanh pham'!T$136),0)</f>
        <v>0</v>
      </c>
      <c r="Z35" s="86"/>
    </row>
    <row r="36" spans="2:26" s="36" customFormat="1" ht="12.5" outlineLevel="1" x14ac:dyDescent="0.25">
      <c r="B36" s="575">
        <v>8</v>
      </c>
      <c r="C36" s="575"/>
      <c r="D36" s="576">
        <v>6271003401</v>
      </c>
      <c r="E36" s="577" t="s">
        <v>463</v>
      </c>
      <c r="F36" s="577" t="s">
        <v>570</v>
      </c>
      <c r="G36" s="577" t="s">
        <v>463</v>
      </c>
      <c r="H36" s="576" t="s">
        <v>521</v>
      </c>
      <c r="I36" s="661" t="s">
        <v>612</v>
      </c>
      <c r="J36" s="1254">
        <f>IFERROR((CPSX!AO79+CPSX!AO138)/('3.Thanh pham'!E$97+'3.Thanh pham'!E$136),0)</f>
        <v>5.2768338994126864</v>
      </c>
      <c r="K36" s="1254">
        <f>IFERROR((CPSX!AM79+CPSX!AM138)/('3.Thanh pham'!F$97+'3.Thanh pham'!F$136),0)</f>
        <v>1.3483095385300288</v>
      </c>
      <c r="L36" s="1254">
        <f>IFERROR((CPSX!AK79+CPSX!AK138)/('3.Thanh pham'!G$97+'3.Thanh pham'!G$136),0)</f>
        <v>15.837476486819412</v>
      </c>
      <c r="M36" s="585">
        <f>IFERROR((CPSX!K79+CPSX!K140)/('3.Thanh pham'!H$97+'3.Thanh pham'!H$136),0)</f>
        <v>53.894789207419898</v>
      </c>
      <c r="N36" s="585">
        <f>IFERROR((CPSX!L79+CPSX!L140)/('3.Thanh pham'!I$97+'3.Thanh pham'!I$136),0)</f>
        <v>71.859718943226525</v>
      </c>
      <c r="O36" s="585">
        <f>IFERROR((CPSX!M79+CPSX!M140)/('3.Thanh pham'!J$97+'3.Thanh pham'!J$136),0)</f>
        <v>49.749036191464519</v>
      </c>
      <c r="P36" s="585">
        <f>IFERROR((CPSX!N79+CPSX!N140)/('3.Thanh pham'!K$97+'3.Thanh pham'!K$136),0)</f>
        <v>46.195533606359916</v>
      </c>
      <c r="Q36" s="585">
        <f>IFERROR((CPSX!O79+CPSX!O140)/('3.Thanh pham'!L$97+'3.Thanh pham'!L$136),0)</f>
        <v>46.195533606359916</v>
      </c>
      <c r="R36" s="585">
        <f>IFERROR((CPSX!P79+CPSX!P140)/('3.Thanh pham'!M$97+'3.Thanh pham'!M$136),0)</f>
        <v>46.195533606359916</v>
      </c>
      <c r="S36" s="585">
        <f>IFERROR((CPSX!Q79+CPSX!Q140)/('3.Thanh pham'!N$97+'3.Thanh pham'!N$136),0)</f>
        <v>46.195533606359916</v>
      </c>
      <c r="T36" s="585">
        <f>IFERROR((CPSX!R79+CPSX!R140)/('3.Thanh pham'!O$97+'3.Thanh pham'!O$136),0)</f>
        <v>46.195533606359916</v>
      </c>
      <c r="U36" s="585">
        <f>IFERROR((CPSX!S79+CPSX!S140)/('3.Thanh pham'!P$97+'3.Thanh pham'!P$136),0)</f>
        <v>46.195533606359916</v>
      </c>
      <c r="V36" s="585">
        <f>IFERROR((CPSX!T79+CPSX!T140)/('3.Thanh pham'!Q$97+'3.Thanh pham'!Q$136),0)</f>
        <v>46.195533606359916</v>
      </c>
      <c r="W36" s="585">
        <f>IFERROR((CPSX!U79+CPSX!U140)/('3.Thanh pham'!R$97+'3.Thanh pham'!R$136),0)</f>
        <v>46.195533606359916</v>
      </c>
      <c r="X36" s="585">
        <f>IFERROR((CPSX!V79+CPSX!V140)/('3.Thanh pham'!S$97+'3.Thanh pham'!S$136),0)</f>
        <v>46.195533606359916</v>
      </c>
      <c r="Y36" s="585">
        <f>IFERROR((CPSX!W79+CPSX!W140)/('3.Thanh pham'!T$97+'3.Thanh pham'!T$136),0)</f>
        <v>48.505310286677911</v>
      </c>
      <c r="Z36" s="86"/>
    </row>
    <row r="37" spans="2:26" s="36" customFormat="1" ht="12.5" outlineLevel="1" x14ac:dyDescent="0.25">
      <c r="B37" s="575">
        <v>9</v>
      </c>
      <c r="C37" s="575"/>
      <c r="D37" s="576">
        <v>6271002703</v>
      </c>
      <c r="E37" s="577" t="s">
        <v>464</v>
      </c>
      <c r="F37" s="577" t="s">
        <v>574</v>
      </c>
      <c r="G37" s="577" t="s">
        <v>464</v>
      </c>
      <c r="H37" s="576" t="s">
        <v>521</v>
      </c>
      <c r="I37" s="661" t="s">
        <v>612</v>
      </c>
      <c r="J37" s="1254">
        <f>IFERROR((CPSX!AO80+CPSX!AO139)/('3.Thanh pham'!E$97+'3.Thanh pham'!E$136),0)</f>
        <v>0</v>
      </c>
      <c r="K37" s="1254">
        <f>IFERROR((CPSX!AM80+CPSX!AM139)/('3.Thanh pham'!F$97+'3.Thanh pham'!F$136),0)</f>
        <v>0</v>
      </c>
      <c r="L37" s="1254">
        <f>IFERROR((CPSX!AK80+CPSX!AK139)/('3.Thanh pham'!G$97+'3.Thanh pham'!G$136),0)</f>
        <v>0</v>
      </c>
      <c r="M37" s="585">
        <f>IFERROR((CPSX!K80+CPSX!K141)/('3.Thanh pham'!H$97+'3.Thanh pham'!H$136),0)</f>
        <v>1.6901392792455188</v>
      </c>
      <c r="N37" s="585">
        <f>IFERROR((CPSX!L80+CPSX!L141)/('3.Thanh pham'!I$97+'3.Thanh pham'!I$136),0)</f>
        <v>4.6200195698790409</v>
      </c>
      <c r="O37" s="585">
        <f>IFERROR((CPSX!M80+CPSX!M141)/('3.Thanh pham'!J$97+'3.Thanh pham'!J$136),0)</f>
        <v>5.0484492872688485</v>
      </c>
      <c r="P37" s="585">
        <f>IFERROR((CPSX!N80+CPSX!N141)/('3.Thanh pham'!K$97+'3.Thanh pham'!K$136),0)</f>
        <v>4.2558173398645573</v>
      </c>
      <c r="Q37" s="585">
        <f>IFERROR((CPSX!O80+CPSX!O141)/('3.Thanh pham'!L$97+'3.Thanh pham'!L$136),0)</f>
        <v>3.467704435343558</v>
      </c>
      <c r="R37" s="585">
        <f>IFERROR((CPSX!P80+CPSX!P141)/('3.Thanh pham'!M$97+'3.Thanh pham'!M$136),0)</f>
        <v>1.5645809577344147</v>
      </c>
      <c r="S37" s="585">
        <f>IFERROR((CPSX!Q80+CPSX!Q141)/('3.Thanh pham'!N$97+'3.Thanh pham'!N$136),0)</f>
        <v>9.9800208785031721</v>
      </c>
      <c r="T37" s="585">
        <f>IFERROR((CPSX!R80+CPSX!R141)/('3.Thanh pham'!O$97+'3.Thanh pham'!O$136),0)</f>
        <v>11.940630102518803</v>
      </c>
      <c r="U37" s="585">
        <f>IFERROR((CPSX!S80+CPSX!S141)/('3.Thanh pham'!P$97+'3.Thanh pham'!P$136),0)</f>
        <v>9.596172809764715</v>
      </c>
      <c r="V37" s="585">
        <f>IFERROR((CPSX!T80+CPSX!T141)/('3.Thanh pham'!Q$97+'3.Thanh pham'!Q$136),0)</f>
        <v>3.9405690730479939</v>
      </c>
      <c r="W37" s="585">
        <f>IFERROR((CPSX!U80+CPSX!U141)/('3.Thanh pham'!R$97+'3.Thanh pham'!R$136),0)</f>
        <v>3.2378066864744772</v>
      </c>
      <c r="X37" s="585">
        <f>IFERROR((CPSX!V80+CPSX!V141)/('3.Thanh pham'!S$97+'3.Thanh pham'!S$136),0)</f>
        <v>3.1178885944484596</v>
      </c>
      <c r="Y37" s="585">
        <f>IFERROR((CPSX!W80+CPSX!W141)/('3.Thanh pham'!T$97+'3.Thanh pham'!T$136),0)</f>
        <v>5.2681772531384681</v>
      </c>
      <c r="Z37" s="86"/>
    </row>
    <row r="38" spans="2:26" s="36" customFormat="1" ht="12.5" outlineLevel="1" x14ac:dyDescent="0.25">
      <c r="B38" s="575">
        <v>10</v>
      </c>
      <c r="C38" s="575"/>
      <c r="D38" s="981" t="s">
        <v>854</v>
      </c>
      <c r="E38" s="638" t="s">
        <v>855</v>
      </c>
      <c r="F38" s="638" t="s">
        <v>811</v>
      </c>
      <c r="G38" s="638" t="s">
        <v>855</v>
      </c>
      <c r="H38" s="981" t="s">
        <v>521</v>
      </c>
      <c r="I38" s="606" t="s">
        <v>623</v>
      </c>
      <c r="J38" s="1254">
        <f>IFERROR((CPSX!AO81+CPSX!AO140)/('3.Thanh pham'!E$97+'3.Thanh pham'!E$136),0)</f>
        <v>0</v>
      </c>
      <c r="K38" s="1254">
        <f>IFERROR((CPSX!AM81+CPSX!AM140)/('3.Thanh pham'!F$97+'3.Thanh pham'!F$136),0)</f>
        <v>0</v>
      </c>
      <c r="L38" s="1254">
        <f>IFERROR((CPSX!AK81+CPSX!AK140)/('3.Thanh pham'!G$97+'3.Thanh pham'!G$136),0)</f>
        <v>0</v>
      </c>
      <c r="M38" s="1017">
        <f>IFERROR((CPSX!K81+CPSX!K142)/('3.Thanh pham'!H$97+'3.Thanh pham'!H$136),0)</f>
        <v>0</v>
      </c>
      <c r="N38" s="1017">
        <f>IFERROR((CPSX!L81+CPSX!L142)/('3.Thanh pham'!I$97+'3.Thanh pham'!I$136),0)</f>
        <v>0</v>
      </c>
      <c r="O38" s="1017">
        <f>IFERROR((CPSX!M81+CPSX!M142)/('3.Thanh pham'!J$97+'3.Thanh pham'!J$136),0)</f>
        <v>0</v>
      </c>
      <c r="P38" s="1017">
        <f>IFERROR((CPSX!N81+CPSX!N142)/('3.Thanh pham'!K$97+'3.Thanh pham'!K$136),0)</f>
        <v>0</v>
      </c>
      <c r="Q38" s="1017">
        <f>IFERROR((CPSX!O81+CPSX!O142)/('3.Thanh pham'!L$97+'3.Thanh pham'!L$136),0)</f>
        <v>0</v>
      </c>
      <c r="R38" s="1017">
        <f>IFERROR((CPSX!P81+CPSX!P142)/('3.Thanh pham'!M$97+'3.Thanh pham'!M$136),0)</f>
        <v>0</v>
      </c>
      <c r="S38" s="1017">
        <f>IFERROR((CPSX!Q81+CPSX!Q142)/('3.Thanh pham'!N$97+'3.Thanh pham'!N$136),0)</f>
        <v>0</v>
      </c>
      <c r="T38" s="1017">
        <f>IFERROR((CPSX!R81+CPSX!R142)/('3.Thanh pham'!O$97+'3.Thanh pham'!O$136),0)</f>
        <v>0</v>
      </c>
      <c r="U38" s="1017">
        <f>IFERROR((CPSX!S81+CPSX!S142)/('3.Thanh pham'!P$97+'3.Thanh pham'!P$136),0)</f>
        <v>0</v>
      </c>
      <c r="V38" s="1017">
        <f>IFERROR((CPSX!T81+CPSX!T142)/('3.Thanh pham'!Q$97+'3.Thanh pham'!Q$136),0)</f>
        <v>0</v>
      </c>
      <c r="W38" s="1017">
        <f>IFERROR((CPSX!U81+CPSX!U142)/('3.Thanh pham'!R$97+'3.Thanh pham'!R$136),0)</f>
        <v>0</v>
      </c>
      <c r="X38" s="1017">
        <f>IFERROR((CPSX!V81+CPSX!V142)/('3.Thanh pham'!S$97+'3.Thanh pham'!S$136),0)</f>
        <v>0</v>
      </c>
      <c r="Y38" s="1017">
        <f>IFERROR((CPSX!W81+CPSX!W142)/('3.Thanh pham'!T$97+'3.Thanh pham'!T$136),0)</f>
        <v>0</v>
      </c>
      <c r="Z38" s="86"/>
    </row>
    <row r="39" spans="2:26" s="36" customFormat="1" ht="12.5" outlineLevel="1" x14ac:dyDescent="0.25">
      <c r="B39" s="575">
        <v>11</v>
      </c>
      <c r="C39" s="575"/>
      <c r="D39" s="981">
        <v>6271003001</v>
      </c>
      <c r="E39" s="638" t="s">
        <v>430</v>
      </c>
      <c r="F39" s="638" t="s">
        <v>570</v>
      </c>
      <c r="G39" s="638" t="s">
        <v>430</v>
      </c>
      <c r="H39" s="981" t="s">
        <v>521</v>
      </c>
      <c r="I39" s="661" t="s">
        <v>622</v>
      </c>
      <c r="J39" s="1254">
        <f>IFERROR((CPSX!AO82+CPSX!AO141)/('3.Thanh pham'!E$97+'3.Thanh pham'!E$136),0)</f>
        <v>0</v>
      </c>
      <c r="K39" s="1254">
        <f>IFERROR((CPSX!AM82+CPSX!AM141)/('3.Thanh pham'!F$97+'3.Thanh pham'!F$136),0)</f>
        <v>0</v>
      </c>
      <c r="L39" s="1254">
        <f>IFERROR((CPSX!AK82+CPSX!AK141)/('3.Thanh pham'!G$97+'3.Thanh pham'!G$136),0)</f>
        <v>0</v>
      </c>
      <c r="M39" s="1017">
        <f ca="1">IFERROR((CPSX!K82+CPSX!K143)/('3.Thanh pham'!H$97+'3.Thanh pham'!H$136),0)</f>
        <v>6.6390514609441285</v>
      </c>
      <c r="N39" s="1017">
        <f ca="1">IFERROR((CPSX!L82+CPSX!L143)/('3.Thanh pham'!I$97+'3.Thanh pham'!I$136),0)</f>
        <v>8.8520686145921719</v>
      </c>
      <c r="O39" s="1017">
        <f ca="1">IFERROR((CPSX!M82+CPSX!M143)/('3.Thanh pham'!J$97+'3.Thanh pham'!J$136),0)</f>
        <v>6.1283551947176571</v>
      </c>
      <c r="P39" s="1017">
        <f ca="1">IFERROR((CPSX!N82+CPSX!N143)/('3.Thanh pham'!K$97+'3.Thanh pham'!K$136),0)</f>
        <v>0.94276361472076065</v>
      </c>
      <c r="Q39" s="1017">
        <f ca="1">IFERROR((CPSX!O82+CPSX!O143)/('3.Thanh pham'!L$97+'3.Thanh pham'!L$136),0)</f>
        <v>0.94276361472076065</v>
      </c>
      <c r="R39" s="1017">
        <f ca="1">IFERROR((CPSX!P82+CPSX!P143)/('3.Thanh pham'!M$97+'3.Thanh pham'!M$136),0)</f>
        <v>0.94276361472076065</v>
      </c>
      <c r="S39" s="1017">
        <f ca="1">IFERROR((CPSX!Q82+CPSX!Q143)/('3.Thanh pham'!N$97+'3.Thanh pham'!N$136),0)</f>
        <v>0.94276361472076065</v>
      </c>
      <c r="T39" s="1017">
        <f ca="1">IFERROR((CPSX!R82+CPSX!R143)/('3.Thanh pham'!O$97+'3.Thanh pham'!O$136),0)</f>
        <v>0.94276361472076065</v>
      </c>
      <c r="U39" s="1017">
        <f ca="1">IFERROR((CPSX!S82+CPSX!S143)/('3.Thanh pham'!P$97+'3.Thanh pham'!P$136),0)</f>
        <v>0.94276361472076065</v>
      </c>
      <c r="V39" s="1017">
        <f ca="1">IFERROR((CPSX!T82+CPSX!T143)/('3.Thanh pham'!Q$97+'3.Thanh pham'!Q$136),0)</f>
        <v>0.94276361472076065</v>
      </c>
      <c r="W39" s="1017">
        <f ca="1">IFERROR((CPSX!U82+CPSX!U143)/('3.Thanh pham'!R$97+'3.Thanh pham'!R$136),0)</f>
        <v>0.94276361472076065</v>
      </c>
      <c r="X39" s="1017">
        <f ca="1">IFERROR((CPSX!V82+CPSX!V143)/('3.Thanh pham'!S$97+'3.Thanh pham'!S$136),0)</f>
        <v>0.94276361472076065</v>
      </c>
      <c r="Y39" s="1017">
        <f ca="1">IFERROR((CPSX!W82+CPSX!W143)/('3.Thanh pham'!T$97+'3.Thanh pham'!T$136),0)</f>
        <v>2.2362129253050278</v>
      </c>
      <c r="Z39" s="86"/>
    </row>
    <row r="40" spans="2:26" s="36" customFormat="1" ht="12.5" outlineLevel="1" x14ac:dyDescent="0.25">
      <c r="B40" s="575">
        <v>12</v>
      </c>
      <c r="C40" s="575"/>
      <c r="D40" s="981" t="s">
        <v>1004</v>
      </c>
      <c r="E40" s="638" t="s">
        <v>441</v>
      </c>
      <c r="F40" s="638" t="s">
        <v>570</v>
      </c>
      <c r="G40" s="638" t="s">
        <v>1946</v>
      </c>
      <c r="H40" s="981" t="s">
        <v>521</v>
      </c>
      <c r="I40" s="606" t="s">
        <v>622</v>
      </c>
      <c r="J40" s="1254">
        <f>IFERROR((CPSX!AO83+CPSX!AO142)/('3.Thanh pham'!E$97+'3.Thanh pham'!E$136),0)</f>
        <v>0.87008326271162084</v>
      </c>
      <c r="K40" s="1254">
        <f>IFERROR((CPSX!AM83+CPSX!AM142)/('3.Thanh pham'!F$97+'3.Thanh pham'!F$136),0)</f>
        <v>0.36614836830848274</v>
      </c>
      <c r="L40" s="1254">
        <f>IFERROR((CPSX!AK83+CPSX!AK142)/('3.Thanh pham'!G$97+'3.Thanh pham'!G$136),0)</f>
        <v>3.2599038223796573</v>
      </c>
      <c r="M40" s="1017">
        <f ca="1">IFERROR((CPSX!K83+CPSX!K144)/('3.Thanh pham'!H$97+'3.Thanh pham'!H$136),0)</f>
        <v>2.7250544547498596</v>
      </c>
      <c r="N40" s="1017">
        <f ca="1">IFERROR((CPSX!L83+CPSX!L144)/('3.Thanh pham'!I$97+'3.Thanh pham'!I$136),0)</f>
        <v>3.6334059396664795</v>
      </c>
      <c r="O40" s="1017">
        <f ca="1">IFERROR((CPSX!M83+CPSX!M144)/('3.Thanh pham'!J$97+'3.Thanh pham'!J$136),0)</f>
        <v>2.5154348813075624</v>
      </c>
      <c r="P40" s="1017">
        <f ca="1">IFERROR((CPSX!N83+CPSX!N144)/('3.Thanh pham'!K$97+'3.Thanh pham'!K$136),0)</f>
        <v>2.3357609612141652</v>
      </c>
      <c r="Q40" s="1017">
        <f ca="1">IFERROR((CPSX!O83+CPSX!O144)/('3.Thanh pham'!L$97+'3.Thanh pham'!L$136),0)</f>
        <v>2.3357609612141652</v>
      </c>
      <c r="R40" s="1017">
        <f ca="1">IFERROR((CPSX!P83+CPSX!P144)/('3.Thanh pham'!M$97+'3.Thanh pham'!M$136),0)</f>
        <v>2.3357609612141652</v>
      </c>
      <c r="S40" s="1017">
        <f ca="1">IFERROR((CPSX!Q83+CPSX!Q144)/('3.Thanh pham'!N$97+'3.Thanh pham'!N$136),0)</f>
        <v>2.3357609612141652</v>
      </c>
      <c r="T40" s="1017">
        <f ca="1">IFERROR((CPSX!R83+CPSX!R144)/('3.Thanh pham'!O$97+'3.Thanh pham'!O$136),0)</f>
        <v>1.9760082911748174</v>
      </c>
      <c r="U40" s="1017">
        <f ca="1">IFERROR((CPSX!S83+CPSX!S144)/('3.Thanh pham'!P$97+'3.Thanh pham'!P$136),0)</f>
        <v>1.9760082911748174</v>
      </c>
      <c r="V40" s="1017">
        <f ca="1">IFERROR((CPSX!T83+CPSX!T144)/('3.Thanh pham'!Q$97+'3.Thanh pham'!Q$136),0)</f>
        <v>1.9760082911748174</v>
      </c>
      <c r="W40" s="1017">
        <f ca="1">IFERROR((CPSX!U83+CPSX!U144)/('3.Thanh pham'!R$97+'3.Thanh pham'!R$136),0)</f>
        <v>1.9760082911748174</v>
      </c>
      <c r="X40" s="1017">
        <f ca="1">IFERROR((CPSX!V83+CPSX!V144)/('3.Thanh pham'!S$97+'3.Thanh pham'!S$136),0)</f>
        <v>1.9760082911748174</v>
      </c>
      <c r="Y40" s="1017">
        <f ca="1">IFERROR((CPSX!W83+CPSX!W144)/('3.Thanh pham'!T$97+'3.Thanh pham'!T$136),0)</f>
        <v>2.295157216132659</v>
      </c>
      <c r="Z40" s="86"/>
    </row>
    <row r="41" spans="2:26" s="36" customFormat="1" ht="12.5" outlineLevel="1" x14ac:dyDescent="0.25">
      <c r="B41" s="575">
        <v>13</v>
      </c>
      <c r="C41" s="575"/>
      <c r="D41" s="981">
        <v>6273000100</v>
      </c>
      <c r="E41" s="638" t="s">
        <v>432</v>
      </c>
      <c r="F41" s="638" t="s">
        <v>580</v>
      </c>
      <c r="G41" s="638" t="s">
        <v>1951</v>
      </c>
      <c r="H41" s="981" t="s">
        <v>516</v>
      </c>
      <c r="I41" s="661" t="s">
        <v>623</v>
      </c>
      <c r="J41" s="1254">
        <f>IFERROR((CPSX!AO84+CPSX!AO143)/('3.Thanh pham'!E$97+'3.Thanh pham'!E$136),0)</f>
        <v>0</v>
      </c>
      <c r="K41" s="1254">
        <f>IFERROR((CPSX!AM84+CPSX!AM143)/('3.Thanh pham'!F$97+'3.Thanh pham'!F$136),0)</f>
        <v>7.0472041535124763</v>
      </c>
      <c r="L41" s="1254">
        <f>IFERROR((CPSX!AK84+CPSX!AK143)/('3.Thanh pham'!G$97+'3.Thanh pham'!G$136),0)</f>
        <v>12.128890654998528</v>
      </c>
      <c r="M41" s="1017">
        <f>IFERROR((CPSX!K84+CPSX!K145)/('3.Thanh pham'!H$97+'3.Thanh pham'!H$136),0)</f>
        <v>33.306956467428648</v>
      </c>
      <c r="N41" s="1017">
        <f>IFERROR((CPSX!L84+CPSX!L145)/('3.Thanh pham'!I$97+'3.Thanh pham'!I$136),0)</f>
        <v>31.545354235629674</v>
      </c>
      <c r="O41" s="1017">
        <f>IFERROR((CPSX!M84+CPSX!M145)/('3.Thanh pham'!J$97+'3.Thanh pham'!J$136),0)</f>
        <v>17.209621077816696</v>
      </c>
      <c r="P41" s="1017">
        <f>IFERROR((CPSX!N84+CPSX!N145)/('3.Thanh pham'!K$97+'3.Thanh pham'!K$136),0)</f>
        <v>20.476458149308066</v>
      </c>
      <c r="Q41" s="1017">
        <f>IFERROR((CPSX!O84+CPSX!O145)/('3.Thanh pham'!L$97+'3.Thanh pham'!L$136),0)</f>
        <v>14.668068203110364</v>
      </c>
      <c r="R41" s="1017">
        <f>IFERROR((CPSX!P84+CPSX!P145)/('3.Thanh pham'!M$97+'3.Thanh pham'!M$136),0)</f>
        <v>27.973848336411574</v>
      </c>
      <c r="S41" s="1017">
        <f>IFERROR((CPSX!Q84+CPSX!Q145)/('3.Thanh pham'!N$97+'3.Thanh pham'!N$136),0)</f>
        <v>14.865370058085068</v>
      </c>
      <c r="T41" s="1017">
        <f>IFERROR((CPSX!R84+CPSX!R145)/('3.Thanh pham'!O$97+'3.Thanh pham'!O$136),0)</f>
        <v>20.279156294333362</v>
      </c>
      <c r="U41" s="1017">
        <f>IFERROR((CPSX!S84+CPSX!S145)/('3.Thanh pham'!P$97+'3.Thanh pham'!P$136),0)</f>
        <v>14.035449557000993</v>
      </c>
      <c r="V41" s="1017">
        <f>IFERROR((CPSX!T84+CPSX!T145)/('3.Thanh pham'!Q$97+'3.Thanh pham'!Q$136),0)</f>
        <v>20.356005246393106</v>
      </c>
      <c r="W41" s="1017">
        <f>IFERROR((CPSX!U84+CPSX!U145)/('3.Thanh pham'!R$97+'3.Thanh pham'!R$136),0)</f>
        <v>13.937320592092938</v>
      </c>
      <c r="X41" s="1017">
        <f>IFERROR((CPSX!V84+CPSX!V145)/('3.Thanh pham'!S$97+'3.Thanh pham'!S$136),0)</f>
        <v>20.080168098717849</v>
      </c>
      <c r="Y41" s="1017">
        <f>IFERROR((CPSX!W84+CPSX!W145)/('3.Thanh pham'!T$97+'3.Thanh pham'!T$136),0)</f>
        <v>20.254516020236093</v>
      </c>
      <c r="Z41" s="86"/>
    </row>
    <row r="42" spans="2:26" s="36" customFormat="1" ht="12.5" outlineLevel="1" x14ac:dyDescent="0.25">
      <c r="B42" s="575">
        <v>14</v>
      </c>
      <c r="C42" s="575"/>
      <c r="D42" s="981">
        <v>6275001803</v>
      </c>
      <c r="E42" s="638" t="s">
        <v>15</v>
      </c>
      <c r="F42" s="638" t="s">
        <v>573</v>
      </c>
      <c r="G42" s="638" t="s">
        <v>15</v>
      </c>
      <c r="H42" s="981" t="s">
        <v>516</v>
      </c>
      <c r="I42" s="661" t="s">
        <v>623</v>
      </c>
      <c r="J42" s="1254">
        <f>IFERROR((CPSX!AO85+CPSX!AO144)/('3.Thanh pham'!E$97+'3.Thanh pham'!E$136),0)</f>
        <v>1.2341845472056578</v>
      </c>
      <c r="K42" s="1254">
        <f>IFERROR((CPSX!AM85+CPSX!AM144)/('3.Thanh pham'!F$97+'3.Thanh pham'!F$136),0)</f>
        <v>1.7309444638655493</v>
      </c>
      <c r="L42" s="1254">
        <f>IFERROR((CPSX!AK85+CPSX!AK144)/('3.Thanh pham'!G$97+'3.Thanh pham'!G$136),0)</f>
        <v>1.8581472968383665</v>
      </c>
      <c r="M42" s="1017">
        <f>IFERROR((CPSX!K85+CPSX!K146)/('3.Thanh pham'!H$97+'3.Thanh pham'!H$136),0)</f>
        <v>1.7571749344200862</v>
      </c>
      <c r="N42" s="1017">
        <f>IFERROR((CPSX!L85+CPSX!L146)/('3.Thanh pham'!I$97+'3.Thanh pham'!I$136),0)</f>
        <v>2.3428999125601147</v>
      </c>
      <c r="O42" s="1017">
        <f>IFERROR((CPSX!M85+CPSX!M146)/('3.Thanh pham'!J$97+'3.Thanh pham'!J$136),0)</f>
        <v>1.6220076317723873</v>
      </c>
      <c r="P42" s="1017">
        <f>IFERROR((CPSX!N85+CPSX!N146)/('3.Thanh pham'!K$97+'3.Thanh pham'!K$136),0)</f>
        <v>1.5061499437886452</v>
      </c>
      <c r="Q42" s="1017">
        <f>IFERROR((CPSX!O85+CPSX!O146)/('3.Thanh pham'!L$97+'3.Thanh pham'!L$136),0)</f>
        <v>1.5061499437886452</v>
      </c>
      <c r="R42" s="1017">
        <f>IFERROR((CPSX!P85+CPSX!P146)/('3.Thanh pham'!M$97+'3.Thanh pham'!M$136),0)</f>
        <v>1.5061499437886452</v>
      </c>
      <c r="S42" s="1017">
        <f>IFERROR((CPSX!Q85+CPSX!Q146)/('3.Thanh pham'!N$97+'3.Thanh pham'!N$136),0)</f>
        <v>1.5061499437886452</v>
      </c>
      <c r="T42" s="1017">
        <f>IFERROR((CPSX!R85+CPSX!R146)/('3.Thanh pham'!O$97+'3.Thanh pham'!O$136),0)</f>
        <v>1.5061499437886452</v>
      </c>
      <c r="U42" s="1017">
        <f>IFERROR((CPSX!S85+CPSX!S146)/('3.Thanh pham'!P$97+'3.Thanh pham'!P$136),0)</f>
        <v>1.5061499437886452</v>
      </c>
      <c r="V42" s="1017">
        <f>IFERROR((CPSX!T85+CPSX!T146)/('3.Thanh pham'!Q$97+'3.Thanh pham'!Q$136),0)</f>
        <v>1.5061499437886452</v>
      </c>
      <c r="W42" s="1017">
        <f>IFERROR((CPSX!U85+CPSX!U146)/('3.Thanh pham'!R$97+'3.Thanh pham'!R$136),0)</f>
        <v>1.5061499437886452</v>
      </c>
      <c r="X42" s="1017">
        <f>IFERROR((CPSX!V85+CPSX!V146)/('3.Thanh pham'!S$97+'3.Thanh pham'!S$136),0)</f>
        <v>1.5061499437886452</v>
      </c>
      <c r="Y42" s="1017">
        <f>IFERROR((CPSX!W85+CPSX!W146)/('3.Thanh pham'!T$97+'3.Thanh pham'!T$136),0)</f>
        <v>1.5814574409780773</v>
      </c>
      <c r="Z42" s="86"/>
    </row>
    <row r="43" spans="2:26" s="36" customFormat="1" ht="12.5" outlineLevel="1" x14ac:dyDescent="0.25">
      <c r="B43" s="575">
        <v>15</v>
      </c>
      <c r="C43" s="575"/>
      <c r="D43" s="981">
        <v>6277002804</v>
      </c>
      <c r="E43" s="638" t="s">
        <v>451</v>
      </c>
      <c r="F43" s="638" t="s">
        <v>575</v>
      </c>
      <c r="G43" s="638" t="s">
        <v>451</v>
      </c>
      <c r="H43" s="981" t="s">
        <v>521</v>
      </c>
      <c r="I43" s="661" t="s">
        <v>623</v>
      </c>
      <c r="J43" s="1254">
        <f>IFERROR((CPSX!AO86+CPSX!AO145)/('3.Thanh pham'!E$97+'3.Thanh pham'!E$136),0)</f>
        <v>7.2967191928276582</v>
      </c>
      <c r="K43" s="1254">
        <f>IFERROR((CPSX!AM86+CPSX!AM145)/('3.Thanh pham'!F$97+'3.Thanh pham'!F$136),0)</f>
        <v>9.3785142870964489</v>
      </c>
      <c r="L43" s="1254">
        <f>IFERROR((CPSX!AK86+CPSX!AK145)/('3.Thanh pham'!G$97+'3.Thanh pham'!G$136),0)</f>
        <v>6.1410175688338295</v>
      </c>
      <c r="M43" s="1017">
        <f>IFERROR((CPSX!K86+CPSX!K147)/('3.Thanh pham'!H$97+'3.Thanh pham'!H$136),0)</f>
        <v>7.5597245643620008</v>
      </c>
      <c r="N43" s="1017">
        <f>IFERROR((CPSX!L86+CPSX!L147)/('3.Thanh pham'!I$97+'3.Thanh pham'!I$136),0)</f>
        <v>10.079632752482668</v>
      </c>
      <c r="O43" s="1017">
        <f>IFERROR((CPSX!M86+CPSX!M147)/('3.Thanh pham'!J$97+'3.Thanh pham'!J$136),0)</f>
        <v>6.9782072901803085</v>
      </c>
      <c r="P43" s="1017">
        <f>IFERROR((CPSX!N86+CPSX!N147)/('3.Thanh pham'!K$97+'3.Thanh pham'!K$136),0)</f>
        <v>6.479763912310287</v>
      </c>
      <c r="Q43" s="1017">
        <f>IFERROR((CPSX!O86+CPSX!O147)/('3.Thanh pham'!L$97+'3.Thanh pham'!L$136),0)</f>
        <v>6.479763912310287</v>
      </c>
      <c r="R43" s="1017">
        <f>IFERROR((CPSX!P86+CPSX!P147)/('3.Thanh pham'!M$97+'3.Thanh pham'!M$136),0)</f>
        <v>6.479763912310287</v>
      </c>
      <c r="S43" s="1017">
        <f>IFERROR((CPSX!Q86+CPSX!Q147)/('3.Thanh pham'!N$97+'3.Thanh pham'!N$136),0)</f>
        <v>6.479763912310287</v>
      </c>
      <c r="T43" s="1017">
        <f>IFERROR((CPSX!R86+CPSX!R147)/('3.Thanh pham'!O$97+'3.Thanh pham'!O$136),0)</f>
        <v>6.479763912310287</v>
      </c>
      <c r="U43" s="1017">
        <f>IFERROR((CPSX!S86+CPSX!S147)/('3.Thanh pham'!P$97+'3.Thanh pham'!P$136),0)</f>
        <v>6.479763912310287</v>
      </c>
      <c r="V43" s="1017">
        <f>IFERROR((CPSX!T86+CPSX!T147)/('3.Thanh pham'!Q$97+'3.Thanh pham'!Q$136),0)</f>
        <v>6.479763912310287</v>
      </c>
      <c r="W43" s="1017">
        <f>IFERROR((CPSX!U86+CPSX!U147)/('3.Thanh pham'!R$97+'3.Thanh pham'!R$136),0)</f>
        <v>6.479763912310287</v>
      </c>
      <c r="X43" s="1017">
        <f>IFERROR((CPSX!V86+CPSX!V147)/('3.Thanh pham'!S$97+'3.Thanh pham'!S$136),0)</f>
        <v>6.479763912310287</v>
      </c>
      <c r="Y43" s="1017">
        <f>IFERROR((CPSX!W86+CPSX!W147)/('3.Thanh pham'!T$97+'3.Thanh pham'!T$136),0)</f>
        <v>6.803752107925801</v>
      </c>
      <c r="Z43" s="86"/>
    </row>
    <row r="44" spans="2:26" s="36" customFormat="1" ht="12.5" outlineLevel="1" x14ac:dyDescent="0.25">
      <c r="B44" s="575">
        <v>16</v>
      </c>
      <c r="C44" s="575"/>
      <c r="D44" s="981">
        <v>6277003702</v>
      </c>
      <c r="E44" s="638" t="s">
        <v>84</v>
      </c>
      <c r="F44" s="638" t="s">
        <v>576</v>
      </c>
      <c r="G44" s="638" t="s">
        <v>84</v>
      </c>
      <c r="H44" s="981" t="s">
        <v>513</v>
      </c>
      <c r="I44" s="661" t="s">
        <v>622</v>
      </c>
      <c r="J44" s="1254">
        <f>IFERROR((CPSX!AO87+CPSX!AO146)/('3.Thanh pham'!E$97+'3.Thanh pham'!E$136),0)</f>
        <v>0</v>
      </c>
      <c r="K44" s="1254">
        <f>IFERROR((CPSX!AM87+CPSX!AM146)/('3.Thanh pham'!F$97+'3.Thanh pham'!F$136),0)</f>
        <v>0</v>
      </c>
      <c r="L44" s="1254">
        <f>IFERROR((CPSX!AK87+CPSX!AK146)/('3.Thanh pham'!G$97+'3.Thanh pham'!G$136),0)</f>
        <v>7.3613146217349286</v>
      </c>
      <c r="M44" s="1017">
        <f ca="1">IFERROR((CPSX!K87+CPSX!K148)/('3.Thanh pham'!H$97+'3.Thanh pham'!H$136),0)</f>
        <v>4.9622134782337142</v>
      </c>
      <c r="N44" s="1017">
        <f ca="1">IFERROR((CPSX!L87+CPSX!L148)/('3.Thanh pham'!I$97+'3.Thanh pham'!I$136),0)</f>
        <v>6.6162846376449531</v>
      </c>
      <c r="O44" s="1017">
        <f ca="1">IFERROR((CPSX!M87+CPSX!M148)/('3.Thanh pham'!J$97+'3.Thanh pham'!J$136),0)</f>
        <v>4.5805047491388136</v>
      </c>
      <c r="P44" s="1017">
        <f ca="1">IFERROR((CPSX!N87+CPSX!N148)/('3.Thanh pham'!K$97+'3.Thanh pham'!K$136),0)</f>
        <v>4.2533258384860408</v>
      </c>
      <c r="Q44" s="1017">
        <f ca="1">IFERROR((CPSX!O87+CPSX!O148)/('3.Thanh pham'!L$97+'3.Thanh pham'!L$136),0)</f>
        <v>4.2533258384860408</v>
      </c>
      <c r="R44" s="1017">
        <f ca="1">IFERROR((CPSX!P87+CPSX!P148)/('3.Thanh pham'!M$97+'3.Thanh pham'!M$136),0)</f>
        <v>4.2533258384860408</v>
      </c>
      <c r="S44" s="1017">
        <f ca="1">IFERROR((CPSX!Q87+CPSX!Q148)/('3.Thanh pham'!N$97+'3.Thanh pham'!N$136),0)</f>
        <v>4.2533258384860408</v>
      </c>
      <c r="T44" s="1017">
        <f ca="1">IFERROR((CPSX!R87+CPSX!R148)/('3.Thanh pham'!O$97+'3.Thanh pham'!O$136),0)</f>
        <v>4.2533258384860408</v>
      </c>
      <c r="U44" s="1017">
        <f ca="1">IFERROR((CPSX!S87+CPSX!S148)/('3.Thanh pham'!P$97+'3.Thanh pham'!P$136),0)</f>
        <v>4.2533258384860408</v>
      </c>
      <c r="V44" s="1017">
        <f ca="1">IFERROR((CPSX!T87+CPSX!T148)/('3.Thanh pham'!Q$97+'3.Thanh pham'!Q$136),0)</f>
        <v>4.2533258384860408</v>
      </c>
      <c r="W44" s="1017">
        <f ca="1">IFERROR((CPSX!U87+CPSX!U148)/('3.Thanh pham'!R$97+'3.Thanh pham'!R$136),0)</f>
        <v>4.2533258384860408</v>
      </c>
      <c r="X44" s="1017">
        <f ca="1">IFERROR((CPSX!V87+CPSX!V148)/('3.Thanh pham'!S$97+'3.Thanh pham'!S$136),0)</f>
        <v>4.2533258384860408</v>
      </c>
      <c r="Y44" s="1017">
        <f ca="1">IFERROR((CPSX!W87+CPSX!W148)/('3.Thanh pham'!T$97+'3.Thanh pham'!T$136),0)</f>
        <v>4.465992130410342</v>
      </c>
      <c r="Z44" s="86"/>
    </row>
    <row r="45" spans="2:26" s="36" customFormat="1" ht="12.5" outlineLevel="1" x14ac:dyDescent="0.25">
      <c r="B45" s="575">
        <v>17</v>
      </c>
      <c r="C45" s="575"/>
      <c r="D45" s="981">
        <v>6277005001</v>
      </c>
      <c r="E45" s="638" t="s">
        <v>433</v>
      </c>
      <c r="F45" s="638" t="s">
        <v>578</v>
      </c>
      <c r="G45" s="638" t="s">
        <v>433</v>
      </c>
      <c r="H45" s="981" t="s">
        <v>513</v>
      </c>
      <c r="I45" s="661" t="s">
        <v>621</v>
      </c>
      <c r="J45" s="1254">
        <f>IFERROR((CPSX!AO88+CPSX!AO147)/('3.Thanh pham'!E$97+'3.Thanh pham'!E$136),0)</f>
        <v>197.83396477886373</v>
      </c>
      <c r="K45" s="1254">
        <f>IFERROR((CPSX!AM88+CPSX!AM147)/('3.Thanh pham'!F$97+'3.Thanh pham'!F$136),0)</f>
        <v>318.07847749867494</v>
      </c>
      <c r="L45" s="1254">
        <f>IFERROR((CPSX!AK88+CPSX!AK147)/('3.Thanh pham'!G$97+'3.Thanh pham'!G$136),0)</f>
        <v>306.72144257228871</v>
      </c>
      <c r="M45" s="1017">
        <f>IFERROR((CPSX!K88+CPSX!K149)/('3.Thanh pham'!H$97+'3.Thanh pham'!H$136),0)</f>
        <v>281.05677346824058</v>
      </c>
      <c r="N45" s="1017">
        <f>IFERROR((CPSX!L88+CPSX!L149)/('3.Thanh pham'!I$97+'3.Thanh pham'!I$136),0)</f>
        <v>374.74236462432077</v>
      </c>
      <c r="O45" s="1017">
        <f>IFERROR((CPSX!M88+CPSX!M149)/('3.Thanh pham'!J$97+'3.Thanh pham'!J$136),0)</f>
        <v>259.4370216629913</v>
      </c>
      <c r="P45" s="1017">
        <f>IFERROR((CPSX!N88+CPSX!N149)/('3.Thanh pham'!K$97+'3.Thanh pham'!K$136),0)</f>
        <v>240.9058058299205</v>
      </c>
      <c r="Q45" s="1017">
        <f>IFERROR((CPSX!O88+CPSX!O149)/('3.Thanh pham'!L$97+'3.Thanh pham'!L$136),0)</f>
        <v>240.9058058299205</v>
      </c>
      <c r="R45" s="1017">
        <f>IFERROR((CPSX!P88+CPSX!P149)/('3.Thanh pham'!M$97+'3.Thanh pham'!M$136),0)</f>
        <v>240.9058058299205</v>
      </c>
      <c r="S45" s="1017">
        <f>IFERROR((CPSX!Q88+CPSX!Q149)/('3.Thanh pham'!N$97+'3.Thanh pham'!N$136),0)</f>
        <v>240.9058058299205</v>
      </c>
      <c r="T45" s="1017">
        <f>IFERROR((CPSX!R88+CPSX!R149)/('3.Thanh pham'!O$97+'3.Thanh pham'!O$136),0)</f>
        <v>240.9058058299205</v>
      </c>
      <c r="U45" s="1017">
        <f>IFERROR((CPSX!S88+CPSX!S149)/('3.Thanh pham'!P$97+'3.Thanh pham'!P$136),0)</f>
        <v>240.9058058299205</v>
      </c>
      <c r="V45" s="1017">
        <f>IFERROR((CPSX!T88+CPSX!T149)/('3.Thanh pham'!Q$97+'3.Thanh pham'!Q$136),0)</f>
        <v>240.9058058299205</v>
      </c>
      <c r="W45" s="1017">
        <f>IFERROR((CPSX!U88+CPSX!U149)/('3.Thanh pham'!R$97+'3.Thanh pham'!R$136),0)</f>
        <v>240.9058058299205</v>
      </c>
      <c r="X45" s="1017">
        <f>IFERROR((CPSX!V88+CPSX!V149)/('3.Thanh pham'!S$97+'3.Thanh pham'!S$136),0)</f>
        <v>240.9058058299205</v>
      </c>
      <c r="Y45" s="1017">
        <f>IFERROR((CPSX!W88+CPSX!W149)/('3.Thanh pham'!T$97+'3.Thanh pham'!T$136),0)</f>
        <v>252.95109612141653</v>
      </c>
      <c r="Z45" s="86"/>
    </row>
    <row r="46" spans="2:26" s="36" customFormat="1" ht="12.5" outlineLevel="1" x14ac:dyDescent="0.25">
      <c r="B46" s="575">
        <v>18</v>
      </c>
      <c r="C46" s="575"/>
      <c r="D46" s="981">
        <v>6278007201</v>
      </c>
      <c r="E46" s="638" t="s">
        <v>96</v>
      </c>
      <c r="F46" s="638" t="s">
        <v>575</v>
      </c>
      <c r="G46" s="638" t="s">
        <v>96</v>
      </c>
      <c r="H46" s="981" t="s">
        <v>516</v>
      </c>
      <c r="I46" s="661" t="s">
        <v>623</v>
      </c>
      <c r="J46" s="1254">
        <f>IFERROR((CPSX!AO89+CPSX!AO148)/('3.Thanh pham'!E$97+'3.Thanh pham'!E$136),0)</f>
        <v>0</v>
      </c>
      <c r="K46" s="1254">
        <f>IFERROR((CPSX!AM89+CPSX!AM148)/('3.Thanh pham'!F$97+'3.Thanh pham'!F$136),0)</f>
        <v>0</v>
      </c>
      <c r="L46" s="1254">
        <f>IFERROR((CPSX!AK89+CPSX!AK148)/('3.Thanh pham'!G$97+'3.Thanh pham'!G$136),0)</f>
        <v>4.2155454265532502</v>
      </c>
      <c r="M46" s="1017">
        <f>IFERROR((CPSX!K89+CPSX!K150)/('3.Thanh pham'!H$97+'3.Thanh pham'!H$136),0)</f>
        <v>3.9035662981700083</v>
      </c>
      <c r="N46" s="1017">
        <f>IFERROR((CPSX!L89+CPSX!L150)/('3.Thanh pham'!I$97+'3.Thanh pham'!I$136),0)</f>
        <v>5.2047550642266778</v>
      </c>
      <c r="O46" s="1017">
        <f>IFERROR((CPSX!M89+CPSX!M150)/('3.Thanh pham'!J$97+'3.Thanh pham'!J$136),0)</f>
        <v>3.603291967541546</v>
      </c>
      <c r="P46" s="1017">
        <f>IFERROR((CPSX!N89+CPSX!N150)/('3.Thanh pham'!K$97+'3.Thanh pham'!K$136),0)</f>
        <v>3.3459139698600073</v>
      </c>
      <c r="Q46" s="1017">
        <f>IFERROR((CPSX!O89+CPSX!O150)/('3.Thanh pham'!L$97+'3.Thanh pham'!L$136),0)</f>
        <v>3.3459139698600073</v>
      </c>
      <c r="R46" s="1017">
        <f>IFERROR((CPSX!P89+CPSX!P150)/('3.Thanh pham'!M$97+'3.Thanh pham'!M$136),0)</f>
        <v>3.3459139698600073</v>
      </c>
      <c r="S46" s="1017">
        <f>IFERROR((CPSX!Q89+CPSX!Q150)/('3.Thanh pham'!N$97+'3.Thanh pham'!N$136),0)</f>
        <v>3.3459139698600073</v>
      </c>
      <c r="T46" s="1017">
        <f>IFERROR((CPSX!R89+CPSX!R150)/('3.Thanh pham'!O$97+'3.Thanh pham'!O$136),0)</f>
        <v>3.3459139698600073</v>
      </c>
      <c r="U46" s="1017">
        <f>IFERROR((CPSX!S89+CPSX!S150)/('3.Thanh pham'!P$97+'3.Thanh pham'!P$136),0)</f>
        <v>3.3459139698600073</v>
      </c>
      <c r="V46" s="1017">
        <f>IFERROR((CPSX!T89+CPSX!T150)/('3.Thanh pham'!Q$97+'3.Thanh pham'!Q$136),0)</f>
        <v>3.3459139698600073</v>
      </c>
      <c r="W46" s="1017">
        <f>IFERROR((CPSX!U89+CPSX!U150)/('3.Thanh pham'!R$97+'3.Thanh pham'!R$136),0)</f>
        <v>3.3459139698600073</v>
      </c>
      <c r="X46" s="1017">
        <f>IFERROR((CPSX!V89+CPSX!V150)/('3.Thanh pham'!S$97+'3.Thanh pham'!S$136),0)</f>
        <v>3.3459139698600073</v>
      </c>
      <c r="Y46" s="1017">
        <f>IFERROR((CPSX!W89+CPSX!W150)/('3.Thanh pham'!T$97+'3.Thanh pham'!T$136),0)</f>
        <v>3.5132096683530074</v>
      </c>
      <c r="Z46" s="86"/>
    </row>
    <row r="47" spans="2:26" s="36" customFormat="1" ht="12.5" outlineLevel="1" x14ac:dyDescent="0.25">
      <c r="B47" s="575">
        <v>19</v>
      </c>
      <c r="C47" s="575"/>
      <c r="D47" s="981" t="s">
        <v>981</v>
      </c>
      <c r="E47" s="638" t="s">
        <v>982</v>
      </c>
      <c r="F47" s="638" t="s">
        <v>579</v>
      </c>
      <c r="G47" s="638" t="s">
        <v>1949</v>
      </c>
      <c r="H47" s="981" t="s">
        <v>518</v>
      </c>
      <c r="I47" s="606" t="s">
        <v>623</v>
      </c>
      <c r="J47" s="1254">
        <f>IFERROR((CPSX!AO90+CPSX!AO149)/('3.Thanh pham'!E$97+'3.Thanh pham'!E$136),0)</f>
        <v>1.0489306084512011</v>
      </c>
      <c r="K47" s="1254">
        <f>IFERROR((CPSX!AM90+CPSX!AM149)/('3.Thanh pham'!F$97+'3.Thanh pham'!F$136),0)</f>
        <v>0</v>
      </c>
      <c r="L47" s="1254">
        <f>IFERROR((CPSX!AK90+CPSX!AK149)/('3.Thanh pham'!G$97+'3.Thanh pham'!G$136),0)</f>
        <v>3.1133846932708895</v>
      </c>
      <c r="M47" s="1017">
        <f>IFERROR((CPSX!K90+CPSX!K151)/('3.Thanh pham'!H$97+'3.Thanh pham'!H$136),0)</f>
        <v>5.6211354693648117</v>
      </c>
      <c r="N47" s="1017">
        <f>IFERROR((CPSX!L90+CPSX!L151)/('3.Thanh pham'!I$97+'3.Thanh pham'!I$136),0)</f>
        <v>0</v>
      </c>
      <c r="O47" s="1017">
        <f>IFERROR((CPSX!M90+CPSX!M151)/('3.Thanh pham'!J$97+'3.Thanh pham'!J$136),0)</f>
        <v>0</v>
      </c>
      <c r="P47" s="1017">
        <f>IFERROR((CPSX!N90+CPSX!N151)/('3.Thanh pham'!K$97+'3.Thanh pham'!K$136),0)</f>
        <v>0</v>
      </c>
      <c r="Q47" s="1017">
        <f>IFERROR((CPSX!O90+CPSX!O151)/('3.Thanh pham'!L$97+'3.Thanh pham'!L$136),0)</f>
        <v>0</v>
      </c>
      <c r="R47" s="1017">
        <f>IFERROR((CPSX!P90+CPSX!P151)/('3.Thanh pham'!M$97+'3.Thanh pham'!M$136),0)</f>
        <v>4.8181161165984099</v>
      </c>
      <c r="S47" s="1017">
        <f>IFERROR((CPSX!Q90+CPSX!Q151)/('3.Thanh pham'!N$97+'3.Thanh pham'!N$136),0)</f>
        <v>0</v>
      </c>
      <c r="T47" s="1017">
        <f>IFERROR((CPSX!R90+CPSX!R151)/('3.Thanh pham'!O$97+'3.Thanh pham'!O$136),0)</f>
        <v>0</v>
      </c>
      <c r="U47" s="1017">
        <f>IFERROR((CPSX!S90+CPSX!S151)/('3.Thanh pham'!P$97+'3.Thanh pham'!P$136),0)</f>
        <v>0</v>
      </c>
      <c r="V47" s="1017">
        <f>IFERROR((CPSX!T90+CPSX!T151)/('3.Thanh pham'!Q$97+'3.Thanh pham'!Q$136),0)</f>
        <v>0</v>
      </c>
      <c r="W47" s="1017">
        <f>IFERROR((CPSX!U90+CPSX!U151)/('3.Thanh pham'!R$97+'3.Thanh pham'!R$136),0)</f>
        <v>0</v>
      </c>
      <c r="X47" s="1017">
        <f>IFERROR((CPSX!V90+CPSX!V151)/('3.Thanh pham'!S$97+'3.Thanh pham'!S$136),0)</f>
        <v>0</v>
      </c>
      <c r="Y47" s="1017">
        <f>IFERROR((CPSX!W90+CPSX!W151)/('3.Thanh pham'!T$97+'3.Thanh pham'!T$136),0)</f>
        <v>0.84317032040472173</v>
      </c>
      <c r="Z47" s="86"/>
    </row>
    <row r="48" spans="2:26" s="36" customFormat="1" ht="12.5" outlineLevel="1" x14ac:dyDescent="0.25">
      <c r="B48" s="575">
        <v>20</v>
      </c>
      <c r="C48" s="575"/>
      <c r="D48" s="981">
        <v>6273006501</v>
      </c>
      <c r="E48" s="638" t="s">
        <v>469</v>
      </c>
      <c r="F48" s="638" t="s">
        <v>579</v>
      </c>
      <c r="G48" s="638" t="s">
        <v>602</v>
      </c>
      <c r="H48" s="981" t="s">
        <v>518</v>
      </c>
      <c r="I48" s="661" t="s">
        <v>622</v>
      </c>
      <c r="J48" s="1254">
        <f>IFERROR((CPSX!AO91+CPSX!AO150)/('3.Thanh pham'!E$97+'3.Thanh pham'!E$136),0)</f>
        <v>83.469039473652785</v>
      </c>
      <c r="K48" s="1254">
        <f>IFERROR((CPSX!AM91+CPSX!AM150)/('3.Thanh pham'!F$97+'3.Thanh pham'!F$136),0)</f>
        <v>81.541117802539816</v>
      </c>
      <c r="L48" s="1254">
        <f>IFERROR((CPSX!AK91+CPSX!AK150)/('3.Thanh pham'!G$97+'3.Thanh pham'!G$136),0)</f>
        <v>163.26933413837199</v>
      </c>
      <c r="M48" s="1017">
        <f ca="1">IFERROR((CPSX!K91+CPSX!K152)/('3.Thanh pham'!H$97+'3.Thanh pham'!H$136),0)</f>
        <v>213.71057379301732</v>
      </c>
      <c r="N48" s="1017">
        <f ca="1">IFERROR((CPSX!L91+CPSX!L152)/('3.Thanh pham'!I$97+'3.Thanh pham'!I$136),0)</f>
        <v>282.84232173713906</v>
      </c>
      <c r="O48" s="1017">
        <f ca="1">IFERROR((CPSX!M91+CPSX!M152)/('3.Thanh pham'!J$97+'3.Thanh pham'!J$136),0)</f>
        <v>193.66240434701143</v>
      </c>
      <c r="P48" s="1017">
        <f ca="1">IFERROR((CPSX!N91+CPSX!N152)/('3.Thanh pham'!K$97+'3.Thanh pham'!K$136),0)</f>
        <v>185.16097748869083</v>
      </c>
      <c r="Q48" s="1017">
        <f ca="1">IFERROR((CPSX!O91+CPSX!O152)/('3.Thanh pham'!L$97+'3.Thanh pham'!L$136),0)</f>
        <v>175.57179849567709</v>
      </c>
      <c r="R48" s="1017">
        <f ca="1">IFERROR((CPSX!P91+CPSX!P152)/('3.Thanh pham'!M$97+'3.Thanh pham'!M$136),0)</f>
        <v>188.19489670494391</v>
      </c>
      <c r="S48" s="1017">
        <f ca="1">IFERROR((CPSX!Q91+CPSX!Q152)/('3.Thanh pham'!N$97+'3.Thanh pham'!N$136),0)</f>
        <v>178.9178039562087</v>
      </c>
      <c r="T48" s="1017">
        <f ca="1">IFERROR((CPSX!R91+CPSX!R152)/('3.Thanh pham'!O$97+'3.Thanh pham'!O$136),0)</f>
        <v>181.48486129179048</v>
      </c>
      <c r="U48" s="1017">
        <f ca="1">IFERROR((CPSX!S91+CPSX!S152)/('3.Thanh pham'!P$97+'3.Thanh pham'!P$136),0)</f>
        <v>175.69114965604007</v>
      </c>
      <c r="V48" s="1017">
        <f ca="1">IFERROR((CPSX!T91+CPSX!T152)/('3.Thanh pham'!Q$97+'3.Thanh pham'!Q$136),0)</f>
        <v>177.45630985840094</v>
      </c>
      <c r="W48" s="1017">
        <f ca="1">IFERROR((CPSX!U91+CPSX!U152)/('3.Thanh pham'!R$97+'3.Thanh pham'!R$136),0)</f>
        <v>174.70195235418507</v>
      </c>
      <c r="X48" s="1017">
        <f ca="1">IFERROR((CPSX!V91+CPSX!V152)/('3.Thanh pham'!S$97+'3.Thanh pham'!S$136),0)</f>
        <v>187.12794898150381</v>
      </c>
      <c r="Y48" s="1017">
        <f ca="1">IFERROR((CPSX!W91+CPSX!W152)/('3.Thanh pham'!T$97+'3.Thanh pham'!T$136),0)</f>
        <v>189.80016762928616</v>
      </c>
      <c r="Z48" s="86"/>
    </row>
    <row r="49" spans="2:28" s="36" customFormat="1" ht="12.5" outlineLevel="1" x14ac:dyDescent="0.25">
      <c r="B49" s="575">
        <v>21</v>
      </c>
      <c r="C49" s="575"/>
      <c r="D49" s="981" t="s">
        <v>1017</v>
      </c>
      <c r="E49" s="638" t="s">
        <v>1018</v>
      </c>
      <c r="F49" s="638" t="s">
        <v>1019</v>
      </c>
      <c r="G49" s="638" t="s">
        <v>1018</v>
      </c>
      <c r="H49" s="981" t="s">
        <v>513</v>
      </c>
      <c r="I49" s="606" t="s">
        <v>622</v>
      </c>
      <c r="J49" s="1254">
        <f>IFERROR((CPSX!AO92+CPSX!AO151)/('3.Thanh pham'!E$97+'3.Thanh pham'!E$136),0)</f>
        <v>0</v>
      </c>
      <c r="K49" s="1254">
        <f>IFERROR((CPSX!AM92+CPSX!AM151)/('3.Thanh pham'!F$97+'3.Thanh pham'!F$136),0)</f>
        <v>8.8225613207092324E-2</v>
      </c>
      <c r="L49" s="1254">
        <f>IFERROR((CPSX!AK92+CPSX!AK151)/('3.Thanh pham'!G$97+'3.Thanh pham'!G$136),0)</f>
        <v>1.8942763563605591</v>
      </c>
      <c r="M49" s="1017">
        <f ca="1">IFERROR((CPSX!K92+CPSX!K153)/('3.Thanh pham'!H$97+'3.Thanh pham'!H$136),0)</f>
        <v>1.8111129848229341</v>
      </c>
      <c r="N49" s="1017">
        <f ca="1">IFERROR((CPSX!L92+CPSX!L153)/('3.Thanh pham'!I$97+'3.Thanh pham'!I$136),0)</f>
        <v>2.4148173130972457</v>
      </c>
      <c r="O49" s="1017">
        <f ca="1">IFERROR((CPSX!M92+CPSX!M153)/('3.Thanh pham'!J$97+'3.Thanh pham'!J$136),0)</f>
        <v>1.6717966013750163</v>
      </c>
      <c r="P49" s="1017">
        <f ca="1">IFERROR((CPSX!N92+CPSX!N153)/('3.Thanh pham'!K$97+'3.Thanh pham'!K$136),0)</f>
        <v>1.552382558419658</v>
      </c>
      <c r="Q49" s="1017">
        <f ca="1">IFERROR((CPSX!O92+CPSX!O153)/('3.Thanh pham'!L$97+'3.Thanh pham'!L$136),0)</f>
        <v>1.552382558419658</v>
      </c>
      <c r="R49" s="1017">
        <f ca="1">IFERROR((CPSX!P92+CPSX!P153)/('3.Thanh pham'!M$97+'3.Thanh pham'!M$136),0)</f>
        <v>1.552382558419658</v>
      </c>
      <c r="S49" s="1017">
        <f ca="1">IFERROR((CPSX!Q92+CPSX!Q153)/('3.Thanh pham'!N$97+'3.Thanh pham'!N$136),0)</f>
        <v>1.552382558419658</v>
      </c>
      <c r="T49" s="1017">
        <f ca="1">IFERROR((CPSX!R92+CPSX!R153)/('3.Thanh pham'!O$97+'3.Thanh pham'!O$136),0)</f>
        <v>1.552382558419658</v>
      </c>
      <c r="U49" s="1017">
        <f ca="1">IFERROR((CPSX!S92+CPSX!S153)/('3.Thanh pham'!P$97+'3.Thanh pham'!P$136),0)</f>
        <v>1.552382558419658</v>
      </c>
      <c r="V49" s="1017">
        <f ca="1">IFERROR((CPSX!T92+CPSX!T153)/('3.Thanh pham'!Q$97+'3.Thanh pham'!Q$136),0)</f>
        <v>1.552382558419658</v>
      </c>
      <c r="W49" s="1017">
        <f ca="1">IFERROR((CPSX!U92+CPSX!U153)/('3.Thanh pham'!R$97+'3.Thanh pham'!R$136),0)</f>
        <v>1.552382558419658</v>
      </c>
      <c r="X49" s="1017">
        <f ca="1">IFERROR((CPSX!V92+CPSX!V153)/('3.Thanh pham'!S$97+'3.Thanh pham'!S$136),0)</f>
        <v>1.552382558419658</v>
      </c>
      <c r="Y49" s="1017">
        <f ca="1">IFERROR((CPSX!W92+CPSX!W153)/('3.Thanh pham'!T$97+'3.Thanh pham'!T$136),0)</f>
        <v>1.6300016863406408</v>
      </c>
      <c r="Z49" s="86"/>
    </row>
    <row r="50" spans="2:28" s="36" customFormat="1" ht="12.5" outlineLevel="1" x14ac:dyDescent="0.25">
      <c r="B50" s="575">
        <v>22</v>
      </c>
      <c r="C50" s="575"/>
      <c r="D50" s="981">
        <v>6277006501</v>
      </c>
      <c r="E50" s="638" t="s">
        <v>469</v>
      </c>
      <c r="F50" s="638" t="s">
        <v>579</v>
      </c>
      <c r="G50" s="638" t="s">
        <v>603</v>
      </c>
      <c r="H50" s="981" t="s">
        <v>518</v>
      </c>
      <c r="I50" s="661" t="s">
        <v>623</v>
      </c>
      <c r="J50" s="1254">
        <f>IFERROR((CPSX!AO93+CPSX!AO152)/('3.Thanh pham'!E$97+'3.Thanh pham'!E$136),0)</f>
        <v>0</v>
      </c>
      <c r="K50" s="1254">
        <f>IFERROR((CPSX!AM93+CPSX!AM152)/('3.Thanh pham'!F$97+'3.Thanh pham'!F$136),0)</f>
        <v>0</v>
      </c>
      <c r="L50" s="1254">
        <f>IFERROR((CPSX!AK93+CPSX!AK152)/('3.Thanh pham'!G$97+'3.Thanh pham'!G$136),0)</f>
        <v>0</v>
      </c>
      <c r="M50" s="1017">
        <f>IFERROR((CPSX!K93+CPSX!K154)/('3.Thanh pham'!H$97+'3.Thanh pham'!H$136),0)</f>
        <v>0</v>
      </c>
      <c r="N50" s="1017">
        <f>IFERROR((CPSX!L93+CPSX!L154)/('3.Thanh pham'!I$97+'3.Thanh pham'!I$136),0)</f>
        <v>0</v>
      </c>
      <c r="O50" s="1017">
        <f>IFERROR((CPSX!M93+CPSX!M154)/('3.Thanh pham'!J$97+'3.Thanh pham'!J$136),0)</f>
        <v>0</v>
      </c>
      <c r="P50" s="1017">
        <f>IFERROR((CPSX!N93+CPSX!N154)/('3.Thanh pham'!K$97+'3.Thanh pham'!K$136),0)</f>
        <v>0</v>
      </c>
      <c r="Q50" s="1017">
        <f>IFERROR((CPSX!O93+CPSX!O154)/('3.Thanh pham'!L$97+'3.Thanh pham'!L$136),0)</f>
        <v>0</v>
      </c>
      <c r="R50" s="1017">
        <f>IFERROR((CPSX!P93+CPSX!P154)/('3.Thanh pham'!M$97+'3.Thanh pham'!M$136),0)</f>
        <v>0</v>
      </c>
      <c r="S50" s="1017">
        <f>IFERROR((CPSX!Q93+CPSX!Q154)/('3.Thanh pham'!N$97+'3.Thanh pham'!N$136),0)</f>
        <v>0</v>
      </c>
      <c r="T50" s="1017">
        <f>IFERROR((CPSX!R93+CPSX!R154)/('3.Thanh pham'!O$97+'3.Thanh pham'!O$136),0)</f>
        <v>0</v>
      </c>
      <c r="U50" s="1017">
        <f>IFERROR((CPSX!S93+CPSX!S154)/('3.Thanh pham'!P$97+'3.Thanh pham'!P$136),0)</f>
        <v>0</v>
      </c>
      <c r="V50" s="1017">
        <f>IFERROR((CPSX!T93+CPSX!T154)/('3.Thanh pham'!Q$97+'3.Thanh pham'!Q$136),0)</f>
        <v>0</v>
      </c>
      <c r="W50" s="1017">
        <f>IFERROR((CPSX!U93+CPSX!U154)/('3.Thanh pham'!R$97+'3.Thanh pham'!R$136),0)</f>
        <v>0</v>
      </c>
      <c r="X50" s="1017">
        <f>IFERROR((CPSX!V93+CPSX!V154)/('3.Thanh pham'!S$97+'3.Thanh pham'!S$136),0)</f>
        <v>0</v>
      </c>
      <c r="Y50" s="1017">
        <f>IFERROR((CPSX!W93+CPSX!W154)/('3.Thanh pham'!T$97+'3.Thanh pham'!T$136),0)</f>
        <v>0</v>
      </c>
      <c r="Z50" s="86"/>
    </row>
    <row r="51" spans="2:28" s="36" customFormat="1" ht="12.5" outlineLevel="1" x14ac:dyDescent="0.25">
      <c r="B51" s="575">
        <v>23</v>
      </c>
      <c r="C51" s="575"/>
      <c r="D51" s="981">
        <v>6273002001</v>
      </c>
      <c r="E51" s="638" t="s">
        <v>606</v>
      </c>
      <c r="F51" s="638" t="s">
        <v>579</v>
      </c>
      <c r="G51" s="638" t="s">
        <v>447</v>
      </c>
      <c r="H51" s="981" t="s">
        <v>514</v>
      </c>
      <c r="I51" s="661" t="s">
        <v>622</v>
      </c>
      <c r="J51" s="1254">
        <f>IFERROR((CPSX!AO94+CPSX!AO153)/('3.Thanh pham'!E$97+'3.Thanh pham'!E$136),0)</f>
        <v>0.24793453051030465</v>
      </c>
      <c r="K51" s="1254">
        <f>IFERROR((CPSX!AM94+CPSX!AM153)/('3.Thanh pham'!F$97+'3.Thanh pham'!F$136),0)</f>
        <v>2.3624221718962279</v>
      </c>
      <c r="L51" s="1254">
        <f>IFERROR((CPSX!AK94+CPSX!AK153)/('3.Thanh pham'!G$97+'3.Thanh pham'!G$136),0)</f>
        <v>5.8721932644993613</v>
      </c>
      <c r="M51" s="1017">
        <f ca="1">IFERROR((CPSX!K94+CPSX!K155)/('3.Thanh pham'!H$97+'3.Thanh pham'!H$136),0)</f>
        <v>12.293632086274021</v>
      </c>
      <c r="N51" s="1017">
        <f ca="1">IFERROR((CPSX!L94+CPSX!L155)/('3.Thanh pham'!I$97+'3.Thanh pham'!I$136),0)</f>
        <v>16.3915044518005</v>
      </c>
      <c r="O51" s="1017">
        <f ca="1">IFERROR((CPSX!M94+CPSX!M155)/('3.Thanh pham'!J$97+'3.Thanh pham'!J$136),0)</f>
        <v>8.9842079724035884</v>
      </c>
      <c r="P51" s="1017">
        <f ca="1">IFERROR((CPSX!N94+CPSX!N155)/('3.Thanh pham'!K$97+'3.Thanh pham'!K$136),0)</f>
        <v>8.342478831517619</v>
      </c>
      <c r="Q51" s="1017">
        <f ca="1">IFERROR((CPSX!O94+CPSX!O155)/('3.Thanh pham'!L$97+'3.Thanh pham'!L$136),0)</f>
        <v>8.342478831517619</v>
      </c>
      <c r="R51" s="1017">
        <f ca="1">IFERROR((CPSX!P94+CPSX!P155)/('3.Thanh pham'!M$97+'3.Thanh pham'!M$136),0)</f>
        <v>8.342478831517619</v>
      </c>
      <c r="S51" s="1017">
        <f ca="1">IFERROR((CPSX!Q94+CPSX!Q155)/('3.Thanh pham'!N$97+'3.Thanh pham'!N$136),0)</f>
        <v>8.342478831517619</v>
      </c>
      <c r="T51" s="1017">
        <f ca="1">IFERROR((CPSX!R94+CPSX!R155)/('3.Thanh pham'!O$97+'3.Thanh pham'!O$136),0)</f>
        <v>8.342478831517619</v>
      </c>
      <c r="U51" s="1017">
        <f ca="1">IFERROR((CPSX!S94+CPSX!S155)/('3.Thanh pham'!P$97+'3.Thanh pham'!P$136),0)</f>
        <v>8.342478831517619</v>
      </c>
      <c r="V51" s="1017">
        <f ca="1">IFERROR((CPSX!T94+CPSX!T155)/('3.Thanh pham'!Q$97+'3.Thanh pham'!Q$136),0)</f>
        <v>8.342478831517619</v>
      </c>
      <c r="W51" s="1017">
        <f ca="1">IFERROR((CPSX!U94+CPSX!U155)/('3.Thanh pham'!R$97+'3.Thanh pham'!R$136),0)</f>
        <v>8.342478831517619</v>
      </c>
      <c r="X51" s="1017">
        <f ca="1">IFERROR((CPSX!V94+CPSX!V155)/('3.Thanh pham'!S$97+'3.Thanh pham'!S$136),0)</f>
        <v>8.342478831517619</v>
      </c>
      <c r="Y51" s="1017">
        <f ca="1">IFERROR((CPSX!W94+CPSX!W155)/('3.Thanh pham'!T$97+'3.Thanh pham'!T$136),0)</f>
        <v>9.1437135094622484</v>
      </c>
      <c r="Z51" s="86"/>
    </row>
    <row r="52" spans="2:28" s="36" customFormat="1" ht="12.5" outlineLevel="1" x14ac:dyDescent="0.25">
      <c r="B52" s="575">
        <v>24</v>
      </c>
      <c r="C52" s="575"/>
      <c r="D52" s="981">
        <v>6277002204</v>
      </c>
      <c r="E52" s="638" t="s">
        <v>605</v>
      </c>
      <c r="F52" s="638" t="s">
        <v>579</v>
      </c>
      <c r="G52" s="638" t="s">
        <v>604</v>
      </c>
      <c r="H52" s="981" t="s">
        <v>517</v>
      </c>
      <c r="I52" s="661" t="s">
        <v>622</v>
      </c>
      <c r="J52" s="1254">
        <f>IFERROR((CPSX!AO95+CPSX!AO154)/('3.Thanh pham'!E$97+'3.Thanh pham'!E$136),0)</f>
        <v>0.14152352373053179</v>
      </c>
      <c r="K52" s="1254">
        <f>IFERROR((CPSX!AM95+CPSX!AM154)/('3.Thanh pham'!F$97+'3.Thanh pham'!F$136),0)</f>
        <v>4.9254977264232549</v>
      </c>
      <c r="L52" s="1254">
        <f>IFERROR((CPSX!AK95+CPSX!AK154)/('3.Thanh pham'!G$97+'3.Thanh pham'!G$136),0)</f>
        <v>6.9574769912057848</v>
      </c>
      <c r="M52" s="1017">
        <f ca="1">IFERROR((CPSX!K95+CPSX!K156)/('3.Thanh pham'!H$97+'3.Thanh pham'!H$136),0)</f>
        <v>6.4846824058459811</v>
      </c>
      <c r="N52" s="1017">
        <f ca="1">IFERROR((CPSX!L95+CPSX!L156)/('3.Thanh pham'!I$97+'3.Thanh pham'!I$136),0)</f>
        <v>5.6857785272625074</v>
      </c>
      <c r="O52" s="1017">
        <f ca="1">IFERROR((CPSX!M95+CPSX!M156)/('3.Thanh pham'!J$97+'3.Thanh pham'!J$136),0)</f>
        <v>3.9363082111817356</v>
      </c>
      <c r="P52" s="1017">
        <f ca="1">IFERROR((CPSX!N95+CPSX!N156)/('3.Thanh pham'!K$97+'3.Thanh pham'!K$136),0)</f>
        <v>3.6551433389544687</v>
      </c>
      <c r="Q52" s="1017">
        <f ca="1">IFERROR((CPSX!O95+CPSX!O156)/('3.Thanh pham'!L$97+'3.Thanh pham'!L$136),0)</f>
        <v>3.6551433389544687</v>
      </c>
      <c r="R52" s="1017">
        <f ca="1">IFERROR((CPSX!P95+CPSX!P156)/('3.Thanh pham'!M$97+'3.Thanh pham'!M$136),0)</f>
        <v>3.6551433389544687</v>
      </c>
      <c r="S52" s="1017">
        <f ca="1">IFERROR((CPSX!Q95+CPSX!Q156)/('3.Thanh pham'!N$97+'3.Thanh pham'!N$136),0)</f>
        <v>3.6551433389544687</v>
      </c>
      <c r="T52" s="1017">
        <f ca="1">IFERROR((CPSX!R95+CPSX!R156)/('3.Thanh pham'!O$97+'3.Thanh pham'!O$136),0)</f>
        <v>3.6551433389544687</v>
      </c>
      <c r="U52" s="1017">
        <f ca="1">IFERROR((CPSX!S95+CPSX!S156)/('3.Thanh pham'!P$97+'3.Thanh pham'!P$136),0)</f>
        <v>3.6551433389544687</v>
      </c>
      <c r="V52" s="1017">
        <f ca="1">IFERROR((CPSX!T95+CPSX!T156)/('3.Thanh pham'!Q$97+'3.Thanh pham'!Q$136),0)</f>
        <v>3.6551433389544687</v>
      </c>
      <c r="W52" s="1017">
        <f ca="1">IFERROR((CPSX!U95+CPSX!U156)/('3.Thanh pham'!R$97+'3.Thanh pham'!R$136),0)</f>
        <v>3.6551433389544687</v>
      </c>
      <c r="X52" s="1017">
        <f ca="1">IFERROR((CPSX!V95+CPSX!V156)/('3.Thanh pham'!S$97+'3.Thanh pham'!S$136),0)</f>
        <v>3.6551433389544687</v>
      </c>
      <c r="Y52" s="1017">
        <f ca="1">IFERROR((CPSX!W95+CPSX!W156)/('3.Thanh pham'!T$97+'3.Thanh pham'!T$136),0)</f>
        <v>4.004426644182125</v>
      </c>
      <c r="Z52" s="86"/>
    </row>
    <row r="53" spans="2:28" s="36" customFormat="1" ht="12.5" outlineLevel="1" x14ac:dyDescent="0.25">
      <c r="B53" s="575">
        <v>25</v>
      </c>
      <c r="C53" s="575"/>
      <c r="D53" s="981">
        <v>6277002301</v>
      </c>
      <c r="E53" s="638" t="s">
        <v>485</v>
      </c>
      <c r="F53" s="638" t="s">
        <v>577</v>
      </c>
      <c r="G53" s="638" t="s">
        <v>485</v>
      </c>
      <c r="H53" s="981" t="s">
        <v>522</v>
      </c>
      <c r="I53" s="661" t="s">
        <v>622</v>
      </c>
      <c r="J53" s="1254">
        <f>IFERROR((CPSX!AO96+CPSX!AO155)/('3.Thanh pham'!E$97+'3.Thanh pham'!E$136),0)</f>
        <v>3.2724843508152328</v>
      </c>
      <c r="K53" s="1254">
        <f>IFERROR((CPSX!AM96+CPSX!AM155)/('3.Thanh pham'!F$97+'3.Thanh pham'!F$136),0)</f>
        <v>2.9974583956620058</v>
      </c>
      <c r="L53" s="1254">
        <f>IFERROR((CPSX!AK96+CPSX!AK155)/('3.Thanh pham'!G$97+'3.Thanh pham'!G$136),0)</f>
        <v>2.6186410467925714</v>
      </c>
      <c r="M53" s="1017">
        <f ca="1">IFERROR((CPSX!K96+CPSX!K157)/('3.Thanh pham'!H$97+'3.Thanh pham'!H$136),0)</f>
        <v>2.9710840984323275</v>
      </c>
      <c r="N53" s="1017">
        <f ca="1">IFERROR((CPSX!L96+CPSX!L157)/('3.Thanh pham'!I$97+'3.Thanh pham'!I$136),0)</f>
        <v>3.9614454645764368</v>
      </c>
      <c r="O53" s="1017">
        <f ca="1">IFERROR((CPSX!M96+CPSX!M157)/('3.Thanh pham'!J$97+'3.Thanh pham'!J$136),0)</f>
        <v>2.7425391677836872</v>
      </c>
      <c r="P53" s="1017">
        <f ca="1">IFERROR((CPSX!N96+CPSX!N157)/('3.Thanh pham'!K$97+'3.Thanh pham'!K$136),0)</f>
        <v>2.5466435129419951</v>
      </c>
      <c r="Q53" s="1017">
        <f ca="1">IFERROR((CPSX!O96+CPSX!O157)/('3.Thanh pham'!L$97+'3.Thanh pham'!L$136),0)</f>
        <v>2.5466435129419951</v>
      </c>
      <c r="R53" s="1017">
        <f ca="1">IFERROR((CPSX!P96+CPSX!P157)/('3.Thanh pham'!M$97+'3.Thanh pham'!M$136),0)</f>
        <v>2.5466435129419951</v>
      </c>
      <c r="S53" s="1017">
        <f ca="1">IFERROR((CPSX!Q96+CPSX!Q157)/('3.Thanh pham'!N$97+'3.Thanh pham'!N$136),0)</f>
        <v>2.5466435129419951</v>
      </c>
      <c r="T53" s="1017">
        <f ca="1">IFERROR((CPSX!R96+CPSX!R157)/('3.Thanh pham'!O$97+'3.Thanh pham'!O$136),0)</f>
        <v>2.5466435129419951</v>
      </c>
      <c r="U53" s="1017">
        <f ca="1">IFERROR((CPSX!S96+CPSX!S157)/('3.Thanh pham'!P$97+'3.Thanh pham'!P$136),0)</f>
        <v>2.5466435129419951</v>
      </c>
      <c r="V53" s="1017">
        <f ca="1">IFERROR((CPSX!T96+CPSX!T157)/('3.Thanh pham'!Q$97+'3.Thanh pham'!Q$136),0)</f>
        <v>2.5466435129419951</v>
      </c>
      <c r="W53" s="1017">
        <f ca="1">IFERROR((CPSX!U96+CPSX!U157)/('3.Thanh pham'!R$97+'3.Thanh pham'!R$136),0)</f>
        <v>2.5466435129419951</v>
      </c>
      <c r="X53" s="1017">
        <f ca="1">IFERROR((CPSX!V96+CPSX!V157)/('3.Thanh pham'!S$97+'3.Thanh pham'!S$136),0)</f>
        <v>2.5466435129419951</v>
      </c>
      <c r="Y53" s="1017">
        <f ca="1">IFERROR((CPSX!W96+CPSX!W157)/('3.Thanh pham'!T$97+'3.Thanh pham'!T$136),0)</f>
        <v>2.6739756885890951</v>
      </c>
      <c r="Z53" s="86"/>
    </row>
    <row r="54" spans="2:28" s="36" customFormat="1" ht="12.5" outlineLevel="1" x14ac:dyDescent="0.25">
      <c r="B54" s="575">
        <v>26</v>
      </c>
      <c r="C54" s="575"/>
      <c r="D54" s="981" t="s">
        <v>1070</v>
      </c>
      <c r="E54" s="638" t="s">
        <v>1071</v>
      </c>
      <c r="F54" s="638" t="s">
        <v>594</v>
      </c>
      <c r="G54" s="638" t="s">
        <v>1950</v>
      </c>
      <c r="H54" s="981" t="s">
        <v>518</v>
      </c>
      <c r="I54" s="606" t="s">
        <v>622</v>
      </c>
      <c r="J54" s="1254">
        <f>IFERROR((CPSX!AO97+CPSX!AO156)/('3.Thanh pham'!E$97+'3.Thanh pham'!E$136),0)</f>
        <v>0</v>
      </c>
      <c r="K54" s="1254">
        <f>IFERROR((CPSX!AM97+CPSX!AM156)/('3.Thanh pham'!F$97+'3.Thanh pham'!F$136),0)</f>
        <v>0</v>
      </c>
      <c r="L54" s="1254">
        <f>IFERROR((CPSX!AK97+CPSX!AK156)/('3.Thanh pham'!G$97+'3.Thanh pham'!G$136),0)</f>
        <v>1.1246452894317251</v>
      </c>
      <c r="M54" s="1017">
        <f ca="1">IFERROR((CPSX!K97+CPSX!K158)/('3.Thanh pham'!H$97+'3.Thanh pham'!H$136),0)</f>
        <v>5.1527075135844109</v>
      </c>
      <c r="N54" s="1017">
        <f ca="1">IFERROR((CPSX!L97+CPSX!L158)/('3.Thanh pham'!I$97+'3.Thanh pham'!I$136),0)</f>
        <v>3.1228530385360065</v>
      </c>
      <c r="O54" s="1017">
        <f ca="1">IFERROR((CPSX!M97+CPSX!M158)/('3.Thanh pham'!J$97+'3.Thanh pham'!J$136),0)</f>
        <v>2.1619751805249274</v>
      </c>
      <c r="P54" s="1017">
        <f ca="1">IFERROR((CPSX!N97+CPSX!N158)/('3.Thanh pham'!K$97+'3.Thanh pham'!K$136),0)</f>
        <v>2.007548381916004</v>
      </c>
      <c r="Q54" s="1017">
        <f ca="1">IFERROR((CPSX!O97+CPSX!O158)/('3.Thanh pham'!L$97+'3.Thanh pham'!L$136),0)</f>
        <v>2.007548381916004</v>
      </c>
      <c r="R54" s="1017">
        <f ca="1">IFERROR((CPSX!P97+CPSX!P158)/('3.Thanh pham'!M$97+'3.Thanh pham'!M$136),0)</f>
        <v>4.416606440215209</v>
      </c>
      <c r="S54" s="1017">
        <f ca="1">IFERROR((CPSX!Q97+CPSX!Q158)/('3.Thanh pham'!N$97+'3.Thanh pham'!N$136),0)</f>
        <v>2.007548381916004</v>
      </c>
      <c r="T54" s="1017">
        <f ca="1">IFERROR((CPSX!R97+CPSX!R158)/('3.Thanh pham'!O$97+'3.Thanh pham'!O$136),0)</f>
        <v>2.007548381916004</v>
      </c>
      <c r="U54" s="1017">
        <f ca="1">IFERROR((CPSX!S97+CPSX!S158)/('3.Thanh pham'!P$97+'3.Thanh pham'!P$136),0)</f>
        <v>2.007548381916004</v>
      </c>
      <c r="V54" s="1017">
        <f ca="1">IFERROR((CPSX!T97+CPSX!T158)/('3.Thanh pham'!Q$97+'3.Thanh pham'!Q$136),0)</f>
        <v>2.007548381916004</v>
      </c>
      <c r="W54" s="1017">
        <f ca="1">IFERROR((CPSX!U97+CPSX!U158)/('3.Thanh pham'!R$97+'3.Thanh pham'!R$136),0)</f>
        <v>2.007548381916004</v>
      </c>
      <c r="X54" s="1017">
        <f ca="1">IFERROR((CPSX!V97+CPSX!V158)/('3.Thanh pham'!S$97+'3.Thanh pham'!S$136),0)</f>
        <v>4.416606440215209</v>
      </c>
      <c r="Y54" s="1017">
        <f ca="1">IFERROR((CPSX!W97+CPSX!W158)/('3.Thanh pham'!T$97+'3.Thanh pham'!T$136),0)</f>
        <v>2.7403035413153458</v>
      </c>
      <c r="Z54" s="86"/>
    </row>
    <row r="55" spans="2:28" s="37" customFormat="1" ht="13" x14ac:dyDescent="0.25">
      <c r="B55" s="575">
        <v>27</v>
      </c>
      <c r="C55" s="575"/>
      <c r="D55" s="981">
        <v>6273001908</v>
      </c>
      <c r="E55" s="638" t="s">
        <v>435</v>
      </c>
      <c r="F55" s="638" t="s">
        <v>580</v>
      </c>
      <c r="G55" s="638" t="s">
        <v>1952</v>
      </c>
      <c r="H55" s="981" t="s">
        <v>522</v>
      </c>
      <c r="I55" s="661" t="s">
        <v>622</v>
      </c>
      <c r="J55" s="1254">
        <f>IFERROR((CPSX!AO98+CPSX!AO157)/('3.Thanh pham'!E$97+'3.Thanh pham'!E$136),0)</f>
        <v>19.295406739049461</v>
      </c>
      <c r="K55" s="1254">
        <f>IFERROR((CPSX!AM98+CPSX!AM157)/('3.Thanh pham'!F$97+'3.Thanh pham'!F$136),0)</f>
        <v>13.720862826583041</v>
      </c>
      <c r="L55" s="1254">
        <f>IFERROR((CPSX!AK98+CPSX!AK157)/('3.Thanh pham'!G$97+'3.Thanh pham'!G$136),0)</f>
        <v>16.803597910681695</v>
      </c>
      <c r="M55" s="1017">
        <f ca="1">IFERROR((CPSX!K98+CPSX!K159)/('3.Thanh pham'!H$97+'3.Thanh pham'!H$136),0)</f>
        <v>16.089258634688651</v>
      </c>
      <c r="N55" s="1017">
        <f ca="1">IFERROR((CPSX!L98+CPSX!L159)/('3.Thanh pham'!I$97+'3.Thanh pham'!I$136),0)</f>
        <v>21.452344846251538</v>
      </c>
      <c r="O55" s="1017">
        <f ca="1">IFERROR((CPSX!M98+CPSX!M159)/('3.Thanh pham'!J$97+'3.Thanh pham'!J$136),0)</f>
        <v>14.851623355097217</v>
      </c>
      <c r="P55" s="1017">
        <f ca="1">IFERROR((CPSX!N98+CPSX!N159)/('3.Thanh pham'!K$97+'3.Thanh pham'!K$136),0)</f>
        <v>13.790793115447416</v>
      </c>
      <c r="Q55" s="1017">
        <f ca="1">IFERROR((CPSX!O98+CPSX!O159)/('3.Thanh pham'!L$97+'3.Thanh pham'!L$136),0)</f>
        <v>13.790793115447416</v>
      </c>
      <c r="R55" s="1017">
        <f ca="1">IFERROR((CPSX!P98+CPSX!P159)/('3.Thanh pham'!M$97+'3.Thanh pham'!M$136),0)</f>
        <v>13.228685992665758</v>
      </c>
      <c r="S55" s="1017">
        <f ca="1">IFERROR((CPSX!Q98+CPSX!Q159)/('3.Thanh pham'!N$97+'3.Thanh pham'!N$136),0)</f>
        <v>11.3876244010814</v>
      </c>
      <c r="T55" s="1017">
        <f ca="1">IFERROR((CPSX!R98+CPSX!R159)/('3.Thanh pham'!O$97+'3.Thanh pham'!O$136),0)</f>
        <v>10.745411279745177</v>
      </c>
      <c r="U55" s="1017">
        <f ca="1">IFERROR((CPSX!S98+CPSX!S159)/('3.Thanh pham'!P$97+'3.Thanh pham'!P$136),0)</f>
        <v>10.216553976284162</v>
      </c>
      <c r="V55" s="1017">
        <f ca="1">IFERROR((CPSX!T98+CPSX!T159)/('3.Thanh pham'!Q$97+'3.Thanh pham'!Q$136),0)</f>
        <v>10.216553976284162</v>
      </c>
      <c r="W55" s="1017">
        <f ca="1">IFERROR((CPSX!U98+CPSX!U159)/('3.Thanh pham'!R$97+'3.Thanh pham'!R$136),0)</f>
        <v>10.216553976284162</v>
      </c>
      <c r="X55" s="1017">
        <f ca="1">IFERROR((CPSX!V98+CPSX!V159)/('3.Thanh pham'!S$97+'3.Thanh pham'!S$136),0)</f>
        <v>10.216553976284162</v>
      </c>
      <c r="Y55" s="1017">
        <f ca="1">IFERROR((CPSX!W98+CPSX!W159)/('3.Thanh pham'!T$97+'3.Thanh pham'!T$136),0)</f>
        <v>12.70341652613828</v>
      </c>
      <c r="Z55" s="86"/>
    </row>
    <row r="56" spans="2:28" s="36" customFormat="1" ht="12.5" x14ac:dyDescent="0.25">
      <c r="B56" s="575">
        <v>28</v>
      </c>
      <c r="C56" s="575"/>
      <c r="D56" s="576"/>
      <c r="E56" s="577" t="s">
        <v>468</v>
      </c>
      <c r="F56" s="577" t="s">
        <v>617</v>
      </c>
      <c r="G56" s="577" t="s">
        <v>468</v>
      </c>
      <c r="H56" s="576" t="s">
        <v>522</v>
      </c>
      <c r="I56" s="661" t="s">
        <v>624</v>
      </c>
      <c r="J56" s="1254">
        <f>IFERROR((CPSX!AO99+CPSX!AO158)/('3.Thanh pham'!E$97+'3.Thanh pham'!E$136),0)</f>
        <v>183.34518799233049</v>
      </c>
      <c r="K56" s="1254">
        <f>IFERROR((CPSX!AM99+CPSX!AM158)/('3.Thanh pham'!F$97+'3.Thanh pham'!F$136),0)</f>
        <v>282.33813298842756</v>
      </c>
      <c r="L56" s="1254">
        <f>IFERROR((CPSX!AK99+CPSX!AK158)/('3.Thanh pham'!G$97+'3.Thanh pham'!G$136),0)</f>
        <v>325.20988832085266</v>
      </c>
      <c r="M56" s="585">
        <f ca="1">IFERROR((CPSX!K99+CPSX!K160)/('3.Thanh pham'!H$97+'3.Thanh pham'!H$136),0)</f>
        <v>152.38435406387273</v>
      </c>
      <c r="N56" s="585">
        <f ca="1">IFERROR((CPSX!L99+CPSX!L160)/('3.Thanh pham'!I$97+'3.Thanh pham'!I$136),0)</f>
        <v>203.17913875183032</v>
      </c>
      <c r="O56" s="585">
        <f ca="1">IFERROR((CPSX!M99+CPSX!M160)/('3.Thanh pham'!J$97+'3.Thanh pham'!J$136),0)</f>
        <v>140.66248067434407</v>
      </c>
      <c r="P56" s="585">
        <f ca="1">IFERROR((CPSX!N99+CPSX!N160)/('3.Thanh pham'!K$97+'3.Thanh pham'!K$136),0)</f>
        <v>130.61516062617665</v>
      </c>
      <c r="Q56" s="585">
        <f ca="1">IFERROR((CPSX!O99+CPSX!O160)/('3.Thanh pham'!L$97+'3.Thanh pham'!L$136),0)</f>
        <v>130.61516062617665</v>
      </c>
      <c r="R56" s="585">
        <f ca="1">IFERROR((CPSX!P99+CPSX!P160)/('3.Thanh pham'!M$97+'3.Thanh pham'!M$136),0)</f>
        <v>130.61516062617665</v>
      </c>
      <c r="S56" s="585">
        <f ca="1">IFERROR((CPSX!Q99+CPSX!Q160)/('3.Thanh pham'!N$97+'3.Thanh pham'!N$136),0)</f>
        <v>130.61516062617665</v>
      </c>
      <c r="T56" s="585">
        <f ca="1">IFERROR((CPSX!R99+CPSX!R160)/('3.Thanh pham'!O$97+'3.Thanh pham'!O$136),0)</f>
        <v>130.61516062617665</v>
      </c>
      <c r="U56" s="585">
        <f ca="1">IFERROR((CPSX!S99+CPSX!S160)/('3.Thanh pham'!P$97+'3.Thanh pham'!P$136),0)</f>
        <v>130.61516062617665</v>
      </c>
      <c r="V56" s="585">
        <f ca="1">IFERROR((CPSX!T99+CPSX!T160)/('3.Thanh pham'!Q$97+'3.Thanh pham'!Q$136),0)</f>
        <v>130.61516062617665</v>
      </c>
      <c r="W56" s="585">
        <f ca="1">IFERROR((CPSX!U99+CPSX!U160)/('3.Thanh pham'!R$97+'3.Thanh pham'!R$136),0)</f>
        <v>130.61516062617665</v>
      </c>
      <c r="X56" s="585">
        <f ca="1">IFERROR((CPSX!V99+CPSX!V160)/('3.Thanh pham'!S$97+'3.Thanh pham'!S$136),0)</f>
        <v>130.61516062617665</v>
      </c>
      <c r="Y56" s="585">
        <f ca="1">IFERROR((CPSX!W99+CPSX!W160)/('3.Thanh pham'!T$97+'3.Thanh pham'!T$136),0)</f>
        <v>137.14591865748545</v>
      </c>
      <c r="Z56" s="86"/>
      <c r="AB56" s="372"/>
    </row>
    <row r="57" spans="2:28" s="36" customFormat="1" ht="12.5" outlineLevel="1" x14ac:dyDescent="0.25">
      <c r="B57" s="580"/>
      <c r="C57" s="580"/>
      <c r="D57" s="581"/>
      <c r="E57" s="582"/>
      <c r="F57" s="582"/>
      <c r="G57" s="582"/>
      <c r="H57" s="581"/>
      <c r="I57" s="662"/>
      <c r="J57" s="1017"/>
      <c r="K57" s="1017"/>
      <c r="L57" s="1017"/>
      <c r="M57" s="585"/>
      <c r="N57" s="585"/>
      <c r="O57" s="585"/>
      <c r="P57" s="585"/>
      <c r="Q57" s="585"/>
      <c r="R57" s="585"/>
      <c r="S57" s="585"/>
      <c r="T57" s="585"/>
      <c r="U57" s="585"/>
      <c r="V57" s="585"/>
      <c r="W57" s="585"/>
      <c r="X57" s="585"/>
      <c r="Y57" s="585"/>
      <c r="Z57" s="86"/>
    </row>
    <row r="58" spans="2:28" s="36" customFormat="1" ht="13" outlineLevel="1" x14ac:dyDescent="0.35">
      <c r="B58" s="389"/>
      <c r="C58" s="389"/>
      <c r="D58" s="388"/>
      <c r="E58" s="650" t="s">
        <v>1610</v>
      </c>
      <c r="F58" s="651"/>
      <c r="G58" s="652"/>
      <c r="H58" s="652"/>
      <c r="I58" s="653"/>
      <c r="J58" s="659">
        <f>J6+J28</f>
        <v>1749.9062511028881</v>
      </c>
      <c r="K58" s="659">
        <f>K6+K28</f>
        <v>1919.4048441166228</v>
      </c>
      <c r="L58" s="659">
        <f>L6+L28</f>
        <v>2135.157435981811</v>
      </c>
      <c r="M58" s="659">
        <f ca="1">M6+M28</f>
        <v>2231.2211972166997</v>
      </c>
      <c r="N58" s="659">
        <f t="shared" ref="N58:Y58" ca="1" si="2">N6+N28</f>
        <v>2909.9295849397231</v>
      </c>
      <c r="O58" s="659">
        <f t="shared" ca="1" si="2"/>
        <v>2020.6249829241215</v>
      </c>
      <c r="P58" s="659">
        <f t="shared" ca="1" si="2"/>
        <v>1971.8649725363452</v>
      </c>
      <c r="Q58" s="659">
        <f t="shared" ca="1" si="2"/>
        <v>1901.5433475463831</v>
      </c>
      <c r="R58" s="659">
        <f t="shared" ca="1" si="2"/>
        <v>1976.3911806254273</v>
      </c>
      <c r="S58" s="659">
        <f t="shared" ca="1" si="2"/>
        <v>1995.5190652583135</v>
      </c>
      <c r="T58" s="659">
        <f t="shared" ca="1" si="2"/>
        <v>2023.6771710694968</v>
      </c>
      <c r="U58" s="659">
        <f t="shared" ca="1" si="2"/>
        <v>2006.8653596452082</v>
      </c>
      <c r="V58" s="659">
        <f t="shared" ca="1" si="2"/>
        <v>1908.8534594337464</v>
      </c>
      <c r="W58" s="659">
        <f t="shared" ca="1" si="2"/>
        <v>1939.9358753977713</v>
      </c>
      <c r="X58" s="659">
        <f t="shared" ca="1" si="2"/>
        <v>1935.6948994080499</v>
      </c>
      <c r="Y58" s="659">
        <f t="shared" ca="1" si="2"/>
        <v>2040.4811252622617</v>
      </c>
      <c r="Z58" s="1398">
        <f ca="1">Y58/$Y$127</f>
        <v>0.67665030668938386</v>
      </c>
    </row>
    <row r="59" spans="2:28" s="36" customFormat="1" ht="13" outlineLevel="1" x14ac:dyDescent="0.35">
      <c r="B59" s="138" t="s">
        <v>538</v>
      </c>
      <c r="C59" s="138"/>
      <c r="D59" s="138"/>
      <c r="E59" s="138"/>
      <c r="F59" s="138"/>
      <c r="G59" s="138"/>
      <c r="J59" s="587"/>
      <c r="K59" s="587"/>
      <c r="L59" s="587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592"/>
      <c r="Z59" s="86"/>
    </row>
    <row r="60" spans="2:28" s="36" customFormat="1" ht="12.5" outlineLevel="1" x14ac:dyDescent="0.35">
      <c r="B60" s="570">
        <v>1</v>
      </c>
      <c r="C60" s="570"/>
      <c r="D60" s="572" t="s">
        <v>583</v>
      </c>
      <c r="E60" s="571" t="s">
        <v>581</v>
      </c>
      <c r="F60" s="572" t="s">
        <v>582</v>
      </c>
      <c r="G60" s="584" t="s">
        <v>1643</v>
      </c>
      <c r="H60" s="584" t="s">
        <v>517</v>
      </c>
      <c r="I60" s="585" t="s">
        <v>621</v>
      </c>
      <c r="J60" s="1017">
        <f>IFERROR(CPBH!AO$5/'3.Thanh pham'!E$97,0)</f>
        <v>261.57068184530044</v>
      </c>
      <c r="K60" s="1017">
        <f>IFERROR(CPBH!AM$5/'3.Thanh pham'!F$97,0)</f>
        <v>264.36097318857878</v>
      </c>
      <c r="L60" s="1017">
        <f>IFERROR(CPBH!AK$5/'3.Thanh pham'!G$97,0)</f>
        <v>224.35334660723123</v>
      </c>
      <c r="M60" s="585">
        <f>IFERROR(CPBH!K$5/'3.Thanh pham'!H$97,0)</f>
        <v>214.28571428571428</v>
      </c>
      <c r="N60" s="585">
        <f>IFERROR(CPBH!L$5/'3.Thanh pham'!I$97,0)</f>
        <v>214.28571428571428</v>
      </c>
      <c r="O60" s="585">
        <f>IFERROR(CPBH!M$5/'3.Thanh pham'!J$97,0)</f>
        <v>214.28571428571428</v>
      </c>
      <c r="P60" s="585">
        <f>IFERROR(CPBH!N$5/'3.Thanh pham'!K$97,0)</f>
        <v>214.28571428571428</v>
      </c>
      <c r="Q60" s="585">
        <f>IFERROR(CPBH!O$5/'3.Thanh pham'!L$97,0)</f>
        <v>214.28571428571428</v>
      </c>
      <c r="R60" s="585">
        <f>IFERROR(CPBH!P$5/'3.Thanh pham'!M$97,0)</f>
        <v>214.28571428571428</v>
      </c>
      <c r="S60" s="585">
        <f>IFERROR(CPBH!Q$5/'3.Thanh pham'!N$97,0)</f>
        <v>214.28571428571428</v>
      </c>
      <c r="T60" s="585">
        <f>IFERROR(CPBH!R$5/'3.Thanh pham'!O$97,0)</f>
        <v>214.28571428571428</v>
      </c>
      <c r="U60" s="585">
        <f>IFERROR(CPBH!S$5/'3.Thanh pham'!P$97,0)</f>
        <v>214.28571428571428</v>
      </c>
      <c r="V60" s="585">
        <f>IFERROR(CPBH!T$5/'3.Thanh pham'!Q$97,0)</f>
        <v>214.28571428571428</v>
      </c>
      <c r="W60" s="585">
        <f>IFERROR(CPBH!U$5/'3.Thanh pham'!R$97,0)</f>
        <v>214.28571428571428</v>
      </c>
      <c r="X60" s="585">
        <f>IFERROR(CPBH!V$5/'3.Thanh pham'!S$97,0)</f>
        <v>214.28571428571428</v>
      </c>
      <c r="Y60" s="585">
        <f>IFERROR(CPBH!W$5/'3.Thanh pham'!T$97,0)</f>
        <v>214.28571428571431</v>
      </c>
      <c r="Z60" s="86"/>
    </row>
    <row r="61" spans="2:28" s="37" customFormat="1" ht="13" x14ac:dyDescent="0.35">
      <c r="B61" s="580">
        <v>2</v>
      </c>
      <c r="C61" s="580"/>
      <c r="D61" s="582" t="s">
        <v>583</v>
      </c>
      <c r="E61" s="581" t="s">
        <v>581</v>
      </c>
      <c r="F61" s="582" t="s">
        <v>582</v>
      </c>
      <c r="G61" s="586" t="s">
        <v>1642</v>
      </c>
      <c r="H61" s="586" t="s">
        <v>517</v>
      </c>
      <c r="I61" s="587" t="s">
        <v>621</v>
      </c>
      <c r="J61" s="1255"/>
      <c r="K61" s="1255"/>
      <c r="L61" s="1255"/>
      <c r="M61" s="585"/>
      <c r="N61" s="587"/>
      <c r="O61" s="587"/>
      <c r="P61" s="587"/>
      <c r="Q61" s="587"/>
      <c r="R61" s="587"/>
      <c r="S61" s="587"/>
      <c r="T61" s="587"/>
      <c r="U61" s="587"/>
      <c r="V61" s="587"/>
      <c r="W61" s="587"/>
      <c r="X61" s="587"/>
      <c r="Y61" s="649"/>
      <c r="Z61" s="86"/>
    </row>
    <row r="62" spans="2:28" s="6" customFormat="1" ht="13" x14ac:dyDescent="0.25">
      <c r="B62" s="580">
        <v>3</v>
      </c>
      <c r="C62" s="580"/>
      <c r="D62" s="582" t="s">
        <v>583</v>
      </c>
      <c r="E62" s="581" t="s">
        <v>581</v>
      </c>
      <c r="F62" s="582" t="s">
        <v>582</v>
      </c>
      <c r="G62" s="586" t="s">
        <v>1641</v>
      </c>
      <c r="H62" s="586" t="s">
        <v>517</v>
      </c>
      <c r="I62" s="587" t="s">
        <v>621</v>
      </c>
      <c r="M62" s="585"/>
      <c r="N62" s="587"/>
      <c r="O62" s="587"/>
      <c r="P62" s="587"/>
      <c r="Q62" s="587"/>
      <c r="R62" s="587"/>
      <c r="S62" s="587"/>
      <c r="T62" s="587"/>
      <c r="U62" s="587"/>
      <c r="V62" s="587"/>
      <c r="W62" s="587"/>
      <c r="X62" s="587"/>
      <c r="Y62" s="649"/>
      <c r="Z62" s="86"/>
    </row>
    <row r="63" spans="2:28" s="6" customFormat="1" ht="13" outlineLevel="1" x14ac:dyDescent="0.25">
      <c r="B63" s="480"/>
      <c r="C63" s="480"/>
      <c r="D63" s="475"/>
      <c r="E63" s="675"/>
      <c r="F63" s="676"/>
      <c r="G63" s="677"/>
      <c r="H63" s="677"/>
      <c r="I63" s="678"/>
      <c r="J63" s="663"/>
      <c r="K63" s="663"/>
      <c r="L63" s="663"/>
      <c r="M63" s="673"/>
      <c r="N63" s="673"/>
      <c r="O63" s="673"/>
      <c r="P63" s="673"/>
      <c r="Q63" s="673"/>
      <c r="R63" s="673"/>
      <c r="S63" s="673"/>
      <c r="T63" s="673"/>
      <c r="U63" s="673"/>
      <c r="V63" s="673"/>
      <c r="W63" s="673"/>
      <c r="X63" s="673"/>
      <c r="Y63" s="679"/>
      <c r="Z63" s="86"/>
    </row>
    <row r="64" spans="2:28" s="6" customFormat="1" ht="13" outlineLevel="1" x14ac:dyDescent="0.25">
      <c r="B64" s="389"/>
      <c r="C64" s="389"/>
      <c r="D64" s="388"/>
      <c r="E64" s="650" t="s">
        <v>1611</v>
      </c>
      <c r="F64" s="651"/>
      <c r="G64" s="652"/>
      <c r="H64" s="652"/>
      <c r="I64" s="653"/>
      <c r="J64" s="659">
        <f>SUM(J60:J62)</f>
        <v>261.57068184530044</v>
      </c>
      <c r="K64" s="659">
        <f t="shared" ref="K64:Y64" si="3">SUM(K60:K62)</f>
        <v>264.36097318857878</v>
      </c>
      <c r="L64" s="659">
        <f t="shared" si="3"/>
        <v>224.35334660723123</v>
      </c>
      <c r="M64" s="659">
        <f t="shared" si="3"/>
        <v>214.28571428571428</v>
      </c>
      <c r="N64" s="659">
        <f t="shared" si="3"/>
        <v>214.28571428571428</v>
      </c>
      <c r="O64" s="659">
        <f t="shared" si="3"/>
        <v>214.28571428571428</v>
      </c>
      <c r="P64" s="659">
        <f t="shared" si="3"/>
        <v>214.28571428571428</v>
      </c>
      <c r="Q64" s="659">
        <f t="shared" si="3"/>
        <v>214.28571428571428</v>
      </c>
      <c r="R64" s="659">
        <f t="shared" si="3"/>
        <v>214.28571428571428</v>
      </c>
      <c r="S64" s="659">
        <f t="shared" si="3"/>
        <v>214.28571428571428</v>
      </c>
      <c r="T64" s="659">
        <f t="shared" si="3"/>
        <v>214.28571428571428</v>
      </c>
      <c r="U64" s="659">
        <f t="shared" si="3"/>
        <v>214.28571428571428</v>
      </c>
      <c r="V64" s="659">
        <f t="shared" si="3"/>
        <v>214.28571428571428</v>
      </c>
      <c r="W64" s="659">
        <f t="shared" si="3"/>
        <v>214.28571428571428</v>
      </c>
      <c r="X64" s="659">
        <f t="shared" si="3"/>
        <v>214.28571428571428</v>
      </c>
      <c r="Y64" s="659">
        <f t="shared" si="3"/>
        <v>214.28571428571431</v>
      </c>
      <c r="Z64" s="1398">
        <f ca="1">Y64/$Y$127</f>
        <v>7.1059953701824108E-2</v>
      </c>
    </row>
    <row r="65" spans="2:26" s="6" customFormat="1" ht="13" outlineLevel="1" x14ac:dyDescent="0.3">
      <c r="B65" s="138" t="s">
        <v>2258</v>
      </c>
      <c r="C65" s="139"/>
      <c r="D65" s="139"/>
      <c r="E65" s="139"/>
      <c r="F65" s="139"/>
      <c r="I65" s="600"/>
      <c r="J65" s="664"/>
      <c r="K65" s="664"/>
      <c r="L65" s="664"/>
      <c r="Y65" s="204"/>
      <c r="Z65" s="86"/>
    </row>
    <row r="66" spans="2:26" s="6" customFormat="1" ht="12.5" outlineLevel="1" x14ac:dyDescent="0.25">
      <c r="B66" s="588">
        <v>1</v>
      </c>
      <c r="C66" s="588"/>
      <c r="D66" s="997">
        <v>6421002604</v>
      </c>
      <c r="E66" s="584" t="s">
        <v>461</v>
      </c>
      <c r="F66" s="584" t="s">
        <v>569</v>
      </c>
      <c r="G66" s="584" t="s">
        <v>461</v>
      </c>
      <c r="H66" s="584" t="s">
        <v>521</v>
      </c>
      <c r="I66" s="573" t="s">
        <v>612</v>
      </c>
      <c r="J66" s="1018">
        <f>IFERROR(CPQL!AO5/('3.Thanh pham'!E$97+'3.Thanh pham'!E$136),0)</f>
        <v>132.73925343333858</v>
      </c>
      <c r="K66" s="1018">
        <f>IFERROR(CPQL!AM5/('3.Thanh pham'!F$97+'3.Thanh pham'!F$136),0)</f>
        <v>201.90135342494318</v>
      </c>
      <c r="L66" s="1018">
        <f>IFERROR(CPQL!AK5/('3.Thanh pham'!G$97+'3.Thanh pham'!G$136),0)</f>
        <v>375.4396030547411</v>
      </c>
      <c r="M66" s="1018">
        <f>IFERROR(CPQL!K5/('3.Thanh pham'!H$97+'3.Thanh pham'!H$136),0)</f>
        <v>434.67038411092375</v>
      </c>
      <c r="N66" s="1018">
        <f>IFERROR(CPQL!L5/('3.Thanh pham'!I$97+'3.Thanh pham'!I$136),0)</f>
        <v>583.64180625819745</v>
      </c>
      <c r="O66" s="1018">
        <f>IFERROR(CPQL!M5/('3.Thanh pham'!J$97+'3.Thanh pham'!J$136),0)</f>
        <v>392.25985385047778</v>
      </c>
      <c r="P66" s="1018">
        <f>IFERROR(CPQL!N5/('3.Thanh pham'!K$97+'3.Thanh pham'!K$136),0)</f>
        <v>377.40254717738696</v>
      </c>
      <c r="Q66" s="1018">
        <f>IFERROR(CPQL!O5/('3.Thanh pham'!L$97+'3.Thanh pham'!L$136),0)</f>
        <v>367.30583152653981</v>
      </c>
      <c r="R66" s="1018">
        <f>IFERROR(CPQL!P5/('3.Thanh pham'!M$97+'3.Thanh pham'!M$136),0)</f>
        <v>377.40254717738696</v>
      </c>
      <c r="S66" s="1018">
        <f>IFERROR(CPQL!Q5/('3.Thanh pham'!N$97+'3.Thanh pham'!N$136),0)</f>
        <v>373.01546294065685</v>
      </c>
      <c r="T66" s="1018">
        <f>IFERROR(CPQL!R5/('3.Thanh pham'!O$97+'3.Thanh pham'!O$136),0)</f>
        <v>373.01546294065685</v>
      </c>
      <c r="U66" s="1018">
        <f>IFERROR(CPQL!S5/('3.Thanh pham'!P$97+'3.Thanh pham'!P$136),0)</f>
        <v>376.52085120051396</v>
      </c>
      <c r="V66" s="1018">
        <f>IFERROR(CPQL!T5/('3.Thanh pham'!Q$97+'3.Thanh pham'!Q$136),0)</f>
        <v>368.62837870392678</v>
      </c>
      <c r="W66" s="1018">
        <f>IFERROR(CPQL!U5/('3.Thanh pham'!R$97+'3.Thanh pham'!R$136),0)</f>
        <v>377.40254717738696</v>
      </c>
      <c r="X66" s="1018">
        <f>IFERROR(CPQL!V5/('3.Thanh pham'!S$97+'3.Thanh pham'!S$136),0)</f>
        <v>373.01546294065685</v>
      </c>
      <c r="Y66" s="1018">
        <f>IFERROR(CPQL!W5/('3.Thanh pham'!T$97+'3.Thanh pham'!T$136),0)</f>
        <v>391.62578906689151</v>
      </c>
      <c r="Z66" s="86"/>
    </row>
    <row r="67" spans="2:26" s="6" customFormat="1" ht="12.5" outlineLevel="1" x14ac:dyDescent="0.25">
      <c r="B67" s="589">
        <v>2</v>
      </c>
      <c r="C67" s="589"/>
      <c r="D67" s="981">
        <v>6421002605</v>
      </c>
      <c r="E67" s="981" t="s">
        <v>462</v>
      </c>
      <c r="F67" s="638" t="s">
        <v>574</v>
      </c>
      <c r="G67" s="981" t="s">
        <v>462</v>
      </c>
      <c r="H67" s="638" t="s">
        <v>521</v>
      </c>
      <c r="I67" s="578" t="s">
        <v>612</v>
      </c>
      <c r="J67" s="1018">
        <f>IFERROR(CPQL!AO6/('3.Thanh pham'!E$97+'3.Thanh pham'!E$136),0)</f>
        <v>10.242765029997237</v>
      </c>
      <c r="K67" s="1018">
        <f>IFERROR(CPQL!AM6/('3.Thanh pham'!F$97+'3.Thanh pham'!F$136),0)</f>
        <v>28.423454138599354</v>
      </c>
      <c r="L67" s="1018">
        <f>IFERROR(CPQL!AK6/('3.Thanh pham'!G$97+'3.Thanh pham'!G$136),0)</f>
        <v>29.744447504085503</v>
      </c>
      <c r="M67" s="1018">
        <f>IFERROR(CPQL!K6/('3.Thanh pham'!H$97+'3.Thanh pham'!H$136),0)</f>
        <v>33.022636312535134</v>
      </c>
      <c r="N67" s="1018">
        <f>IFERROR(CPQL!L6/('3.Thanh pham'!I$97+'3.Thanh pham'!I$136),0)</f>
        <v>44.030181750046843</v>
      </c>
      <c r="O67" s="1018">
        <f>IFERROR(CPQL!M6/('3.Thanh pham'!J$97+'3.Thanh pham'!J$136),0)</f>
        <v>30.4824335192632</v>
      </c>
      <c r="P67" s="1018">
        <f>IFERROR(CPQL!N6/('3.Thanh pham'!K$97+'3.Thanh pham'!K$136),0)</f>
        <v>28.305116839315829</v>
      </c>
      <c r="Q67" s="1018">
        <f>IFERROR(CPQL!O6/('3.Thanh pham'!L$97+'3.Thanh pham'!L$136),0)</f>
        <v>28.305116839315829</v>
      </c>
      <c r="R67" s="1018">
        <f>IFERROR(CPQL!P6/('3.Thanh pham'!M$97+'3.Thanh pham'!M$136),0)</f>
        <v>28.305116839315829</v>
      </c>
      <c r="S67" s="1018">
        <f>IFERROR(CPQL!Q6/('3.Thanh pham'!N$97+'3.Thanh pham'!N$136),0)</f>
        <v>28.305116839315829</v>
      </c>
      <c r="T67" s="1018">
        <f>IFERROR(CPQL!R6/('3.Thanh pham'!O$97+'3.Thanh pham'!O$136),0)</f>
        <v>28.305116839315829</v>
      </c>
      <c r="U67" s="1018">
        <f>IFERROR(CPQL!S6/('3.Thanh pham'!P$97+'3.Thanh pham'!P$136),0)</f>
        <v>28.305116839315829</v>
      </c>
      <c r="V67" s="1018">
        <f>IFERROR(CPQL!T6/('3.Thanh pham'!Q$97+'3.Thanh pham'!Q$136),0)</f>
        <v>28.305116839315829</v>
      </c>
      <c r="W67" s="1018">
        <f>IFERROR(CPQL!U6/('3.Thanh pham'!R$97+'3.Thanh pham'!R$136),0)</f>
        <v>28.305116839315829</v>
      </c>
      <c r="X67" s="1018">
        <f>IFERROR(CPQL!V6/('3.Thanh pham'!S$97+'3.Thanh pham'!S$136),0)</f>
        <v>28.305116839315829</v>
      </c>
      <c r="Y67" s="1018">
        <f>IFERROR(CPQL!W6/('3.Thanh pham'!T$97+'3.Thanh pham'!T$136),0)</f>
        <v>29.720372681281617</v>
      </c>
      <c r="Z67" s="86"/>
    </row>
    <row r="68" spans="2:26" s="6" customFormat="1" ht="12.5" outlineLevel="1" x14ac:dyDescent="0.25">
      <c r="B68" s="589">
        <v>3</v>
      </c>
      <c r="C68" s="589"/>
      <c r="D68" s="981">
        <v>6421002802</v>
      </c>
      <c r="E68" s="638" t="s">
        <v>465</v>
      </c>
      <c r="F68" s="638" t="s">
        <v>570</v>
      </c>
      <c r="G68" s="638" t="s">
        <v>465</v>
      </c>
      <c r="H68" s="638" t="s">
        <v>521</v>
      </c>
      <c r="I68" s="578" t="s">
        <v>612</v>
      </c>
      <c r="J68" s="1018">
        <f>IFERROR(CPQL!AO7/('3.Thanh pham'!E$97+'3.Thanh pham'!E$136),0)</f>
        <v>19.769067221108656</v>
      </c>
      <c r="K68" s="1018">
        <f>IFERROR(CPQL!AM7/('3.Thanh pham'!F$97+'3.Thanh pham'!F$136),0)</f>
        <v>15.99491168409091</v>
      </c>
      <c r="L68" s="1018">
        <f>IFERROR(CPQL!AK7/('3.Thanh pham'!G$97+'3.Thanh pham'!G$136),0)</f>
        <v>29.139097923200019</v>
      </c>
      <c r="M68" s="1018">
        <f>IFERROR(CPQL!K7/('3.Thanh pham'!H$97+'3.Thanh pham'!H$136),0)</f>
        <v>2.6231965523702456</v>
      </c>
      <c r="N68" s="1018">
        <f>IFERROR(CPQL!L7/('3.Thanh pham'!I$97+'3.Thanh pham'!I$136),0)</f>
        <v>0</v>
      </c>
      <c r="O68" s="1018">
        <f>IFERROR(CPQL!M7/('3.Thanh pham'!J$97+'3.Thanh pham'!J$136),0)</f>
        <v>0</v>
      </c>
      <c r="P68" s="1018">
        <f>IFERROR(CPQL!N7/('3.Thanh pham'!K$97+'3.Thanh pham'!K$136),0)</f>
        <v>0</v>
      </c>
      <c r="Q68" s="1018">
        <f>IFERROR(CPQL!O7/('3.Thanh pham'!L$97+'3.Thanh pham'!L$136),0)</f>
        <v>4.4969083754918495</v>
      </c>
      <c r="R68" s="1018">
        <f>IFERROR(CPQL!P7/('3.Thanh pham'!M$97+'3.Thanh pham'!M$136),0)</f>
        <v>0</v>
      </c>
      <c r="S68" s="1018">
        <f>IFERROR(CPQL!Q7/('3.Thanh pham'!N$97+'3.Thanh pham'!N$136),0)</f>
        <v>0</v>
      </c>
      <c r="T68" s="1018">
        <f>IFERROR(CPQL!R7/('3.Thanh pham'!O$97+'3.Thanh pham'!O$136),0)</f>
        <v>0</v>
      </c>
      <c r="U68" s="1018">
        <f>IFERROR(CPQL!S7/('3.Thanh pham'!P$97+'3.Thanh pham'!P$136),0)</f>
        <v>2.2484541877459248</v>
      </c>
      <c r="V68" s="1018">
        <f>IFERROR(CPQL!T7/('3.Thanh pham'!Q$97+'3.Thanh pham'!Q$136),0)</f>
        <v>0</v>
      </c>
      <c r="W68" s="1018">
        <f>IFERROR(CPQL!U7/('3.Thanh pham'!R$97+'3.Thanh pham'!R$136),0)</f>
        <v>0</v>
      </c>
      <c r="X68" s="1018">
        <f>IFERROR(CPQL!V7/('3.Thanh pham'!S$97+'3.Thanh pham'!S$136),0)</f>
        <v>0</v>
      </c>
      <c r="Y68" s="1018">
        <f>IFERROR(CPQL!W7/('3.Thanh pham'!T$97+'3.Thanh pham'!T$136),0)</f>
        <v>0.7869589657110736</v>
      </c>
      <c r="Z68" s="86"/>
    </row>
    <row r="69" spans="2:26" s="6" customFormat="1" ht="12.5" outlineLevel="1" x14ac:dyDescent="0.25">
      <c r="B69" s="589">
        <v>4</v>
      </c>
      <c r="C69" s="589"/>
      <c r="D69" s="981">
        <v>6421002806</v>
      </c>
      <c r="E69" s="981" t="s">
        <v>584</v>
      </c>
      <c r="F69" s="638" t="s">
        <v>574</v>
      </c>
      <c r="G69" s="981" t="s">
        <v>472</v>
      </c>
      <c r="H69" s="638" t="s">
        <v>521</v>
      </c>
      <c r="I69" s="578" t="s">
        <v>612</v>
      </c>
      <c r="J69" s="1018">
        <f>IFERROR(CPQL!AO8/('3.Thanh pham'!E$97+'3.Thanh pham'!E$136),0)</f>
        <v>0</v>
      </c>
      <c r="K69" s="1018">
        <f>IFERROR(CPQL!AM8/('3.Thanh pham'!F$97+'3.Thanh pham'!F$136),0)</f>
        <v>0</v>
      </c>
      <c r="L69" s="1018">
        <f>IFERROR(CPQL!AK8/('3.Thanh pham'!G$97+'3.Thanh pham'!G$136),0)</f>
        <v>0</v>
      </c>
      <c r="M69" s="1018">
        <f>IFERROR(CPQL!K8/('3.Thanh pham'!H$97+'3.Thanh pham'!H$136),0)</f>
        <v>44.841262881768785</v>
      </c>
      <c r="N69" s="1018">
        <f>IFERROR(CPQL!L8/('3.Thanh pham'!I$97+'3.Thanh pham'!I$136),0)</f>
        <v>59.788350509025044</v>
      </c>
      <c r="O69" s="1018">
        <f>IFERROR(CPQL!M8/('3.Thanh pham'!J$97+'3.Thanh pham'!J$136),0)</f>
        <v>41.391934967786568</v>
      </c>
      <c r="P69" s="1018">
        <f>IFERROR(CPQL!N8/('3.Thanh pham'!K$97+'3.Thanh pham'!K$136),0)</f>
        <v>38.435368184373246</v>
      </c>
      <c r="Q69" s="1018">
        <f>IFERROR(CPQL!O8/('3.Thanh pham'!L$97+'3.Thanh pham'!L$136),0)</f>
        <v>38.435368184373246</v>
      </c>
      <c r="R69" s="1018">
        <f>IFERROR(CPQL!P8/('3.Thanh pham'!M$97+'3.Thanh pham'!M$136),0)</f>
        <v>38.435368184373246</v>
      </c>
      <c r="S69" s="1018">
        <f>IFERROR(CPQL!Q8/('3.Thanh pham'!N$97+'3.Thanh pham'!N$136),0)</f>
        <v>38.435368184373246</v>
      </c>
      <c r="T69" s="1018">
        <f>IFERROR(CPQL!R8/('3.Thanh pham'!O$97+'3.Thanh pham'!O$136),0)</f>
        <v>38.435368184373246</v>
      </c>
      <c r="U69" s="1018">
        <f>IFERROR(CPQL!S8/('3.Thanh pham'!P$97+'3.Thanh pham'!P$136),0)</f>
        <v>38.435368184373246</v>
      </c>
      <c r="V69" s="1018">
        <f>IFERROR(CPQL!T8/('3.Thanh pham'!Q$97+'3.Thanh pham'!Q$136),0)</f>
        <v>38.435368184373246</v>
      </c>
      <c r="W69" s="1018">
        <f>IFERROR(CPQL!U8/('3.Thanh pham'!R$97+'3.Thanh pham'!R$136),0)</f>
        <v>38.435368184373246</v>
      </c>
      <c r="X69" s="1018">
        <f>IFERROR(CPQL!V8/('3.Thanh pham'!S$97+'3.Thanh pham'!S$136),0)</f>
        <v>38.435368184373246</v>
      </c>
      <c r="Y69" s="1018">
        <f>IFERROR(CPQL!W8/('3.Thanh pham'!T$97+'3.Thanh pham'!T$136),0)</f>
        <v>40.357136593591903</v>
      </c>
      <c r="Z69" s="86"/>
    </row>
    <row r="70" spans="2:26" s="6" customFormat="1" ht="12.5" outlineLevel="1" x14ac:dyDescent="0.25">
      <c r="B70" s="589">
        <v>5</v>
      </c>
      <c r="C70" s="589"/>
      <c r="D70" s="981">
        <v>6421007202</v>
      </c>
      <c r="E70" s="638" t="s">
        <v>431</v>
      </c>
      <c r="F70" s="638" t="s">
        <v>570</v>
      </c>
      <c r="G70" s="638" t="s">
        <v>431</v>
      </c>
      <c r="H70" s="638" t="s">
        <v>521</v>
      </c>
      <c r="I70" s="578" t="s">
        <v>612</v>
      </c>
      <c r="J70" s="1018">
        <f>IFERROR(CPQL!AO9/('3.Thanh pham'!E$97+'3.Thanh pham'!E$136),0)</f>
        <v>10.260455470463555</v>
      </c>
      <c r="K70" s="1018">
        <f>IFERROR(CPQL!AM9/('3.Thanh pham'!F$97+'3.Thanh pham'!F$136),0)</f>
        <v>0</v>
      </c>
      <c r="L70" s="1018">
        <f>IFERROR(CPQL!AK9/('3.Thanh pham'!G$97+'3.Thanh pham'!G$136),0)</f>
        <v>0</v>
      </c>
      <c r="M70" s="1018">
        <f>IFERROR(CPQL!K9/('3.Thanh pham'!H$97+'3.Thanh pham'!H$136),0)</f>
        <v>0</v>
      </c>
      <c r="N70" s="1018">
        <f>IFERROR(CPQL!L9/('3.Thanh pham'!I$97+'3.Thanh pham'!I$136),0)</f>
        <v>96.183873586909002</v>
      </c>
      <c r="O70" s="1018">
        <f>IFERROR(CPQL!M9/('3.Thanh pham'!J$97+'3.Thanh pham'!J$136),0)</f>
        <v>0</v>
      </c>
      <c r="P70" s="1018">
        <f>IFERROR(CPQL!N9/('3.Thanh pham'!K$97+'3.Thanh pham'!K$136),0)</f>
        <v>0</v>
      </c>
      <c r="Q70" s="1018">
        <f>IFERROR(CPQL!O9/('3.Thanh pham'!L$97+'3.Thanh pham'!L$136),0)</f>
        <v>0</v>
      </c>
      <c r="R70" s="1018">
        <f>IFERROR(CPQL!P9/('3.Thanh pham'!M$97+'3.Thanh pham'!M$136),0)</f>
        <v>0</v>
      </c>
      <c r="S70" s="1018">
        <f>IFERROR(CPQL!Q9/('3.Thanh pham'!N$97+'3.Thanh pham'!N$136),0)</f>
        <v>0</v>
      </c>
      <c r="T70" s="1018">
        <f>IFERROR(CPQL!R9/('3.Thanh pham'!O$97+'3.Thanh pham'!O$136),0)</f>
        <v>0</v>
      </c>
      <c r="U70" s="1018">
        <f>IFERROR(CPQL!S9/('3.Thanh pham'!P$97+'3.Thanh pham'!P$136),0)</f>
        <v>0</v>
      </c>
      <c r="V70" s="1018">
        <f>IFERROR(CPQL!T9/('3.Thanh pham'!Q$97+'3.Thanh pham'!Q$136),0)</f>
        <v>0</v>
      </c>
      <c r="W70" s="1018">
        <f>IFERROR(CPQL!U9/('3.Thanh pham'!R$97+'3.Thanh pham'!R$136),0)</f>
        <v>0</v>
      </c>
      <c r="X70" s="1018">
        <f>IFERROR(CPQL!V9/('3.Thanh pham'!S$97+'3.Thanh pham'!S$136),0)</f>
        <v>0</v>
      </c>
      <c r="Y70" s="1018">
        <f>IFERROR(CPQL!W9/('3.Thanh pham'!T$97+'3.Thanh pham'!T$136),0)</f>
        <v>5.4103428892636316</v>
      </c>
      <c r="Z70" s="86"/>
    </row>
    <row r="71" spans="2:26" s="6" customFormat="1" ht="12.5" outlineLevel="1" x14ac:dyDescent="0.25">
      <c r="B71" s="589">
        <v>6</v>
      </c>
      <c r="C71" s="589"/>
      <c r="D71" s="981">
        <v>6421003202</v>
      </c>
      <c r="E71" s="981" t="s">
        <v>467</v>
      </c>
      <c r="F71" s="638" t="s">
        <v>570</v>
      </c>
      <c r="G71" s="981" t="s">
        <v>467</v>
      </c>
      <c r="H71" s="638" t="s">
        <v>521</v>
      </c>
      <c r="I71" s="578" t="s">
        <v>612</v>
      </c>
      <c r="J71" s="1018">
        <f>IFERROR(CPQL!AO10/('3.Thanh pham'!E$97+'3.Thanh pham'!E$136),0)</f>
        <v>0</v>
      </c>
      <c r="K71" s="1018">
        <f>IFERROR(CPQL!AM10/('3.Thanh pham'!F$97+'3.Thanh pham'!F$136),0)</f>
        <v>3.2277713195112807</v>
      </c>
      <c r="L71" s="1018">
        <f>IFERROR(CPQL!AK10/('3.Thanh pham'!G$97+'3.Thanh pham'!G$136),0)</f>
        <v>7.6815996272993674</v>
      </c>
      <c r="M71" s="1018">
        <f>IFERROR(CPQL!K10/('3.Thanh pham'!H$97+'3.Thanh pham'!H$136),0)</f>
        <v>10.492786209480983</v>
      </c>
      <c r="N71" s="1018">
        <f>IFERROR(CPQL!L10/('3.Thanh pham'!I$97+'3.Thanh pham'!I$136),0)</f>
        <v>12.311535819124352</v>
      </c>
      <c r="O71" s="1018">
        <f>IFERROR(CPQL!M10/('3.Thanh pham'!J$97+'3.Thanh pham'!J$136),0)</f>
        <v>9.2982228564016083</v>
      </c>
      <c r="P71" s="1018">
        <f>IFERROR(CPQL!N10/('3.Thanh pham'!K$97+'3.Thanh pham'!K$136),0)</f>
        <v>9.7133220910623947</v>
      </c>
      <c r="Q71" s="1018">
        <f>IFERROR(CPQL!O10/('3.Thanh pham'!L$97+'3.Thanh pham'!L$136),0)</f>
        <v>7.9145587408656546</v>
      </c>
      <c r="R71" s="1018">
        <f>IFERROR(CPQL!P10/('3.Thanh pham'!M$97+'3.Thanh pham'!M$136),0)</f>
        <v>9.7133220910623947</v>
      </c>
      <c r="S71" s="1018">
        <f>IFERROR(CPQL!Q10/('3.Thanh pham'!N$97+'3.Thanh pham'!N$136),0)</f>
        <v>9.353569421023046</v>
      </c>
      <c r="T71" s="1018">
        <f>IFERROR(CPQL!R10/('3.Thanh pham'!O$97+'3.Thanh pham'!O$136),0)</f>
        <v>9.353569421023046</v>
      </c>
      <c r="U71" s="1018">
        <f>IFERROR(CPQL!S10/('3.Thanh pham'!P$97+'3.Thanh pham'!P$136),0)</f>
        <v>8.993816750983699</v>
      </c>
      <c r="V71" s="1018">
        <f>IFERROR(CPQL!T10/('3.Thanh pham'!Q$97+'3.Thanh pham'!Q$136),0)</f>
        <v>8.993816750983699</v>
      </c>
      <c r="W71" s="1018">
        <f>IFERROR(CPQL!U10/('3.Thanh pham'!R$97+'3.Thanh pham'!R$136),0)</f>
        <v>9.7133220910623947</v>
      </c>
      <c r="X71" s="1018">
        <f>IFERROR(CPQL!V10/('3.Thanh pham'!S$97+'3.Thanh pham'!S$136),0)</f>
        <v>9.353569421023046</v>
      </c>
      <c r="Y71" s="1018">
        <f>IFERROR(CPQL!W10/('3.Thanh pham'!T$97+'3.Thanh pham'!T$136),0)</f>
        <v>9.5064643057897698</v>
      </c>
      <c r="Z71" s="86"/>
    </row>
    <row r="72" spans="2:26" s="6" customFormat="1" ht="12.5" hidden="1" outlineLevel="1" x14ac:dyDescent="0.25">
      <c r="B72" s="589">
        <v>7</v>
      </c>
      <c r="C72" s="589"/>
      <c r="D72" s="981">
        <v>6421002603</v>
      </c>
      <c r="E72" s="638" t="s">
        <v>466</v>
      </c>
      <c r="F72" s="638" t="s">
        <v>574</v>
      </c>
      <c r="G72" s="638" t="s">
        <v>466</v>
      </c>
      <c r="H72" s="638" t="s">
        <v>521</v>
      </c>
      <c r="I72" s="578" t="s">
        <v>612</v>
      </c>
      <c r="J72" s="1018">
        <f>IFERROR(CPQL!AO11/('3.Thanh pham'!E$97+'3.Thanh pham'!E$136),0)</f>
        <v>0</v>
      </c>
      <c r="K72" s="1018">
        <f>IFERROR(CPQL!AM11/('3.Thanh pham'!F$97+'3.Thanh pham'!F$136),0)</f>
        <v>0</v>
      </c>
      <c r="L72" s="1018">
        <f>IFERROR(CPQL!AK11/('3.Thanh pham'!G$97+'3.Thanh pham'!G$136),0)</f>
        <v>0</v>
      </c>
      <c r="M72" s="1018">
        <f>IFERROR(CPQL!K11/('3.Thanh pham'!H$97+'3.Thanh pham'!H$136),0)</f>
        <v>0</v>
      </c>
      <c r="N72" s="1018">
        <f>IFERROR(CPQL!L11/('3.Thanh pham'!I$97+'3.Thanh pham'!I$136),0)</f>
        <v>0</v>
      </c>
      <c r="O72" s="1018">
        <f>IFERROR(CPQL!M11/('3.Thanh pham'!J$97+'3.Thanh pham'!J$136),0)</f>
        <v>0</v>
      </c>
      <c r="P72" s="1018">
        <f>IFERROR(CPQL!N11/('3.Thanh pham'!K$97+'3.Thanh pham'!K$136),0)</f>
        <v>0</v>
      </c>
      <c r="Q72" s="1018">
        <f>IFERROR(CPQL!O11/('3.Thanh pham'!L$97+'3.Thanh pham'!L$136),0)</f>
        <v>0</v>
      </c>
      <c r="R72" s="1018">
        <f>IFERROR(CPQL!P11/('3.Thanh pham'!M$97+'3.Thanh pham'!M$136),0)</f>
        <v>0</v>
      </c>
      <c r="S72" s="1018">
        <f>IFERROR(CPQL!Q11/('3.Thanh pham'!N$97+'3.Thanh pham'!N$136),0)</f>
        <v>0</v>
      </c>
      <c r="T72" s="1018">
        <f>IFERROR(CPQL!R11/('3.Thanh pham'!O$97+'3.Thanh pham'!O$136),0)</f>
        <v>0</v>
      </c>
      <c r="U72" s="1018">
        <f>IFERROR(CPQL!S11/('3.Thanh pham'!P$97+'3.Thanh pham'!P$136),0)</f>
        <v>0</v>
      </c>
      <c r="V72" s="1018">
        <f>IFERROR(CPQL!T11/('3.Thanh pham'!Q$97+'3.Thanh pham'!Q$136),0)</f>
        <v>0</v>
      </c>
      <c r="W72" s="1018">
        <f>IFERROR(CPQL!U11/('3.Thanh pham'!R$97+'3.Thanh pham'!R$136),0)</f>
        <v>0</v>
      </c>
      <c r="X72" s="1018">
        <f>IFERROR(CPQL!V11/('3.Thanh pham'!S$97+'3.Thanh pham'!S$136),0)</f>
        <v>0</v>
      </c>
      <c r="Y72" s="1018">
        <f>IFERROR(CPQL!W11/('3.Thanh pham'!T$97+'3.Thanh pham'!T$136),0)</f>
        <v>0</v>
      </c>
      <c r="Z72" s="86"/>
    </row>
    <row r="73" spans="2:26" s="6" customFormat="1" ht="12.5" outlineLevel="1" x14ac:dyDescent="0.25">
      <c r="B73" s="589">
        <v>8</v>
      </c>
      <c r="C73" s="589"/>
      <c r="D73" s="981">
        <v>6421003401</v>
      </c>
      <c r="E73" s="981" t="s">
        <v>463</v>
      </c>
      <c r="F73" s="638" t="s">
        <v>570</v>
      </c>
      <c r="G73" s="981" t="s">
        <v>463</v>
      </c>
      <c r="H73" s="638" t="s">
        <v>521</v>
      </c>
      <c r="I73" s="578" t="s">
        <v>612</v>
      </c>
      <c r="J73" s="1018">
        <f>IFERROR(CPQL!AO12/('3.Thanh pham'!E$97+'3.Thanh pham'!E$136),0)</f>
        <v>25.897195189509286</v>
      </c>
      <c r="K73" s="1018">
        <f>IFERROR(CPQL!AM12/('3.Thanh pham'!F$97+'3.Thanh pham'!F$136),0)</f>
        <v>39.026819592751679</v>
      </c>
      <c r="L73" s="1018">
        <f>IFERROR(CPQL!AK12/('3.Thanh pham'!G$97+'3.Thanh pham'!G$136),0)</f>
        <v>52.003259329157835</v>
      </c>
      <c r="M73" s="1018">
        <f>IFERROR(CPQL!K12/('3.Thanh pham'!H$97+'3.Thanh pham'!H$136),0)</f>
        <v>81.330311036162641</v>
      </c>
      <c r="N73" s="1018">
        <f>IFERROR(CPQL!L12/('3.Thanh pham'!I$97+'3.Thanh pham'!I$136),0)</f>
        <v>108.44041471488352</v>
      </c>
      <c r="O73" s="1018">
        <f>IFERROR(CPQL!M12/('3.Thanh pham'!J$97+'3.Thanh pham'!J$136),0)</f>
        <v>75.074133264150134</v>
      </c>
      <c r="P73" s="1018">
        <f>IFERROR(CPQL!N12/('3.Thanh pham'!K$97+'3.Thanh pham'!K$136),0)</f>
        <v>69.711695173853684</v>
      </c>
      <c r="Q73" s="1018">
        <f>IFERROR(CPQL!O12/('3.Thanh pham'!L$97+'3.Thanh pham'!L$136),0)</f>
        <v>69.711695173853684</v>
      </c>
      <c r="R73" s="1018">
        <f>IFERROR(CPQL!P12/('3.Thanh pham'!M$97+'3.Thanh pham'!M$136),0)</f>
        <v>69.711695173853684</v>
      </c>
      <c r="S73" s="1018">
        <f>IFERROR(CPQL!Q12/('3.Thanh pham'!N$97+'3.Thanh pham'!N$136),0)</f>
        <v>69.711695173853684</v>
      </c>
      <c r="T73" s="1018">
        <f>IFERROR(CPQL!R12/('3.Thanh pham'!O$97+'3.Thanh pham'!O$136),0)</f>
        <v>69.711695173853684</v>
      </c>
      <c r="U73" s="1018">
        <f>IFERROR(CPQL!S12/('3.Thanh pham'!P$97+'3.Thanh pham'!P$136),0)</f>
        <v>69.711695173853684</v>
      </c>
      <c r="V73" s="1018">
        <f>IFERROR(CPQL!T12/('3.Thanh pham'!Q$97+'3.Thanh pham'!Q$136),0)</f>
        <v>69.711695173853684</v>
      </c>
      <c r="W73" s="1018">
        <f>IFERROR(CPQL!U12/('3.Thanh pham'!R$97+'3.Thanh pham'!R$136),0)</f>
        <v>69.711695173853684</v>
      </c>
      <c r="X73" s="1018">
        <f>IFERROR(CPQL!V12/('3.Thanh pham'!S$97+'3.Thanh pham'!S$136),0)</f>
        <v>69.711695173853684</v>
      </c>
      <c r="Y73" s="1018">
        <f>IFERROR(CPQL!W12/('3.Thanh pham'!T$97+'3.Thanh pham'!T$136),0)</f>
        <v>73.19727993254638</v>
      </c>
      <c r="Z73" s="86"/>
    </row>
    <row r="74" spans="2:26" s="6" customFormat="1" ht="12.5" hidden="1" outlineLevel="1" x14ac:dyDescent="0.25">
      <c r="B74" s="589">
        <v>9</v>
      </c>
      <c r="C74" s="589"/>
      <c r="D74" s="981">
        <v>6421002703</v>
      </c>
      <c r="E74" s="638" t="s">
        <v>464</v>
      </c>
      <c r="F74" s="638" t="s">
        <v>574</v>
      </c>
      <c r="G74" s="638" t="s">
        <v>464</v>
      </c>
      <c r="H74" s="638" t="s">
        <v>521</v>
      </c>
      <c r="I74" s="578" t="s">
        <v>612</v>
      </c>
      <c r="J74" s="1018">
        <f>IFERROR(CPQL!AO13/('3.Thanh pham'!E$97+'3.Thanh pham'!E$136),0)</f>
        <v>0</v>
      </c>
      <c r="K74" s="1018">
        <f>IFERROR(CPQL!AM13/('3.Thanh pham'!F$97+'3.Thanh pham'!F$136),0)</f>
        <v>0</v>
      </c>
      <c r="L74" s="1018">
        <f>IFERROR(CPQL!AK13/('3.Thanh pham'!G$97+'3.Thanh pham'!G$136),0)</f>
        <v>0</v>
      </c>
      <c r="M74" s="1018">
        <f>IFERROR(CPQL!K13/('3.Thanh pham'!H$97+'3.Thanh pham'!H$136),0)</f>
        <v>0</v>
      </c>
      <c r="N74" s="1018">
        <f>IFERROR(CPQL!L13/('3.Thanh pham'!I$97+'3.Thanh pham'!I$136),0)</f>
        <v>0</v>
      </c>
      <c r="O74" s="1018">
        <f>IFERROR(CPQL!M13/('3.Thanh pham'!J$97+'3.Thanh pham'!J$136),0)</f>
        <v>0</v>
      </c>
      <c r="P74" s="1018">
        <f>IFERROR(CPQL!N13/('3.Thanh pham'!K$97+'3.Thanh pham'!K$136),0)</f>
        <v>0</v>
      </c>
      <c r="Q74" s="1018">
        <f>IFERROR(CPQL!O13/('3.Thanh pham'!L$97+'3.Thanh pham'!L$136),0)</f>
        <v>0</v>
      </c>
      <c r="R74" s="1018">
        <f>IFERROR(CPQL!P13/('3.Thanh pham'!M$97+'3.Thanh pham'!M$136),0)</f>
        <v>0</v>
      </c>
      <c r="S74" s="1018">
        <f>IFERROR(CPQL!Q13/('3.Thanh pham'!N$97+'3.Thanh pham'!N$136),0)</f>
        <v>0</v>
      </c>
      <c r="T74" s="1018">
        <f>IFERROR(CPQL!R13/('3.Thanh pham'!O$97+'3.Thanh pham'!O$136),0)</f>
        <v>0</v>
      </c>
      <c r="U74" s="1018">
        <f>IFERROR(CPQL!S13/('3.Thanh pham'!P$97+'3.Thanh pham'!P$136),0)</f>
        <v>0</v>
      </c>
      <c r="V74" s="1018">
        <f>IFERROR(CPQL!T13/('3.Thanh pham'!Q$97+'3.Thanh pham'!Q$136),0)</f>
        <v>0</v>
      </c>
      <c r="W74" s="1018">
        <f>IFERROR(CPQL!U13/('3.Thanh pham'!R$97+'3.Thanh pham'!R$136),0)</f>
        <v>0</v>
      </c>
      <c r="X74" s="1018">
        <f>IFERROR(CPQL!V13/('3.Thanh pham'!S$97+'3.Thanh pham'!S$136),0)</f>
        <v>0</v>
      </c>
      <c r="Y74" s="1018">
        <f>IFERROR(CPQL!W13/('3.Thanh pham'!T$97+'3.Thanh pham'!T$136),0)</f>
        <v>0</v>
      </c>
      <c r="Z74" s="86"/>
    </row>
    <row r="75" spans="2:26" s="6" customFormat="1" ht="12.5" hidden="1" outlineLevel="1" x14ac:dyDescent="0.25">
      <c r="B75" s="589">
        <v>10</v>
      </c>
      <c r="C75" s="589"/>
      <c r="D75" s="981" t="s">
        <v>1429</v>
      </c>
      <c r="E75" s="638" t="s">
        <v>855</v>
      </c>
      <c r="F75" s="638" t="s">
        <v>811</v>
      </c>
      <c r="G75" s="638" t="s">
        <v>855</v>
      </c>
      <c r="H75" s="638" t="s">
        <v>521</v>
      </c>
      <c r="I75" s="578" t="s">
        <v>623</v>
      </c>
      <c r="J75" s="1018">
        <f>IFERROR(CPQL!AO14/('3.Thanh pham'!E$97+'3.Thanh pham'!E$136),0)</f>
        <v>0</v>
      </c>
      <c r="K75" s="1018">
        <f>IFERROR(CPQL!AM14/('3.Thanh pham'!F$97+'3.Thanh pham'!F$136),0)</f>
        <v>0</v>
      </c>
      <c r="L75" s="1018">
        <f>IFERROR(CPQL!AK14/('3.Thanh pham'!G$97+'3.Thanh pham'!G$136),0)</f>
        <v>0</v>
      </c>
      <c r="M75" s="1018">
        <f>IFERROR(CPQL!K14/('3.Thanh pham'!H$97+'3.Thanh pham'!H$136),0)</f>
        <v>0</v>
      </c>
      <c r="N75" s="1018">
        <f>IFERROR(CPQL!L14/('3.Thanh pham'!I$97+'3.Thanh pham'!I$136),0)</f>
        <v>0</v>
      </c>
      <c r="O75" s="1018">
        <f>IFERROR(CPQL!M14/('3.Thanh pham'!J$97+'3.Thanh pham'!J$136),0)</f>
        <v>0</v>
      </c>
      <c r="P75" s="1018">
        <f>IFERROR(CPQL!N14/('3.Thanh pham'!K$97+'3.Thanh pham'!K$136),0)</f>
        <v>0</v>
      </c>
      <c r="Q75" s="1018">
        <f>IFERROR(CPQL!O14/('3.Thanh pham'!L$97+'3.Thanh pham'!L$136),0)</f>
        <v>0</v>
      </c>
      <c r="R75" s="1018">
        <f>IFERROR(CPQL!P14/('3.Thanh pham'!M$97+'3.Thanh pham'!M$136),0)</f>
        <v>0</v>
      </c>
      <c r="S75" s="1018">
        <f>IFERROR(CPQL!Q14/('3.Thanh pham'!N$97+'3.Thanh pham'!N$136),0)</f>
        <v>0</v>
      </c>
      <c r="T75" s="1018">
        <f>IFERROR(CPQL!R14/('3.Thanh pham'!O$97+'3.Thanh pham'!O$136),0)</f>
        <v>0</v>
      </c>
      <c r="U75" s="1018">
        <f>IFERROR(CPQL!S14/('3.Thanh pham'!P$97+'3.Thanh pham'!P$136),0)</f>
        <v>0</v>
      </c>
      <c r="V75" s="1018">
        <f>IFERROR(CPQL!T14/('3.Thanh pham'!Q$97+'3.Thanh pham'!Q$136),0)</f>
        <v>0</v>
      </c>
      <c r="W75" s="1018">
        <f>IFERROR(CPQL!U14/('3.Thanh pham'!R$97+'3.Thanh pham'!R$136),0)</f>
        <v>0</v>
      </c>
      <c r="X75" s="1018">
        <f>IFERROR(CPQL!V14/('3.Thanh pham'!S$97+'3.Thanh pham'!S$136),0)</f>
        <v>0</v>
      </c>
      <c r="Y75" s="1018">
        <f>IFERROR(CPQL!W14/('3.Thanh pham'!T$97+'3.Thanh pham'!T$136),0)</f>
        <v>0</v>
      </c>
      <c r="Z75" s="86"/>
    </row>
    <row r="76" spans="2:26" s="6" customFormat="1" ht="12.5" outlineLevel="1" x14ac:dyDescent="0.25">
      <c r="B76" s="589">
        <v>11</v>
      </c>
      <c r="C76" s="589"/>
      <c r="D76" s="981">
        <v>6421003001</v>
      </c>
      <c r="E76" s="638" t="s">
        <v>430</v>
      </c>
      <c r="F76" s="638" t="s">
        <v>570</v>
      </c>
      <c r="G76" s="1019" t="s">
        <v>430</v>
      </c>
      <c r="H76" s="638" t="s">
        <v>521</v>
      </c>
      <c r="I76" s="578" t="s">
        <v>622</v>
      </c>
      <c r="J76" s="1018">
        <f>IFERROR(CPQL!AO15/('3.Thanh pham'!E$97+'3.Thanh pham'!E$136),0)</f>
        <v>0</v>
      </c>
      <c r="K76" s="1018">
        <f>IFERROR(CPQL!AM15/('3.Thanh pham'!F$97+'3.Thanh pham'!F$136),0)</f>
        <v>0.8031117921844787</v>
      </c>
      <c r="L76" s="1018">
        <f>IFERROR(CPQL!AK15/('3.Thanh pham'!G$97+'3.Thanh pham'!G$136),0)</f>
        <v>0</v>
      </c>
      <c r="M76" s="1018">
        <f ca="1">IFERROR(CPQL!K15/('3.Thanh pham'!H$97+'3.Thanh pham'!H$136),0)</f>
        <v>1.2483136593591906</v>
      </c>
      <c r="N76" s="1018">
        <f ca="1">IFERROR(CPQL!L15/('3.Thanh pham'!I$97+'3.Thanh pham'!I$136),0)</f>
        <v>1.6644182124789206</v>
      </c>
      <c r="O76" s="1018">
        <f ca="1">IFERROR(CPQL!M15/('3.Thanh pham'!J$97+'3.Thanh pham'!J$136),0)</f>
        <v>1.1522895317161759</v>
      </c>
      <c r="P76" s="1018">
        <f ca="1">IFERROR(CPQL!N15/('3.Thanh pham'!K$97+'3.Thanh pham'!K$136),0)</f>
        <v>1.0699831365935919</v>
      </c>
      <c r="Q76" s="1018">
        <f ca="1">IFERROR(CPQL!O15/('3.Thanh pham'!L$97+'3.Thanh pham'!L$136),0)</f>
        <v>1.0699831365935919</v>
      </c>
      <c r="R76" s="1018">
        <f ca="1">IFERROR(CPQL!P15/('3.Thanh pham'!M$97+'3.Thanh pham'!M$136),0)</f>
        <v>1.0699831365935919</v>
      </c>
      <c r="S76" s="1018">
        <f ca="1">IFERROR(CPQL!Q15/('3.Thanh pham'!N$97+'3.Thanh pham'!N$136),0)</f>
        <v>1.0699831365935919</v>
      </c>
      <c r="T76" s="1018">
        <f ca="1">IFERROR(CPQL!R15/('3.Thanh pham'!O$97+'3.Thanh pham'!O$136),0)</f>
        <v>1.0699831365935919</v>
      </c>
      <c r="U76" s="1018">
        <f ca="1">IFERROR(CPQL!S15/('3.Thanh pham'!P$97+'3.Thanh pham'!P$136),0)</f>
        <v>1.0699831365935919</v>
      </c>
      <c r="V76" s="1018">
        <f ca="1">IFERROR(CPQL!T15/('3.Thanh pham'!Q$97+'3.Thanh pham'!Q$136),0)</f>
        <v>1.0699831365935919</v>
      </c>
      <c r="W76" s="1018">
        <f ca="1">IFERROR(CPQL!U15/('3.Thanh pham'!R$97+'3.Thanh pham'!R$136),0)</f>
        <v>1.0699831365935919</v>
      </c>
      <c r="X76" s="1018">
        <f ca="1">IFERROR(CPQL!V15/('3.Thanh pham'!S$97+'3.Thanh pham'!S$136),0)</f>
        <v>1.0699831365935919</v>
      </c>
      <c r="Y76" s="1018">
        <f ca="1">IFERROR(CPQL!W15/('3.Thanh pham'!T$97+'3.Thanh pham'!T$136),0)</f>
        <v>1.1234822934232715</v>
      </c>
      <c r="Z76" s="86"/>
    </row>
    <row r="77" spans="2:26" s="6" customFormat="1" ht="12.5" outlineLevel="1" x14ac:dyDescent="0.25">
      <c r="B77" s="589">
        <v>12</v>
      </c>
      <c r="C77" s="589"/>
      <c r="D77" s="981">
        <v>6427003101</v>
      </c>
      <c r="E77" s="638" t="s">
        <v>441</v>
      </c>
      <c r="F77" s="638" t="s">
        <v>570</v>
      </c>
      <c r="G77" s="578" t="str">
        <f>E77</f>
        <v>Chi phí y tế, BH sức khỏe</v>
      </c>
      <c r="H77" s="638" t="s">
        <v>521</v>
      </c>
      <c r="I77" s="578" t="s">
        <v>622</v>
      </c>
      <c r="J77" s="1018">
        <f>IFERROR(CPQL!AO16/('3.Thanh pham'!E$97+'3.Thanh pham'!E$136),0)</f>
        <v>0.90111831003929843</v>
      </c>
      <c r="K77" s="1018">
        <f>IFERROR(CPQL!AM16/('3.Thanh pham'!F$97+'3.Thanh pham'!F$136),0)</f>
        <v>0.5449566849432067</v>
      </c>
      <c r="L77" s="1018">
        <f>IFERROR(CPQL!AK16/('3.Thanh pham'!G$97+'3.Thanh pham'!G$136),0)</f>
        <v>1.7490214307975933</v>
      </c>
      <c r="M77" s="1018">
        <f ca="1">IFERROR(CPQL!K16/('3.Thanh pham'!H$97+'3.Thanh pham'!H$136),0)</f>
        <v>5.5890135141465249</v>
      </c>
      <c r="N77" s="1018">
        <f ca="1">IFERROR(CPQL!L16/('3.Thanh pham'!I$97+'3.Thanh pham'!I$136),0)</f>
        <v>7.4520180188620326</v>
      </c>
      <c r="O77" s="1018">
        <f ca="1">IFERROR(CPQL!M16/('3.Thanh pham'!J$97+'3.Thanh pham'!J$136),0)</f>
        <v>5.1590893976737151</v>
      </c>
      <c r="P77" s="1018">
        <f ca="1">IFERROR(CPQL!N16/('3.Thanh pham'!K$97+'3.Thanh pham'!K$136),0)</f>
        <v>4.7905830121255928</v>
      </c>
      <c r="Q77" s="1018">
        <f ca="1">IFERROR(CPQL!O16/('3.Thanh pham'!L$97+'3.Thanh pham'!L$136),0)</f>
        <v>4.7905830121255928</v>
      </c>
      <c r="R77" s="1018">
        <f ca="1">IFERROR(CPQL!P16/('3.Thanh pham'!M$97+'3.Thanh pham'!M$136),0)</f>
        <v>4.7905830121255928</v>
      </c>
      <c r="S77" s="1018">
        <f ca="1">IFERROR(CPQL!Q16/('3.Thanh pham'!N$97+'3.Thanh pham'!N$136),0)</f>
        <v>4.7905830121255928</v>
      </c>
      <c r="T77" s="1018">
        <f ca="1">IFERROR(CPQL!R16/('3.Thanh pham'!O$97+'3.Thanh pham'!O$136),0)</f>
        <v>4.7905814060868872</v>
      </c>
      <c r="U77" s="1018">
        <f ca="1">IFERROR(CPQL!S16/('3.Thanh pham'!P$97+'3.Thanh pham'!P$136),0)</f>
        <v>2.453713181562676</v>
      </c>
      <c r="V77" s="1018">
        <f ca="1">IFERROR(CPQL!T16/('3.Thanh pham'!Q$97+'3.Thanh pham'!Q$136),0)</f>
        <v>2.453713181562676</v>
      </c>
      <c r="W77" s="1018">
        <f ca="1">IFERROR(CPQL!U16/('3.Thanh pham'!R$97+'3.Thanh pham'!R$136),0)</f>
        <v>2.453713181562676</v>
      </c>
      <c r="X77" s="1018">
        <f ca="1">IFERROR(CPQL!V16/('3.Thanh pham'!S$97+'3.Thanh pham'!S$136),0)</f>
        <v>2.453713181562676</v>
      </c>
      <c r="Y77" s="1018">
        <f ca="1">IFERROR(CPQL!W16/('3.Thanh pham'!T$97+'3.Thanh pham'!T$136),0)</f>
        <v>4.2122075815064637</v>
      </c>
      <c r="Z77" s="86"/>
    </row>
    <row r="78" spans="2:26" s="6" customFormat="1" ht="12.5" hidden="1" outlineLevel="1" x14ac:dyDescent="0.25">
      <c r="B78" s="589">
        <v>13</v>
      </c>
      <c r="C78" s="589"/>
      <c r="D78" s="981">
        <v>6422003502</v>
      </c>
      <c r="E78" s="638" t="s">
        <v>450</v>
      </c>
      <c r="F78" s="638" t="s">
        <v>599</v>
      </c>
      <c r="G78" s="578" t="str">
        <f>E78</f>
        <v>Chi phí xăng dầu xe du lịch, xe gắn máy, xe nâng</v>
      </c>
      <c r="H78" s="638" t="s">
        <v>521</v>
      </c>
      <c r="I78" s="578" t="s">
        <v>623</v>
      </c>
      <c r="J78" s="1018">
        <f>IFERROR(CPQL!AO17/('3.Thanh pham'!E$97+'3.Thanh pham'!E$136),0)</f>
        <v>0</v>
      </c>
      <c r="K78" s="1018">
        <f>IFERROR(CPQL!AM17/('3.Thanh pham'!F$97+'3.Thanh pham'!F$136),0)</f>
        <v>0</v>
      </c>
      <c r="L78" s="1018">
        <f>IFERROR(CPQL!AK17/('3.Thanh pham'!G$97+'3.Thanh pham'!G$136),0)</f>
        <v>0</v>
      </c>
      <c r="M78" s="1018">
        <f>IFERROR(CPQL!K17/('3.Thanh pham'!H$97+'3.Thanh pham'!H$136),0)</f>
        <v>0</v>
      </c>
      <c r="N78" s="1018">
        <f>IFERROR(CPQL!L17/('3.Thanh pham'!I$97+'3.Thanh pham'!I$136),0)</f>
        <v>0</v>
      </c>
      <c r="O78" s="1018">
        <f>IFERROR(CPQL!M17/('3.Thanh pham'!J$97+'3.Thanh pham'!J$136),0)</f>
        <v>0</v>
      </c>
      <c r="P78" s="1018">
        <f>IFERROR(CPQL!N17/('3.Thanh pham'!K$97+'3.Thanh pham'!K$136),0)</f>
        <v>0</v>
      </c>
      <c r="Q78" s="1018">
        <f>IFERROR(CPQL!O17/('3.Thanh pham'!L$97+'3.Thanh pham'!L$136),0)</f>
        <v>0</v>
      </c>
      <c r="R78" s="1018">
        <f>IFERROR(CPQL!P17/('3.Thanh pham'!M$97+'3.Thanh pham'!M$136),0)</f>
        <v>0</v>
      </c>
      <c r="S78" s="1018">
        <f>IFERROR(CPQL!Q17/('3.Thanh pham'!N$97+'3.Thanh pham'!N$136),0)</f>
        <v>0</v>
      </c>
      <c r="T78" s="1018">
        <f>IFERROR(CPQL!R17/('3.Thanh pham'!O$97+'3.Thanh pham'!O$136),0)</f>
        <v>0</v>
      </c>
      <c r="U78" s="1018">
        <f>IFERROR(CPQL!S17/('3.Thanh pham'!P$97+'3.Thanh pham'!P$136),0)</f>
        <v>0</v>
      </c>
      <c r="V78" s="1018">
        <f>IFERROR(CPQL!T17/('3.Thanh pham'!Q$97+'3.Thanh pham'!Q$136),0)</f>
        <v>0</v>
      </c>
      <c r="W78" s="1018">
        <f>IFERROR(CPQL!U17/('3.Thanh pham'!R$97+'3.Thanh pham'!R$136),0)</f>
        <v>0</v>
      </c>
      <c r="X78" s="1018">
        <f>IFERROR(CPQL!V17/('3.Thanh pham'!S$97+'3.Thanh pham'!S$136),0)</f>
        <v>0</v>
      </c>
      <c r="Y78" s="1018">
        <f>IFERROR(CPQL!W17/('3.Thanh pham'!T$97+'3.Thanh pham'!T$136),0)</f>
        <v>0</v>
      </c>
      <c r="Z78" s="86"/>
    </row>
    <row r="79" spans="2:26" s="6" customFormat="1" ht="12.5" outlineLevel="1" x14ac:dyDescent="0.25">
      <c r="B79" s="589">
        <v>14</v>
      </c>
      <c r="C79" s="589"/>
      <c r="D79" s="981">
        <v>6423003002</v>
      </c>
      <c r="E79" s="638" t="s">
        <v>449</v>
      </c>
      <c r="F79" s="638" t="s">
        <v>580</v>
      </c>
      <c r="G79" s="578" t="str">
        <f t="shared" ref="G79:G80" si="4">E79</f>
        <v>Chi phí đồ BHLĐ</v>
      </c>
      <c r="H79" s="638" t="s">
        <v>521</v>
      </c>
      <c r="I79" s="578" t="s">
        <v>622</v>
      </c>
      <c r="J79" s="1018">
        <f>IFERROR(CPQL!AO18/('3.Thanh pham'!E$97+'3.Thanh pham'!E$136),0)</f>
        <v>0</v>
      </c>
      <c r="K79" s="1018">
        <f>IFERROR(CPQL!AM18/('3.Thanh pham'!F$97+'3.Thanh pham'!F$136),0)</f>
        <v>4.2441107065092951E-2</v>
      </c>
      <c r="L79" s="1018">
        <f>IFERROR(CPQL!AK18/('3.Thanh pham'!G$97+'3.Thanh pham'!G$136),0)</f>
        <v>0.83070390696661522</v>
      </c>
      <c r="M79" s="1018">
        <f ca="1">IFERROR(CPQL!K18/('3.Thanh pham'!H$97+'3.Thanh pham'!H$136),0)</f>
        <v>3.7429128585208775</v>
      </c>
      <c r="N79" s="1018">
        <f ca="1">IFERROR(CPQL!L18/('3.Thanh pham'!I$97+'3.Thanh pham'!I$136),0)</f>
        <v>4.9905504780278367</v>
      </c>
      <c r="O79" s="1018">
        <f ca="1">IFERROR(CPQL!M18/('3.Thanh pham'!J$97+'3.Thanh pham'!J$136),0)</f>
        <v>3.4549964847885022</v>
      </c>
      <c r="P79" s="1018">
        <f ca="1">IFERROR(CPQL!N18/('3.Thanh pham'!K$97+'3.Thanh pham'!K$136),0)</f>
        <v>3.2082110215893236</v>
      </c>
      <c r="Q79" s="1018">
        <f ca="1">IFERROR(CPQL!O18/('3.Thanh pham'!L$97+'3.Thanh pham'!L$136),0)</f>
        <v>3.2082110215893236</v>
      </c>
      <c r="R79" s="1018">
        <f ca="1">IFERROR(CPQL!P18/('3.Thanh pham'!M$97+'3.Thanh pham'!M$136),0)</f>
        <v>3.2082110215893236</v>
      </c>
      <c r="S79" s="1018">
        <f ca="1">IFERROR(CPQL!Q18/('3.Thanh pham'!N$97+'3.Thanh pham'!N$136),0)</f>
        <v>3.2082110215893236</v>
      </c>
      <c r="T79" s="1018">
        <f ca="1">IFERROR(CPQL!R18/('3.Thanh pham'!O$97+'3.Thanh pham'!O$136),0)</f>
        <v>3.2082110215893236</v>
      </c>
      <c r="U79" s="1018">
        <f ca="1">IFERROR(CPQL!S18/('3.Thanh pham'!P$97+'3.Thanh pham'!P$136),0)</f>
        <v>3.2082110215893236</v>
      </c>
      <c r="V79" s="1018">
        <f ca="1">IFERROR(CPQL!T18/('3.Thanh pham'!Q$97+'3.Thanh pham'!Q$136),0)</f>
        <v>3.2082110215893236</v>
      </c>
      <c r="W79" s="1018">
        <f ca="1">IFERROR(CPQL!U18/('3.Thanh pham'!R$97+'3.Thanh pham'!R$136),0)</f>
        <v>3.2082110215893236</v>
      </c>
      <c r="X79" s="1018">
        <f ca="1">IFERROR(CPQL!V18/('3.Thanh pham'!S$97+'3.Thanh pham'!S$136),0)</f>
        <v>3.2082110215893236</v>
      </c>
      <c r="Y79" s="1018">
        <f ca="1">IFERROR(CPQL!W18/('3.Thanh pham'!T$97+'3.Thanh pham'!T$136),0)</f>
        <v>3.3686215726687907</v>
      </c>
      <c r="Z79" s="86"/>
    </row>
    <row r="80" spans="2:26" s="6" customFormat="1" ht="12.5" outlineLevel="1" x14ac:dyDescent="0.25">
      <c r="B80" s="589">
        <v>15</v>
      </c>
      <c r="C80" s="589"/>
      <c r="D80" s="981">
        <v>6423002402</v>
      </c>
      <c r="E80" s="638" t="s">
        <v>436</v>
      </c>
      <c r="F80" s="638" t="s">
        <v>580</v>
      </c>
      <c r="G80" s="578" t="str">
        <f t="shared" si="4"/>
        <v>Chi phí CCDC, thiết bị - Phục vụ quản lý</v>
      </c>
      <c r="H80" s="638" t="s">
        <v>521</v>
      </c>
      <c r="I80" s="578" t="s">
        <v>623</v>
      </c>
      <c r="J80" s="1018">
        <f>IFERROR(CPQL!AO19/('3.Thanh pham'!E$97+'3.Thanh pham'!E$136),0)</f>
        <v>2.0510516038109099</v>
      </c>
      <c r="K80" s="1018">
        <f>IFERROR(CPQL!AM19/('3.Thanh pham'!F$97+'3.Thanh pham'!F$136),0)</f>
        <v>5.4147075320493174</v>
      </c>
      <c r="L80" s="1018">
        <f>IFERROR(CPQL!AK19/('3.Thanh pham'!G$97+'3.Thanh pham'!G$136),0)</f>
        <v>8.0255647210359964</v>
      </c>
      <c r="M80" s="1018">
        <f ca="1">IFERROR(CPQL!K19/('3.Thanh pham'!H$97+'3.Thanh pham'!H$136),0)</f>
        <v>12.302983365602815</v>
      </c>
      <c r="N80" s="1018">
        <f ca="1">IFERROR(CPQL!L19/('3.Thanh pham'!I$97+'3.Thanh pham'!I$136),0)</f>
        <v>11.407412959146143</v>
      </c>
      <c r="O80" s="1018">
        <f ca="1">IFERROR(CPQL!M19/('3.Thanh pham'!J$97+'3.Thanh pham'!J$136),0)</f>
        <v>7.8974397409473287</v>
      </c>
      <c r="P80" s="1018">
        <f ca="1">IFERROR(CPQL!N19/('3.Thanh pham'!K$97+'3.Thanh pham'!K$136),0)</f>
        <v>9.4833682200629923</v>
      </c>
      <c r="Q80" s="1018">
        <f ca="1">IFERROR(CPQL!O19/('3.Thanh pham'!L$97+'3.Thanh pham'!L$136),0)</f>
        <v>5.7933208419211786</v>
      </c>
      <c r="R80" s="1018">
        <f ca="1">IFERROR(CPQL!P19/('3.Thanh pham'!M$97+'3.Thanh pham'!M$136),0)</f>
        <v>4.1310884481204884</v>
      </c>
      <c r="S80" s="1018">
        <f ca="1">IFERROR(CPQL!Q19/('3.Thanh pham'!N$97+'3.Thanh pham'!N$136),0)</f>
        <v>7.3431658591860947</v>
      </c>
      <c r="T80" s="1018">
        <f ca="1">IFERROR(CPQL!R19/('3.Thanh pham'!O$97+'3.Thanh pham'!O$136),0)</f>
        <v>4.1310884481204884</v>
      </c>
      <c r="U80" s="1018">
        <f ca="1">IFERROR(CPQL!S19/('3.Thanh pham'!P$97+'3.Thanh pham'!P$136),0)</f>
        <v>4.1310884481204884</v>
      </c>
      <c r="V80" s="1018">
        <f ca="1">IFERROR(CPQL!T19/('3.Thanh pham'!Q$97+'3.Thanh pham'!Q$136),0)</f>
        <v>7.3431658591860947</v>
      </c>
      <c r="W80" s="1018">
        <f ca="1">IFERROR(CPQL!U19/('3.Thanh pham'!R$97+'3.Thanh pham'!R$136),0)</f>
        <v>4.1310884481204884</v>
      </c>
      <c r="X80" s="1018">
        <f ca="1">IFERROR(CPQL!V19/('3.Thanh pham'!S$97+'3.Thanh pham'!S$136),0)</f>
        <v>4.1310884481204884</v>
      </c>
      <c r="Y80" s="1018">
        <f ca="1">IFERROR(CPQL!W19/('3.Thanh pham'!T$97+'3.Thanh pham'!T$136),0)</f>
        <v>6.6351732246580495</v>
      </c>
      <c r="Z80" s="86"/>
    </row>
    <row r="81" spans="2:27" s="6" customFormat="1" ht="12.5" outlineLevel="1" x14ac:dyDescent="0.25">
      <c r="B81" s="589">
        <v>16</v>
      </c>
      <c r="C81" s="589"/>
      <c r="D81" s="981">
        <v>6423005101</v>
      </c>
      <c r="E81" s="638" t="s">
        <v>91</v>
      </c>
      <c r="F81" s="638" t="s">
        <v>572</v>
      </c>
      <c r="G81" s="578" t="s">
        <v>91</v>
      </c>
      <c r="H81" s="638" t="s">
        <v>521</v>
      </c>
      <c r="I81" s="578" t="s">
        <v>623</v>
      </c>
      <c r="J81" s="1018">
        <f>IFERROR(CPQL!AO20/('3.Thanh pham'!E$97+'3.Thanh pham'!E$136),0)</f>
        <v>3.9637812998068824</v>
      </c>
      <c r="K81" s="1018">
        <f>IFERROR(CPQL!AM20/('3.Thanh pham'!F$97+'3.Thanh pham'!F$136),0)</f>
        <v>5.6866920050801033</v>
      </c>
      <c r="L81" s="1018">
        <f>IFERROR(CPQL!AK20/('3.Thanh pham'!G$97+'3.Thanh pham'!G$136),0)</f>
        <v>11.166441709208646</v>
      </c>
      <c r="M81" s="1018">
        <f>IFERROR(CPQL!K20/('3.Thanh pham'!H$97+'3.Thanh pham'!H$136),0)</f>
        <v>16.135194069702077</v>
      </c>
      <c r="N81" s="1018">
        <f>IFERROR(CPQL!L20/('3.Thanh pham'!I$97+'3.Thanh pham'!I$136),0)</f>
        <v>17.358323839860098</v>
      </c>
      <c r="O81" s="1018">
        <f>IFERROR(CPQL!M20/('3.Thanh pham'!J$97+'3.Thanh pham'!J$136),0)</f>
        <v>11.709608812210837</v>
      </c>
      <c r="P81" s="1018">
        <f>IFERROR(CPQL!N20/('3.Thanh pham'!K$97+'3.Thanh pham'!K$136),0)</f>
        <v>11.981535493455393</v>
      </c>
      <c r="Q81" s="1018">
        <f>IFERROR(CPQL!O20/('3.Thanh pham'!L$97+'3.Thanh pham'!L$136),0)</f>
        <v>10.728664699269252</v>
      </c>
      <c r="R81" s="1018">
        <f>IFERROR(CPQL!P20/('3.Thanh pham'!M$97+'3.Thanh pham'!M$136),0)</f>
        <v>12.67542451618084</v>
      </c>
      <c r="S81" s="1018">
        <f>IFERROR(CPQL!Q20/('3.Thanh pham'!N$97+'3.Thanh pham'!N$136),0)</f>
        <v>10.938252750341283</v>
      </c>
      <c r="T81" s="1018">
        <f>IFERROR(CPQL!R20/('3.Thanh pham'!O$97+'3.Thanh pham'!O$136),0)</f>
        <v>11.836028386734121</v>
      </c>
      <c r="U81" s="1018">
        <f>IFERROR(CPQL!S20/('3.Thanh pham'!P$97+'3.Thanh pham'!P$136),0)</f>
        <v>10.98113398377901</v>
      </c>
      <c r="V81" s="1018">
        <f>IFERROR(CPQL!T20/('3.Thanh pham'!Q$97+'3.Thanh pham'!Q$136),0)</f>
        <v>11.128728940817474</v>
      </c>
      <c r="W81" s="1018">
        <f>IFERROR(CPQL!U20/('3.Thanh pham'!R$97+'3.Thanh pham'!R$136),0)</f>
        <v>10.892159439492492</v>
      </c>
      <c r="X81" s="1018">
        <f>IFERROR(CPQL!V20/('3.Thanh pham'!S$97+'3.Thanh pham'!S$136),0)</f>
        <v>13.595925600256965</v>
      </c>
      <c r="Y81" s="1018">
        <f>IFERROR(CPQL!W20/('3.Thanh pham'!T$97+'3.Thanh pham'!T$136),0)</f>
        <v>12.304263195615517</v>
      </c>
      <c r="Z81" s="86"/>
    </row>
    <row r="82" spans="2:27" s="6" customFormat="1" ht="13" hidden="1" outlineLevel="1" x14ac:dyDescent="0.3">
      <c r="B82" s="589">
        <v>17</v>
      </c>
      <c r="C82" s="589"/>
      <c r="D82" s="981">
        <v>6423006501</v>
      </c>
      <c r="E82" s="638" t="s">
        <v>473</v>
      </c>
      <c r="F82" s="638" t="s">
        <v>579</v>
      </c>
      <c r="G82" s="578" t="s">
        <v>90</v>
      </c>
      <c r="H82" s="578" t="s">
        <v>518</v>
      </c>
      <c r="I82" s="578" t="s">
        <v>622</v>
      </c>
      <c r="J82" s="1018">
        <f>IFERROR(CPQL!AO21/('3.Thanh pham'!E$97+'3.Thanh pham'!E$136),0)</f>
        <v>0</v>
      </c>
      <c r="K82" s="1018">
        <f>IFERROR(CPQL!AM21/('3.Thanh pham'!F$97+'3.Thanh pham'!F$136),0)</f>
        <v>0</v>
      </c>
      <c r="L82" s="1018">
        <f>IFERROR(CPQL!AK21/('3.Thanh pham'!G$97+'3.Thanh pham'!G$136),0)</f>
        <v>0</v>
      </c>
      <c r="M82" s="1018">
        <f ca="1">IFERROR(CPQL!K21/('3.Thanh pham'!H$97+'3.Thanh pham'!H$136),0)</f>
        <v>0</v>
      </c>
      <c r="N82" s="1018">
        <f ca="1">IFERROR(CPQL!L21/('3.Thanh pham'!I$97+'3.Thanh pham'!I$136),0)</f>
        <v>0</v>
      </c>
      <c r="O82" s="1018">
        <f ca="1">IFERROR(CPQL!M21/('3.Thanh pham'!J$97+'3.Thanh pham'!J$136),0)</f>
        <v>0</v>
      </c>
      <c r="P82" s="1018">
        <f ca="1">IFERROR(CPQL!N21/('3.Thanh pham'!K$97+'3.Thanh pham'!K$136),0)</f>
        <v>0</v>
      </c>
      <c r="Q82" s="1018">
        <f ca="1">IFERROR(CPQL!O21/('3.Thanh pham'!L$97+'3.Thanh pham'!L$136),0)</f>
        <v>0</v>
      </c>
      <c r="R82" s="1018">
        <f ca="1">IFERROR(CPQL!P21/('3.Thanh pham'!M$97+'3.Thanh pham'!M$136),0)</f>
        <v>0</v>
      </c>
      <c r="S82" s="1018">
        <f ca="1">IFERROR(CPQL!Q21/('3.Thanh pham'!N$97+'3.Thanh pham'!N$136),0)</f>
        <v>0</v>
      </c>
      <c r="T82" s="1018">
        <f ca="1">IFERROR(CPQL!R21/('3.Thanh pham'!O$97+'3.Thanh pham'!O$136),0)</f>
        <v>0</v>
      </c>
      <c r="U82" s="1018">
        <f ca="1">IFERROR(CPQL!S21/('3.Thanh pham'!P$97+'3.Thanh pham'!P$136),0)</f>
        <v>0</v>
      </c>
      <c r="V82" s="1018">
        <f ca="1">IFERROR(CPQL!T21/('3.Thanh pham'!Q$97+'3.Thanh pham'!Q$136),0)</f>
        <v>0</v>
      </c>
      <c r="W82" s="1018">
        <f ca="1">IFERROR(CPQL!U21/('3.Thanh pham'!R$97+'3.Thanh pham'!R$136),0)</f>
        <v>0</v>
      </c>
      <c r="X82" s="1018">
        <f ca="1">IFERROR(CPQL!V21/('3.Thanh pham'!S$97+'3.Thanh pham'!S$136),0)</f>
        <v>0</v>
      </c>
      <c r="Y82" s="1018">
        <f ca="1">IFERROR(CPQL!W21/('3.Thanh pham'!T$97+'3.Thanh pham'!T$136),0)</f>
        <v>0</v>
      </c>
      <c r="Z82" s="86"/>
      <c r="AA82" s="5"/>
    </row>
    <row r="83" spans="2:27" s="6" customFormat="1" ht="12.5" outlineLevel="1" x14ac:dyDescent="0.25">
      <c r="B83" s="589">
        <v>18</v>
      </c>
      <c r="C83" s="589"/>
      <c r="D83" s="981">
        <v>6425006101</v>
      </c>
      <c r="E83" s="638" t="s">
        <v>494</v>
      </c>
      <c r="F83" s="638" t="s">
        <v>588</v>
      </c>
      <c r="G83" s="578" t="str">
        <f>E83</f>
        <v>Chi phí công chứng, sao y, thuế khác</v>
      </c>
      <c r="H83" s="578" t="s">
        <v>522</v>
      </c>
      <c r="I83" s="578" t="s">
        <v>623</v>
      </c>
      <c r="J83" s="1018">
        <f>IFERROR(CPQL!AO22/('3.Thanh pham'!E$97+'3.Thanh pham'!E$136),0)</f>
        <v>0.53071321398949423</v>
      </c>
      <c r="K83" s="1018">
        <f>IFERROR(CPQL!AM22/('3.Thanh pham'!F$97+'3.Thanh pham'!F$136),0)</f>
        <v>0.61286797205910393</v>
      </c>
      <c r="L83" s="1018">
        <f>IFERROR(CPQL!AK22/('3.Thanh pham'!G$97+'3.Thanh pham'!G$136),0)</f>
        <v>0.5112024042871478</v>
      </c>
      <c r="M83" s="1018">
        <f>IFERROR(CPQL!K22/('3.Thanh pham'!H$97+'3.Thanh pham'!H$136),0)</f>
        <v>5.6211354693648117</v>
      </c>
      <c r="N83" s="1018">
        <f>IFERROR(CPQL!L22/('3.Thanh pham'!I$97+'3.Thanh pham'!I$136),0)</f>
        <v>0</v>
      </c>
      <c r="O83" s="1018">
        <f>IFERROR(CPQL!M22/('3.Thanh pham'!J$97+'3.Thanh pham'!J$136),0)</f>
        <v>0</v>
      </c>
      <c r="P83" s="1018">
        <f>IFERROR(CPQL!N22/('3.Thanh pham'!K$97+'3.Thanh pham'!K$136),0)</f>
        <v>0</v>
      </c>
      <c r="Q83" s="1018">
        <f>IFERROR(CPQL!O22/('3.Thanh pham'!L$97+'3.Thanh pham'!L$136),0)</f>
        <v>0</v>
      </c>
      <c r="R83" s="1018">
        <f>IFERROR(CPQL!P22/('3.Thanh pham'!M$97+'3.Thanh pham'!M$136),0)</f>
        <v>0</v>
      </c>
      <c r="S83" s="1018">
        <f>IFERROR(CPQL!Q22/('3.Thanh pham'!N$97+'3.Thanh pham'!N$136),0)</f>
        <v>0</v>
      </c>
      <c r="T83" s="1018">
        <f>IFERROR(CPQL!R22/('3.Thanh pham'!O$97+'3.Thanh pham'!O$136),0)</f>
        <v>0</v>
      </c>
      <c r="U83" s="1018">
        <f>IFERROR(CPQL!S22/('3.Thanh pham'!P$97+'3.Thanh pham'!P$136),0)</f>
        <v>0</v>
      </c>
      <c r="V83" s="1018">
        <f>IFERROR(CPQL!T22/('3.Thanh pham'!Q$97+'3.Thanh pham'!Q$136),0)</f>
        <v>0</v>
      </c>
      <c r="W83" s="1018">
        <f>IFERROR(CPQL!U22/('3.Thanh pham'!R$97+'3.Thanh pham'!R$136),0)</f>
        <v>0</v>
      </c>
      <c r="X83" s="1018">
        <f>IFERROR(CPQL!V22/('3.Thanh pham'!S$97+'3.Thanh pham'!S$136),0)</f>
        <v>0</v>
      </c>
      <c r="Y83" s="1018">
        <f>IFERROR(CPQL!W22/('3.Thanh pham'!T$97+'3.Thanh pham'!T$136),0)</f>
        <v>0.42158516020236086</v>
      </c>
      <c r="Z83" s="86"/>
    </row>
    <row r="84" spans="2:27" s="6" customFormat="1" ht="12.5" outlineLevel="1" x14ac:dyDescent="0.25">
      <c r="B84" s="589">
        <v>19</v>
      </c>
      <c r="C84" s="589"/>
      <c r="D84" s="981">
        <v>6426007001</v>
      </c>
      <c r="E84" s="638" t="s">
        <v>493</v>
      </c>
      <c r="F84" s="638" t="s">
        <v>589</v>
      </c>
      <c r="G84" s="578" t="str">
        <f>E84</f>
        <v>Dự phòng nợ khó đòi</v>
      </c>
      <c r="H84" s="578" t="s">
        <v>522</v>
      </c>
      <c r="I84" s="578" t="s">
        <v>623</v>
      </c>
      <c r="J84" s="1018">
        <f>IFERROR(CPQL!AO23/('3.Thanh pham'!E$97+'3.Thanh pham'!E$136),0)</f>
        <v>0</v>
      </c>
      <c r="K84" s="1018">
        <f>IFERROR(CPQL!AM23/('3.Thanh pham'!F$97+'3.Thanh pham'!F$136),0)</f>
        <v>0</v>
      </c>
      <c r="L84" s="1018">
        <f>IFERROR(CPQL!AK23/('3.Thanh pham'!G$97+'3.Thanh pham'!G$136),0)</f>
        <v>0</v>
      </c>
      <c r="M84" s="1018">
        <f>IFERROR(CPQL!K23/('3.Thanh pham'!H$97+'3.Thanh pham'!H$136),0)</f>
        <v>12.149099525326339</v>
      </c>
      <c r="N84" s="1018">
        <f>IFERROR(CPQL!L23/('3.Thanh pham'!I$97+'3.Thanh pham'!I$136),0)</f>
        <v>16.198799367101785</v>
      </c>
      <c r="O84" s="1018">
        <f>IFERROR(CPQL!M23/('3.Thanh pham'!J$97+'3.Thanh pham'!J$136),0)</f>
        <v>11.214553407993543</v>
      </c>
      <c r="P84" s="1018">
        <f>IFERROR(CPQL!N23/('3.Thanh pham'!K$97+'3.Thanh pham'!K$136),0)</f>
        <v>10.413513878851148</v>
      </c>
      <c r="Q84" s="1018">
        <f>IFERROR(CPQL!O23/('3.Thanh pham'!L$97+'3.Thanh pham'!L$136),0)</f>
        <v>10.413513878851148</v>
      </c>
      <c r="R84" s="1018">
        <f>IFERROR(CPQL!P23/('3.Thanh pham'!M$97+'3.Thanh pham'!M$136),0)</f>
        <v>10.413513878851148</v>
      </c>
      <c r="S84" s="1018">
        <f>IFERROR(CPQL!Q23/('3.Thanh pham'!N$97+'3.Thanh pham'!N$136),0)</f>
        <v>10.413513878851148</v>
      </c>
      <c r="T84" s="1018">
        <f>IFERROR(CPQL!R23/('3.Thanh pham'!O$97+'3.Thanh pham'!O$136),0)</f>
        <v>10.413513878851148</v>
      </c>
      <c r="U84" s="1018">
        <f>IFERROR(CPQL!S23/('3.Thanh pham'!P$97+'3.Thanh pham'!P$136),0)</f>
        <v>10.413513878851148</v>
      </c>
      <c r="V84" s="1018">
        <f>IFERROR(CPQL!T23/('3.Thanh pham'!Q$97+'3.Thanh pham'!Q$136),0)</f>
        <v>10.413513878851148</v>
      </c>
      <c r="W84" s="1018">
        <f>IFERROR(CPQL!U23/('3.Thanh pham'!R$97+'3.Thanh pham'!R$136),0)</f>
        <v>10.413513878851148</v>
      </c>
      <c r="X84" s="1018">
        <f>IFERROR(CPQL!V23/('3.Thanh pham'!S$97+'3.Thanh pham'!S$136),0)</f>
        <v>10.413513878851148</v>
      </c>
      <c r="Y84" s="1018">
        <f>IFERROR(CPQL!W23/('3.Thanh pham'!T$97+'3.Thanh pham'!T$136),0)</f>
        <v>10.934189572793704</v>
      </c>
      <c r="Z84" s="86"/>
    </row>
    <row r="85" spans="2:27" s="6" customFormat="1" ht="12.5" hidden="1" outlineLevel="1" x14ac:dyDescent="0.25">
      <c r="B85" s="589">
        <v>20</v>
      </c>
      <c r="C85" s="589"/>
      <c r="D85" s="981">
        <v>6427001802</v>
      </c>
      <c r="E85" s="638" t="s">
        <v>453</v>
      </c>
      <c r="F85" s="638" t="s">
        <v>573</v>
      </c>
      <c r="G85" s="578" t="s">
        <v>97</v>
      </c>
      <c r="H85" s="578" t="s">
        <v>518</v>
      </c>
      <c r="I85" s="578" t="s">
        <v>623</v>
      </c>
      <c r="J85" s="1018">
        <f>IFERROR(CPQL!AO24/('3.Thanh pham'!E$97+'3.Thanh pham'!E$136),0)</f>
        <v>0</v>
      </c>
      <c r="K85" s="1018">
        <f>IFERROR(CPQL!AM24/('3.Thanh pham'!F$97+'3.Thanh pham'!F$136),0)</f>
        <v>0</v>
      </c>
      <c r="L85" s="1018">
        <f>IFERROR(CPQL!AK24/('3.Thanh pham'!G$97+'3.Thanh pham'!G$136),0)</f>
        <v>0</v>
      </c>
      <c r="M85" s="1018">
        <f>IFERROR(CPQL!K24/('3.Thanh pham'!H$97+'3.Thanh pham'!H$136),0)</f>
        <v>0</v>
      </c>
      <c r="N85" s="1018">
        <f>IFERROR(CPQL!L24/('3.Thanh pham'!I$97+'3.Thanh pham'!I$136),0)</f>
        <v>0</v>
      </c>
      <c r="O85" s="1018">
        <f>IFERROR(CPQL!M24/('3.Thanh pham'!J$97+'3.Thanh pham'!J$136),0)</f>
        <v>0</v>
      </c>
      <c r="P85" s="1018">
        <f>IFERROR(CPQL!N24/('3.Thanh pham'!K$97+'3.Thanh pham'!K$136),0)</f>
        <v>0</v>
      </c>
      <c r="Q85" s="1018">
        <f>IFERROR(CPQL!O24/('3.Thanh pham'!L$97+'3.Thanh pham'!L$136),0)</f>
        <v>0</v>
      </c>
      <c r="R85" s="1018">
        <f>IFERROR(CPQL!P24/('3.Thanh pham'!M$97+'3.Thanh pham'!M$136),0)</f>
        <v>0</v>
      </c>
      <c r="S85" s="1018">
        <f>IFERROR(CPQL!Q24/('3.Thanh pham'!N$97+'3.Thanh pham'!N$136),0)</f>
        <v>0</v>
      </c>
      <c r="T85" s="1018">
        <f>IFERROR(CPQL!R24/('3.Thanh pham'!O$97+'3.Thanh pham'!O$136),0)</f>
        <v>0</v>
      </c>
      <c r="U85" s="1018">
        <f>IFERROR(CPQL!S24/('3.Thanh pham'!P$97+'3.Thanh pham'!P$136),0)</f>
        <v>0</v>
      </c>
      <c r="V85" s="1018">
        <f>IFERROR(CPQL!T24/('3.Thanh pham'!Q$97+'3.Thanh pham'!Q$136),0)</f>
        <v>0</v>
      </c>
      <c r="W85" s="1018">
        <f>IFERROR(CPQL!U24/('3.Thanh pham'!R$97+'3.Thanh pham'!R$136),0)</f>
        <v>0</v>
      </c>
      <c r="X85" s="1018">
        <f>IFERROR(CPQL!V24/('3.Thanh pham'!S$97+'3.Thanh pham'!S$136),0)</f>
        <v>0</v>
      </c>
      <c r="Y85" s="1018">
        <f>IFERROR(CPQL!W24/('3.Thanh pham'!T$97+'3.Thanh pham'!T$136),0)</f>
        <v>0</v>
      </c>
      <c r="Z85" s="86"/>
    </row>
    <row r="86" spans="2:27" s="6" customFormat="1" ht="12.5" outlineLevel="1" x14ac:dyDescent="0.25">
      <c r="B86" s="589">
        <v>21</v>
      </c>
      <c r="C86" s="589"/>
      <c r="D86" s="981">
        <v>6427002001</v>
      </c>
      <c r="E86" s="638" t="s">
        <v>447</v>
      </c>
      <c r="F86" s="638" t="s">
        <v>579</v>
      </c>
      <c r="G86" s="578" t="str">
        <f>E86</f>
        <v>Chi phí xây dựng, sửa chữa nhà xưởng, văn phòng</v>
      </c>
      <c r="H86" s="578" t="s">
        <v>514</v>
      </c>
      <c r="I86" s="578" t="s">
        <v>622</v>
      </c>
      <c r="J86" s="1018">
        <f>IFERROR(CPQL!AO25/('3.Thanh pham'!E$97+'3.Thanh pham'!E$136),0)</f>
        <v>14.495447144015488</v>
      </c>
      <c r="K86" s="1018">
        <f>IFERROR(CPQL!AM25/('3.Thanh pham'!F$97+'3.Thanh pham'!F$136),0)</f>
        <v>3.0150857042743699</v>
      </c>
      <c r="L86" s="1018">
        <f>IFERROR(CPQL!AK25/('3.Thanh pham'!G$97+'3.Thanh pham'!G$136),0)</f>
        <v>6.2084760085043635</v>
      </c>
      <c r="M86" s="1018">
        <f ca="1">IFERROR(CPQL!K25/('3.Thanh pham'!H$97+'3.Thanh pham'!H$136),0)</f>
        <v>6.6982611954281435</v>
      </c>
      <c r="N86" s="1018">
        <f ca="1">IFERROR(CPQL!L25/('3.Thanh pham'!I$97+'3.Thanh pham'!I$136),0)</f>
        <v>8.9310149272375234</v>
      </c>
      <c r="O86" s="1018">
        <f ca="1">IFERROR(CPQL!M25/('3.Thanh pham'!J$97+'3.Thanh pham'!J$136),0)</f>
        <v>6.1830103342413629</v>
      </c>
      <c r="P86" s="1018">
        <f ca="1">IFERROR(CPQL!N25/('3.Thanh pham'!K$97+'3.Thanh pham'!K$136),0)</f>
        <v>5.7413667389384084</v>
      </c>
      <c r="Q86" s="1018">
        <f ca="1">IFERROR(CPQL!O25/('3.Thanh pham'!L$97+'3.Thanh pham'!L$136),0)</f>
        <v>5.7413667389384084</v>
      </c>
      <c r="R86" s="1018">
        <f ca="1">IFERROR(CPQL!P25/('3.Thanh pham'!M$97+'3.Thanh pham'!M$136),0)</f>
        <v>5.7413603147835861</v>
      </c>
      <c r="S86" s="1018">
        <f ca="1">IFERROR(CPQL!Q25/('3.Thanh pham'!N$97+'3.Thanh pham'!N$136),0)</f>
        <v>4.6345378623624827</v>
      </c>
      <c r="T86" s="1018">
        <f ca="1">IFERROR(CPQL!R25/('3.Thanh pham'!O$97+'3.Thanh pham'!O$136),0)</f>
        <v>4.6345378623624827</v>
      </c>
      <c r="U86" s="1018">
        <f ca="1">IFERROR(CPQL!S25/('3.Thanh pham'!P$97+'3.Thanh pham'!P$136),0)</f>
        <v>4.6345378623624827</v>
      </c>
      <c r="V86" s="1018">
        <f ca="1">IFERROR(CPQL!T25/('3.Thanh pham'!Q$97+'3.Thanh pham'!Q$136),0)</f>
        <v>4.6345378623624827</v>
      </c>
      <c r="W86" s="1018">
        <f ca="1">IFERROR(CPQL!U25/('3.Thanh pham'!R$97+'3.Thanh pham'!R$136),0)</f>
        <v>4.6345378623624827</v>
      </c>
      <c r="X86" s="1018">
        <f ca="1">IFERROR(CPQL!V25/('3.Thanh pham'!S$97+'3.Thanh pham'!S$136),0)</f>
        <v>4.6345378623624827</v>
      </c>
      <c r="Y86" s="1018">
        <f ca="1">IFERROR(CPQL!W25/('3.Thanh pham'!T$97+'3.Thanh pham'!T$136),0)</f>
        <v>5.4473493535694208</v>
      </c>
      <c r="Z86" s="86"/>
    </row>
    <row r="87" spans="2:27" s="6" customFormat="1" ht="12.5" hidden="1" outlineLevel="1" x14ac:dyDescent="0.25">
      <c r="B87" s="589">
        <v>22</v>
      </c>
      <c r="C87" s="589"/>
      <c r="D87" s="981">
        <v>6427002301</v>
      </c>
      <c r="E87" s="638" t="s">
        <v>485</v>
      </c>
      <c r="F87" s="638" t="s">
        <v>577</v>
      </c>
      <c r="G87" s="578" t="str">
        <f>E87</f>
        <v>Chi phí bảo hiểm tài sản</v>
      </c>
      <c r="H87" s="578" t="s">
        <v>522</v>
      </c>
      <c r="I87" s="578" t="s">
        <v>622</v>
      </c>
      <c r="J87" s="1018">
        <f>IFERROR(CPQL!AO26/('3.Thanh pham'!E$97+'3.Thanh pham'!E$136),0)</f>
        <v>0</v>
      </c>
      <c r="K87" s="1018">
        <f>IFERROR(CPQL!AM26/('3.Thanh pham'!F$97+'3.Thanh pham'!F$136),0)</f>
        <v>0</v>
      </c>
      <c r="L87" s="1018">
        <f>IFERROR(CPQL!AK26/('3.Thanh pham'!G$97+'3.Thanh pham'!G$136),0)</f>
        <v>0</v>
      </c>
      <c r="M87" s="1018">
        <f>IFERROR(CPQL!K26/('3.Thanh pham'!H$97+'3.Thanh pham'!H$136),0)</f>
        <v>0</v>
      </c>
      <c r="N87" s="1018">
        <f>IFERROR(CPQL!L26/('3.Thanh pham'!I$97+'3.Thanh pham'!I$136),0)</f>
        <v>0</v>
      </c>
      <c r="O87" s="1018">
        <f>IFERROR(CPQL!M26/('3.Thanh pham'!J$97+'3.Thanh pham'!J$136),0)</f>
        <v>0</v>
      </c>
      <c r="P87" s="1018">
        <f>IFERROR(CPQL!N26/('3.Thanh pham'!K$97+'3.Thanh pham'!K$136),0)</f>
        <v>0</v>
      </c>
      <c r="Q87" s="1018">
        <f>IFERROR(CPQL!O26/('3.Thanh pham'!L$97+'3.Thanh pham'!L$136),0)</f>
        <v>0</v>
      </c>
      <c r="R87" s="1018">
        <f>IFERROR(CPQL!P26/('3.Thanh pham'!M$97+'3.Thanh pham'!M$136),0)</f>
        <v>0</v>
      </c>
      <c r="S87" s="1018">
        <f>IFERROR(CPQL!Q26/('3.Thanh pham'!N$97+'3.Thanh pham'!N$136),0)</f>
        <v>0</v>
      </c>
      <c r="T87" s="1018">
        <f>IFERROR(CPQL!R26/('3.Thanh pham'!O$97+'3.Thanh pham'!O$136),0)</f>
        <v>0</v>
      </c>
      <c r="U87" s="1018">
        <f>IFERROR(CPQL!S26/('3.Thanh pham'!P$97+'3.Thanh pham'!P$136),0)</f>
        <v>0</v>
      </c>
      <c r="V87" s="1018">
        <f>IFERROR(CPQL!T26/('3.Thanh pham'!Q$97+'3.Thanh pham'!Q$136),0)</f>
        <v>0</v>
      </c>
      <c r="W87" s="1018">
        <f>IFERROR(CPQL!U26/('3.Thanh pham'!R$97+'3.Thanh pham'!R$136),0)</f>
        <v>0</v>
      </c>
      <c r="X87" s="1018">
        <f>IFERROR(CPQL!V26/('3.Thanh pham'!S$97+'3.Thanh pham'!S$136),0)</f>
        <v>0</v>
      </c>
      <c r="Y87" s="1018">
        <f>IFERROR(CPQL!W26/('3.Thanh pham'!T$97+'3.Thanh pham'!T$136),0)</f>
        <v>0</v>
      </c>
      <c r="Z87" s="86"/>
    </row>
    <row r="88" spans="2:27" s="6" customFormat="1" ht="12.5" hidden="1" outlineLevel="1" x14ac:dyDescent="0.25">
      <c r="B88" s="589">
        <v>23</v>
      </c>
      <c r="C88" s="589"/>
      <c r="D88" s="981">
        <v>6427002804</v>
      </c>
      <c r="E88" s="638" t="s">
        <v>451</v>
      </c>
      <c r="F88" s="638" t="s">
        <v>575</v>
      </c>
      <c r="G88" s="578" t="str">
        <f>E88</f>
        <v>Tiền nước uống</v>
      </c>
      <c r="H88" s="638" t="s">
        <v>521</v>
      </c>
      <c r="I88" s="578" t="s">
        <v>623</v>
      </c>
      <c r="J88" s="1018">
        <f>IFERROR(CPQL!AO27/('3.Thanh pham'!E$97+'3.Thanh pham'!E$136),0)</f>
        <v>0</v>
      </c>
      <c r="K88" s="1018">
        <f>IFERROR(CPQL!AM27/('3.Thanh pham'!F$97+'3.Thanh pham'!F$136),0)</f>
        <v>0</v>
      </c>
      <c r="L88" s="1018">
        <f>IFERROR(CPQL!AK27/('3.Thanh pham'!G$97+'3.Thanh pham'!G$136),0)</f>
        <v>0</v>
      </c>
      <c r="M88" s="1018">
        <f>IFERROR(CPQL!K27/('3.Thanh pham'!H$97+'3.Thanh pham'!H$136),0)</f>
        <v>0</v>
      </c>
      <c r="N88" s="1018">
        <f>IFERROR(CPQL!L27/('3.Thanh pham'!I$97+'3.Thanh pham'!I$136),0)</f>
        <v>0</v>
      </c>
      <c r="O88" s="1018">
        <f>IFERROR(CPQL!M27/('3.Thanh pham'!J$97+'3.Thanh pham'!J$136),0)</f>
        <v>0</v>
      </c>
      <c r="P88" s="1018">
        <f>IFERROR(CPQL!N27/('3.Thanh pham'!K$97+'3.Thanh pham'!K$136),0)</f>
        <v>0</v>
      </c>
      <c r="Q88" s="1018">
        <f>IFERROR(CPQL!O27/('3.Thanh pham'!L$97+'3.Thanh pham'!L$136),0)</f>
        <v>0</v>
      </c>
      <c r="R88" s="1018">
        <f>IFERROR(CPQL!P27/('3.Thanh pham'!M$97+'3.Thanh pham'!M$136),0)</f>
        <v>0</v>
      </c>
      <c r="S88" s="1018">
        <f>IFERROR(CPQL!Q27/('3.Thanh pham'!N$97+'3.Thanh pham'!N$136),0)</f>
        <v>0</v>
      </c>
      <c r="T88" s="1018">
        <f>IFERROR(CPQL!R27/('3.Thanh pham'!O$97+'3.Thanh pham'!O$136),0)</f>
        <v>0</v>
      </c>
      <c r="U88" s="1018">
        <f>IFERROR(CPQL!S27/('3.Thanh pham'!P$97+'3.Thanh pham'!P$136),0)</f>
        <v>0</v>
      </c>
      <c r="V88" s="1018">
        <f>IFERROR(CPQL!T27/('3.Thanh pham'!Q$97+'3.Thanh pham'!Q$136),0)</f>
        <v>0</v>
      </c>
      <c r="W88" s="1018">
        <f>IFERROR(CPQL!U27/('3.Thanh pham'!R$97+'3.Thanh pham'!R$136),0)</f>
        <v>0</v>
      </c>
      <c r="X88" s="1018">
        <f>IFERROR(CPQL!V27/('3.Thanh pham'!S$97+'3.Thanh pham'!S$136),0)</f>
        <v>0</v>
      </c>
      <c r="Y88" s="1018">
        <f>IFERROR(CPQL!W27/('3.Thanh pham'!T$97+'3.Thanh pham'!T$136),0)</f>
        <v>0</v>
      </c>
      <c r="Z88" s="86"/>
    </row>
    <row r="89" spans="2:27" s="6" customFormat="1" ht="12.5" outlineLevel="1" x14ac:dyDescent="0.25">
      <c r="B89" s="589">
        <v>24</v>
      </c>
      <c r="C89" s="589"/>
      <c r="D89" s="981">
        <v>6427003302</v>
      </c>
      <c r="E89" s="638" t="s">
        <v>446</v>
      </c>
      <c r="F89" s="638" t="s">
        <v>585</v>
      </c>
      <c r="G89" s="578" t="str">
        <f t="shared" ref="G89:G90" si="5">E89</f>
        <v>Chi phí đào tạo</v>
      </c>
      <c r="H89" s="638" t="s">
        <v>521</v>
      </c>
      <c r="I89" s="578" t="s">
        <v>623</v>
      </c>
      <c r="J89" s="1018">
        <f>IFERROR(CPQL!AO28/('3.Thanh pham'!E$97+'3.Thanh pham'!E$136),0)</f>
        <v>0</v>
      </c>
      <c r="K89" s="1018">
        <f>IFERROR(CPQL!AM28/('3.Thanh pham'!F$97+'3.Thanh pham'!F$136),0)</f>
        <v>0</v>
      </c>
      <c r="L89" s="1018">
        <f>IFERROR(CPQL!AK28/('3.Thanh pham'!G$97+'3.Thanh pham'!G$136),0)</f>
        <v>4.0299789537970154</v>
      </c>
      <c r="M89" s="1018">
        <f>IFERROR(CPQL!K28/('3.Thanh pham'!H$97+'3.Thanh pham'!H$136),0)</f>
        <v>0</v>
      </c>
      <c r="N89" s="1018">
        <f>IFERROR(CPQL!L28/('3.Thanh pham'!I$97+'3.Thanh pham'!I$136),0)</f>
        <v>0</v>
      </c>
      <c r="O89" s="1018">
        <f>IFERROR(CPQL!M28/('3.Thanh pham'!J$97+'3.Thanh pham'!J$136),0)</f>
        <v>0</v>
      </c>
      <c r="P89" s="1018">
        <f>IFERROR(CPQL!N28/('3.Thanh pham'!K$97+'3.Thanh pham'!K$136),0)</f>
        <v>0</v>
      </c>
      <c r="Q89" s="1018">
        <f>IFERROR(CPQL!O28/('3.Thanh pham'!L$97+'3.Thanh pham'!L$136),0)</f>
        <v>10.118043844856661</v>
      </c>
      <c r="R89" s="1018">
        <f>IFERROR(CPQL!P28/('3.Thanh pham'!M$97+'3.Thanh pham'!M$136),0)</f>
        <v>0</v>
      </c>
      <c r="S89" s="1018">
        <f>IFERROR(CPQL!Q28/('3.Thanh pham'!N$97+'3.Thanh pham'!N$136),0)</f>
        <v>4.0150967638320081</v>
      </c>
      <c r="T89" s="1018">
        <f>IFERROR(CPQL!R28/('3.Thanh pham'!O$97+'3.Thanh pham'!O$136),0)</f>
        <v>0</v>
      </c>
      <c r="U89" s="1018">
        <f>IFERROR(CPQL!S28/('3.Thanh pham'!P$97+'3.Thanh pham'!P$136),0)</f>
        <v>0</v>
      </c>
      <c r="V89" s="1018">
        <f>IFERROR(CPQL!T28/('3.Thanh pham'!Q$97+'3.Thanh pham'!Q$136),0)</f>
        <v>18.148237372520679</v>
      </c>
      <c r="W89" s="1018">
        <f>IFERROR(CPQL!U28/('3.Thanh pham'!R$97+'3.Thanh pham'!R$136),0)</f>
        <v>0</v>
      </c>
      <c r="X89" s="1018">
        <f>IFERROR(CPQL!V28/('3.Thanh pham'!S$97+'3.Thanh pham'!S$136),0)</f>
        <v>0</v>
      </c>
      <c r="Y89" s="1018">
        <f>IFERROR(CPQL!W28/('3.Thanh pham'!T$97+'3.Thanh pham'!T$136),0)</f>
        <v>2.8246205733558178</v>
      </c>
      <c r="Z89" s="86"/>
    </row>
    <row r="90" spans="2:27" s="6" customFormat="1" ht="12.5" hidden="1" outlineLevel="1" x14ac:dyDescent="0.25">
      <c r="B90" s="589">
        <v>25</v>
      </c>
      <c r="C90" s="589"/>
      <c r="D90" s="981">
        <v>6427003301</v>
      </c>
      <c r="E90" s="638" t="s">
        <v>486</v>
      </c>
      <c r="F90" s="638" t="s">
        <v>586</v>
      </c>
      <c r="G90" s="578" t="str">
        <f t="shared" si="5"/>
        <v>Chi phí tuyển dụng</v>
      </c>
      <c r="H90" s="638" t="s">
        <v>521</v>
      </c>
      <c r="I90" s="578" t="s">
        <v>623</v>
      </c>
      <c r="J90" s="1018">
        <f>IFERROR(CPQL!AO29/('3.Thanh pham'!E$97+'3.Thanh pham'!E$136),0)</f>
        <v>0</v>
      </c>
      <c r="K90" s="1018">
        <f>IFERROR(CPQL!AM29/('3.Thanh pham'!F$97+'3.Thanh pham'!F$136),0)</f>
        <v>0</v>
      </c>
      <c r="L90" s="1018">
        <f>IFERROR(CPQL!AK29/('3.Thanh pham'!G$97+'3.Thanh pham'!G$136),0)</f>
        <v>0</v>
      </c>
      <c r="M90" s="1018">
        <f>IFERROR(CPQL!K29/('3.Thanh pham'!H$97+'3.Thanh pham'!H$136),0)</f>
        <v>0</v>
      </c>
      <c r="N90" s="1018">
        <f>IFERROR(CPQL!L29/('3.Thanh pham'!I$97+'3.Thanh pham'!I$136),0)</f>
        <v>0</v>
      </c>
      <c r="O90" s="1018">
        <f>IFERROR(CPQL!M29/('3.Thanh pham'!J$97+'3.Thanh pham'!J$136),0)</f>
        <v>0</v>
      </c>
      <c r="P90" s="1018">
        <f>IFERROR(CPQL!N29/('3.Thanh pham'!K$97+'3.Thanh pham'!K$136),0)</f>
        <v>0</v>
      </c>
      <c r="Q90" s="1018">
        <f>IFERROR(CPQL!O29/('3.Thanh pham'!L$97+'3.Thanh pham'!L$136),0)</f>
        <v>0</v>
      </c>
      <c r="R90" s="1018">
        <f>IFERROR(CPQL!P29/('3.Thanh pham'!M$97+'3.Thanh pham'!M$136),0)</f>
        <v>0</v>
      </c>
      <c r="S90" s="1018">
        <f>IFERROR(CPQL!Q29/('3.Thanh pham'!N$97+'3.Thanh pham'!N$136),0)</f>
        <v>0</v>
      </c>
      <c r="T90" s="1018">
        <f>IFERROR(CPQL!R29/('3.Thanh pham'!O$97+'3.Thanh pham'!O$136),0)</f>
        <v>0</v>
      </c>
      <c r="U90" s="1018">
        <f>IFERROR(CPQL!S29/('3.Thanh pham'!P$97+'3.Thanh pham'!P$136),0)</f>
        <v>0</v>
      </c>
      <c r="V90" s="1018">
        <f>IFERROR(CPQL!T29/('3.Thanh pham'!Q$97+'3.Thanh pham'!Q$136),0)</f>
        <v>0</v>
      </c>
      <c r="W90" s="1018">
        <f>IFERROR(CPQL!U29/('3.Thanh pham'!R$97+'3.Thanh pham'!R$136),0)</f>
        <v>0</v>
      </c>
      <c r="X90" s="1018">
        <f>IFERROR(CPQL!V29/('3.Thanh pham'!S$97+'3.Thanh pham'!S$136),0)</f>
        <v>0</v>
      </c>
      <c r="Y90" s="1018">
        <f>IFERROR(CPQL!W29/('3.Thanh pham'!T$97+'3.Thanh pham'!T$136),0)</f>
        <v>0</v>
      </c>
      <c r="Z90" s="86"/>
    </row>
    <row r="91" spans="2:27" s="6" customFormat="1" ht="12.5" outlineLevel="1" x14ac:dyDescent="0.25">
      <c r="B91" s="589">
        <v>26</v>
      </c>
      <c r="C91" s="589"/>
      <c r="D91" s="981">
        <v>6427003604</v>
      </c>
      <c r="E91" s="638" t="s">
        <v>491</v>
      </c>
      <c r="F91" s="638" t="s">
        <v>570</v>
      </c>
      <c r="G91" s="578" t="s">
        <v>89</v>
      </c>
      <c r="H91" s="638" t="s">
        <v>521</v>
      </c>
      <c r="I91" s="578" t="s">
        <v>623</v>
      </c>
      <c r="J91" s="1018">
        <f>IFERROR(CPQL!AO30/('3.Thanh pham'!E$97+'3.Thanh pham'!E$136),0)</f>
        <v>5.7338743895581823</v>
      </c>
      <c r="K91" s="1018">
        <f>IFERROR(CPQL!AM30/('3.Thanh pham'!F$97+'3.Thanh pham'!F$136),0)</f>
        <v>0</v>
      </c>
      <c r="L91" s="1018">
        <f>IFERROR(CPQL!AK30/('3.Thanh pham'!G$97+'3.Thanh pham'!G$136),0)</f>
        <v>46.27796562572793</v>
      </c>
      <c r="M91" s="1018">
        <f>IFERROR(CPQL!K30/('3.Thanh pham'!H$97+'3.Thanh pham'!H$136),0)</f>
        <v>77.03037495055483</v>
      </c>
      <c r="N91" s="1018">
        <f>IFERROR(CPQL!L30/('3.Thanh pham'!I$97+'3.Thanh pham'!I$136),0)</f>
        <v>102.70716660073977</v>
      </c>
      <c r="O91" s="1018">
        <f>IFERROR(CPQL!M30/('3.Thanh pham'!J$97+'3.Thanh pham'!J$136),0)</f>
        <v>71.104961492819839</v>
      </c>
      <c r="P91" s="1018">
        <f>IFERROR(CPQL!N30/('3.Thanh pham'!K$97+'3.Thanh pham'!K$136),0)</f>
        <v>66.02603567190414</v>
      </c>
      <c r="Q91" s="1018">
        <f>IFERROR(CPQL!O30/('3.Thanh pham'!L$97+'3.Thanh pham'!L$136),0)</f>
        <v>66.02603567190414</v>
      </c>
      <c r="R91" s="1018">
        <f>IFERROR(CPQL!P30/('3.Thanh pham'!M$97+'3.Thanh pham'!M$136),0)</f>
        <v>66.02603567190414</v>
      </c>
      <c r="S91" s="1018">
        <f>IFERROR(CPQL!Q30/('3.Thanh pham'!N$97+'3.Thanh pham'!N$136),0)</f>
        <v>66.02603567190414</v>
      </c>
      <c r="T91" s="1018">
        <f>IFERROR(CPQL!R30/('3.Thanh pham'!O$97+'3.Thanh pham'!O$136),0)</f>
        <v>66.02603567190414</v>
      </c>
      <c r="U91" s="1018">
        <f>IFERROR(CPQL!S30/('3.Thanh pham'!P$97+'3.Thanh pham'!P$136),0)</f>
        <v>66.02603567190414</v>
      </c>
      <c r="V91" s="1018">
        <f>IFERROR(CPQL!T30/('3.Thanh pham'!Q$97+'3.Thanh pham'!Q$136),0)</f>
        <v>66.02603567190414</v>
      </c>
      <c r="W91" s="1018">
        <f>IFERROR(CPQL!U30/('3.Thanh pham'!R$97+'3.Thanh pham'!R$136),0)</f>
        <v>66.02603567190414</v>
      </c>
      <c r="X91" s="1018">
        <f>IFERROR(CPQL!V30/('3.Thanh pham'!S$97+'3.Thanh pham'!S$136),0)</f>
        <v>66.02603567190414</v>
      </c>
      <c r="Y91" s="1018">
        <f>IFERROR(CPQL!W30/('3.Thanh pham'!T$97+'3.Thanh pham'!T$136),0)</f>
        <v>69.327337455499347</v>
      </c>
      <c r="Z91" s="86"/>
    </row>
    <row r="92" spans="2:27" s="6" customFormat="1" ht="12.5" hidden="1" outlineLevel="1" x14ac:dyDescent="0.25">
      <c r="B92" s="589">
        <v>27</v>
      </c>
      <c r="C92" s="589"/>
      <c r="D92" s="981">
        <v>6427003703</v>
      </c>
      <c r="E92" s="638" t="s">
        <v>490</v>
      </c>
      <c r="F92" s="638" t="s">
        <v>570</v>
      </c>
      <c r="G92" s="578" t="str">
        <f>E92</f>
        <v>Chi phí gởi xe du lịch, xe gắn máy</v>
      </c>
      <c r="H92" s="638" t="s">
        <v>521</v>
      </c>
      <c r="I92" s="578" t="s">
        <v>623</v>
      </c>
      <c r="J92" s="1018">
        <f>IFERROR(CPQL!AO31/('3.Thanh pham'!E$97+'3.Thanh pham'!E$136),0)</f>
        <v>0</v>
      </c>
      <c r="K92" s="1018">
        <f>IFERROR(CPQL!AM31/('3.Thanh pham'!F$97+'3.Thanh pham'!F$136),0)</f>
        <v>0</v>
      </c>
      <c r="L92" s="1018">
        <f>IFERROR(CPQL!AK31/('3.Thanh pham'!G$97+'3.Thanh pham'!G$136),0)</f>
        <v>0</v>
      </c>
      <c r="M92" s="1018">
        <f>IFERROR(CPQL!K31/('3.Thanh pham'!H$97+'3.Thanh pham'!H$136),0)</f>
        <v>0</v>
      </c>
      <c r="N92" s="1018">
        <f>IFERROR(CPQL!L31/('3.Thanh pham'!I$97+'3.Thanh pham'!I$136),0)</f>
        <v>0</v>
      </c>
      <c r="O92" s="1018">
        <f>IFERROR(CPQL!M31/('3.Thanh pham'!J$97+'3.Thanh pham'!J$136),0)</f>
        <v>0</v>
      </c>
      <c r="P92" s="1018">
        <f>IFERROR(CPQL!N31/('3.Thanh pham'!K$97+'3.Thanh pham'!K$136),0)</f>
        <v>0</v>
      </c>
      <c r="Q92" s="1018">
        <f>IFERROR(CPQL!O31/('3.Thanh pham'!L$97+'3.Thanh pham'!L$136),0)</f>
        <v>0</v>
      </c>
      <c r="R92" s="1018">
        <f>IFERROR(CPQL!P31/('3.Thanh pham'!M$97+'3.Thanh pham'!M$136),0)</f>
        <v>0</v>
      </c>
      <c r="S92" s="1018">
        <f>IFERROR(CPQL!Q31/('3.Thanh pham'!N$97+'3.Thanh pham'!N$136),0)</f>
        <v>0</v>
      </c>
      <c r="T92" s="1018">
        <f>IFERROR(CPQL!R31/('3.Thanh pham'!O$97+'3.Thanh pham'!O$136),0)</f>
        <v>0</v>
      </c>
      <c r="U92" s="1018">
        <f>IFERROR(CPQL!S31/('3.Thanh pham'!P$97+'3.Thanh pham'!P$136),0)</f>
        <v>0</v>
      </c>
      <c r="V92" s="1018">
        <f>IFERROR(CPQL!T31/('3.Thanh pham'!Q$97+'3.Thanh pham'!Q$136),0)</f>
        <v>0</v>
      </c>
      <c r="W92" s="1018">
        <f>IFERROR(CPQL!U31/('3.Thanh pham'!R$97+'3.Thanh pham'!R$136),0)</f>
        <v>0</v>
      </c>
      <c r="X92" s="1018">
        <f>IFERROR(CPQL!V31/('3.Thanh pham'!S$97+'3.Thanh pham'!S$136),0)</f>
        <v>0</v>
      </c>
      <c r="Y92" s="1018">
        <f>IFERROR(CPQL!W31/('3.Thanh pham'!T$97+'3.Thanh pham'!T$136),0)</f>
        <v>0</v>
      </c>
      <c r="Z92" s="86"/>
    </row>
    <row r="93" spans="2:27" s="6" customFormat="1" ht="12.5" hidden="1" outlineLevel="1" x14ac:dyDescent="0.25">
      <c r="B93" s="589">
        <v>28</v>
      </c>
      <c r="C93" s="589"/>
      <c r="D93" s="981">
        <v>6427003801</v>
      </c>
      <c r="E93" s="638" t="s">
        <v>488</v>
      </c>
      <c r="F93" s="638" t="s">
        <v>596</v>
      </c>
      <c r="G93" s="578" t="str">
        <f>E93</f>
        <v>Phí cầu đường xe</v>
      </c>
      <c r="H93" s="638" t="s">
        <v>521</v>
      </c>
      <c r="I93" s="578" t="s">
        <v>623</v>
      </c>
      <c r="J93" s="1018">
        <f>IFERROR(CPQL!AO32/('3.Thanh pham'!E$97+'3.Thanh pham'!E$136),0)</f>
        <v>0</v>
      </c>
      <c r="K93" s="1018">
        <f>IFERROR(CPQL!AM32/('3.Thanh pham'!F$97+'3.Thanh pham'!F$136),0)</f>
        <v>0</v>
      </c>
      <c r="L93" s="1018">
        <f>IFERROR(CPQL!AK32/('3.Thanh pham'!G$97+'3.Thanh pham'!G$136),0)</f>
        <v>0</v>
      </c>
      <c r="M93" s="1018">
        <f>IFERROR(CPQL!K32/('3.Thanh pham'!H$97+'3.Thanh pham'!H$136),0)</f>
        <v>0</v>
      </c>
      <c r="N93" s="1018">
        <f>IFERROR(CPQL!L32/('3.Thanh pham'!I$97+'3.Thanh pham'!I$136),0)</f>
        <v>0</v>
      </c>
      <c r="O93" s="1018">
        <f>IFERROR(CPQL!M32/('3.Thanh pham'!J$97+'3.Thanh pham'!J$136),0)</f>
        <v>0</v>
      </c>
      <c r="P93" s="1018">
        <f>IFERROR(CPQL!N32/('3.Thanh pham'!K$97+'3.Thanh pham'!K$136),0)</f>
        <v>0</v>
      </c>
      <c r="Q93" s="1018">
        <f>IFERROR(CPQL!O32/('3.Thanh pham'!L$97+'3.Thanh pham'!L$136),0)</f>
        <v>0</v>
      </c>
      <c r="R93" s="1018">
        <f>IFERROR(CPQL!P32/('3.Thanh pham'!M$97+'3.Thanh pham'!M$136),0)</f>
        <v>0</v>
      </c>
      <c r="S93" s="1018">
        <f>IFERROR(CPQL!Q32/('3.Thanh pham'!N$97+'3.Thanh pham'!N$136),0)</f>
        <v>0</v>
      </c>
      <c r="T93" s="1018">
        <f>IFERROR(CPQL!R32/('3.Thanh pham'!O$97+'3.Thanh pham'!O$136),0)</f>
        <v>0</v>
      </c>
      <c r="U93" s="1018">
        <f>IFERROR(CPQL!S32/('3.Thanh pham'!P$97+'3.Thanh pham'!P$136),0)</f>
        <v>0</v>
      </c>
      <c r="V93" s="1018">
        <f>IFERROR(CPQL!T32/('3.Thanh pham'!Q$97+'3.Thanh pham'!Q$136),0)</f>
        <v>0</v>
      </c>
      <c r="W93" s="1018">
        <f>IFERROR(CPQL!U32/('3.Thanh pham'!R$97+'3.Thanh pham'!R$136),0)</f>
        <v>0</v>
      </c>
      <c r="X93" s="1018">
        <f>IFERROR(CPQL!V32/('3.Thanh pham'!S$97+'3.Thanh pham'!S$136),0)</f>
        <v>0</v>
      </c>
      <c r="Y93" s="1018">
        <f>IFERROR(CPQL!W32/('3.Thanh pham'!T$97+'3.Thanh pham'!T$136),0)</f>
        <v>0</v>
      </c>
      <c r="Z93" s="86"/>
    </row>
    <row r="94" spans="2:27" s="6" customFormat="1" ht="12.5" hidden="1" outlineLevel="1" x14ac:dyDescent="0.25">
      <c r="B94" s="589">
        <v>29</v>
      </c>
      <c r="C94" s="589"/>
      <c r="D94" s="981">
        <v>6427003802</v>
      </c>
      <c r="E94" s="638" t="s">
        <v>489</v>
      </c>
      <c r="F94" s="638" t="s">
        <v>594</v>
      </c>
      <c r="G94" s="578" t="str">
        <f>E94</f>
        <v>Phí đăng kiểm, kiểm định xe</v>
      </c>
      <c r="H94" s="638" t="s">
        <v>521</v>
      </c>
      <c r="I94" s="578" t="s">
        <v>622</v>
      </c>
      <c r="J94" s="1018">
        <f>IFERROR(CPQL!AO33/('3.Thanh pham'!E$97+'3.Thanh pham'!E$136),0)</f>
        <v>0</v>
      </c>
      <c r="K94" s="1018">
        <f>IFERROR(CPQL!AM33/('3.Thanh pham'!F$97+'3.Thanh pham'!F$136),0)</f>
        <v>0</v>
      </c>
      <c r="L94" s="1018">
        <f>IFERROR(CPQL!AK33/('3.Thanh pham'!G$97+'3.Thanh pham'!G$136),0)</f>
        <v>0</v>
      </c>
      <c r="M94" s="1018">
        <f ca="1">IFERROR(CPQL!K33/('3.Thanh pham'!H$97+'3.Thanh pham'!H$136),0)</f>
        <v>0</v>
      </c>
      <c r="N94" s="1018">
        <f ca="1">IFERROR(CPQL!L33/('3.Thanh pham'!I$97+'3.Thanh pham'!I$136),0)</f>
        <v>0</v>
      </c>
      <c r="O94" s="1018">
        <f ca="1">IFERROR(CPQL!M33/('3.Thanh pham'!J$97+'3.Thanh pham'!J$136),0)</f>
        <v>0</v>
      </c>
      <c r="P94" s="1018">
        <f ca="1">IFERROR(CPQL!N33/('3.Thanh pham'!K$97+'3.Thanh pham'!K$136),0)</f>
        <v>0</v>
      </c>
      <c r="Q94" s="1018">
        <f ca="1">IFERROR(CPQL!O33/('3.Thanh pham'!L$97+'3.Thanh pham'!L$136),0)</f>
        <v>0</v>
      </c>
      <c r="R94" s="1018">
        <f ca="1">IFERROR(CPQL!P33/('3.Thanh pham'!M$97+'3.Thanh pham'!M$136),0)</f>
        <v>0</v>
      </c>
      <c r="S94" s="1018">
        <f ca="1">IFERROR(CPQL!Q33/('3.Thanh pham'!N$97+'3.Thanh pham'!N$136),0)</f>
        <v>0</v>
      </c>
      <c r="T94" s="1018">
        <f ca="1">IFERROR(CPQL!R33/('3.Thanh pham'!O$97+'3.Thanh pham'!O$136),0)</f>
        <v>0</v>
      </c>
      <c r="U94" s="1018">
        <f ca="1">IFERROR(CPQL!S33/('3.Thanh pham'!P$97+'3.Thanh pham'!P$136),0)</f>
        <v>0</v>
      </c>
      <c r="V94" s="1018">
        <f ca="1">IFERROR(CPQL!T33/('3.Thanh pham'!Q$97+'3.Thanh pham'!Q$136),0)</f>
        <v>0</v>
      </c>
      <c r="W94" s="1018">
        <f ca="1">IFERROR(CPQL!U33/('3.Thanh pham'!R$97+'3.Thanh pham'!R$136),0)</f>
        <v>0</v>
      </c>
      <c r="X94" s="1018">
        <f ca="1">IFERROR(CPQL!V33/('3.Thanh pham'!S$97+'3.Thanh pham'!S$136),0)</f>
        <v>0</v>
      </c>
      <c r="Y94" s="1018">
        <f ca="1">IFERROR(CPQL!W33/('3.Thanh pham'!T$97+'3.Thanh pham'!T$136),0)</f>
        <v>0</v>
      </c>
      <c r="Z94" s="86"/>
    </row>
    <row r="95" spans="2:27" s="6" customFormat="1" ht="12.5" hidden="1" outlineLevel="1" x14ac:dyDescent="0.25">
      <c r="B95" s="589">
        <v>30</v>
      </c>
      <c r="C95" s="589"/>
      <c r="D95" s="981">
        <v>6427004104</v>
      </c>
      <c r="E95" s="638" t="s">
        <v>478</v>
      </c>
      <c r="F95" s="638" t="s">
        <v>587</v>
      </c>
      <c r="G95" s="578" t="str">
        <f>E95</f>
        <v>Chi phí ấn phẩm: Catalogue, tờ rơi</v>
      </c>
      <c r="H95" s="638" t="s">
        <v>521</v>
      </c>
      <c r="I95" s="578" t="s">
        <v>623</v>
      </c>
      <c r="J95" s="1018">
        <f>IFERROR(CPQL!AO34/('3.Thanh pham'!E$97+'3.Thanh pham'!E$136),0)</f>
        <v>0</v>
      </c>
      <c r="K95" s="1018">
        <f>IFERROR(CPQL!AM34/('3.Thanh pham'!F$97+'3.Thanh pham'!F$136),0)</f>
        <v>0</v>
      </c>
      <c r="L95" s="1018">
        <f>IFERROR(CPQL!AK34/('3.Thanh pham'!G$97+'3.Thanh pham'!G$136),0)</f>
        <v>0</v>
      </c>
      <c r="M95" s="1018">
        <f>IFERROR(CPQL!K34/('3.Thanh pham'!H$97+'3.Thanh pham'!H$136),0)</f>
        <v>0</v>
      </c>
      <c r="N95" s="1018">
        <f>IFERROR(CPQL!L34/('3.Thanh pham'!I$97+'3.Thanh pham'!I$136),0)</f>
        <v>0</v>
      </c>
      <c r="O95" s="1018">
        <f>IFERROR(CPQL!M34/('3.Thanh pham'!J$97+'3.Thanh pham'!J$136),0)</f>
        <v>0</v>
      </c>
      <c r="P95" s="1018">
        <f>IFERROR(CPQL!N34/('3.Thanh pham'!K$97+'3.Thanh pham'!K$136),0)</f>
        <v>0</v>
      </c>
      <c r="Q95" s="1018">
        <f>IFERROR(CPQL!O34/('3.Thanh pham'!L$97+'3.Thanh pham'!L$136),0)</f>
        <v>0</v>
      </c>
      <c r="R95" s="1018">
        <f>IFERROR(CPQL!P34/('3.Thanh pham'!M$97+'3.Thanh pham'!M$136),0)</f>
        <v>0</v>
      </c>
      <c r="S95" s="1018">
        <f>IFERROR(CPQL!Q34/('3.Thanh pham'!N$97+'3.Thanh pham'!N$136),0)</f>
        <v>0</v>
      </c>
      <c r="T95" s="1018">
        <f>IFERROR(CPQL!R34/('3.Thanh pham'!O$97+'3.Thanh pham'!O$136),0)</f>
        <v>0</v>
      </c>
      <c r="U95" s="1018">
        <f>IFERROR(CPQL!S34/('3.Thanh pham'!P$97+'3.Thanh pham'!P$136),0)</f>
        <v>0</v>
      </c>
      <c r="V95" s="1018">
        <f>IFERROR(CPQL!T34/('3.Thanh pham'!Q$97+'3.Thanh pham'!Q$136),0)</f>
        <v>0</v>
      </c>
      <c r="W95" s="1018">
        <f>IFERROR(CPQL!U34/('3.Thanh pham'!R$97+'3.Thanh pham'!R$136),0)</f>
        <v>0</v>
      </c>
      <c r="X95" s="1018">
        <f>IFERROR(CPQL!V34/('3.Thanh pham'!S$97+'3.Thanh pham'!S$136),0)</f>
        <v>0</v>
      </c>
      <c r="Y95" s="1018">
        <f>IFERROR(CPQL!W34/('3.Thanh pham'!T$97+'3.Thanh pham'!T$136),0)</f>
        <v>0</v>
      </c>
      <c r="Z95" s="86"/>
    </row>
    <row r="96" spans="2:27" s="6" customFormat="1" outlineLevel="1" x14ac:dyDescent="0.25">
      <c r="B96" s="589">
        <v>31</v>
      </c>
      <c r="C96" s="589"/>
      <c r="D96" s="981">
        <v>6427004301</v>
      </c>
      <c r="E96" s="638" t="s">
        <v>482</v>
      </c>
      <c r="F96" s="638" t="s">
        <v>570</v>
      </c>
      <c r="G96" s="578" t="str">
        <f>E96</f>
        <v>Chi phí nghỉ mát, du lịch</v>
      </c>
      <c r="H96" s="638" t="s">
        <v>521</v>
      </c>
      <c r="I96" s="578" t="s">
        <v>623</v>
      </c>
      <c r="J96" s="1018">
        <f>IFERROR(CPQL!AO35/('3.Thanh pham'!E$97+'3.Thanh pham'!E$136),0)</f>
        <v>0</v>
      </c>
      <c r="K96" s="1018">
        <f>IFERROR(CPQL!AM35/('3.Thanh pham'!F$97+'3.Thanh pham'!F$136),0)</f>
        <v>0</v>
      </c>
      <c r="L96" s="1018">
        <f>IFERROR(CPQL!AK35/('3.Thanh pham'!G$97+'3.Thanh pham'!G$136),0)</f>
        <v>0</v>
      </c>
      <c r="M96" s="1018">
        <f>IFERROR(CPQL!K35/('3.Thanh pham'!H$97+'3.Thanh pham'!H$136),0)</f>
        <v>0</v>
      </c>
      <c r="N96" s="1018">
        <f>IFERROR(CPQL!L35/('3.Thanh pham'!I$97+'3.Thanh pham'!I$136),0)</f>
        <v>0</v>
      </c>
      <c r="O96" s="1018">
        <f>IFERROR(CPQL!M35/('3.Thanh pham'!J$97+'3.Thanh pham'!J$136),0)</f>
        <v>0</v>
      </c>
      <c r="P96" s="1018">
        <f>IFERROR(CPQL!N35/('3.Thanh pham'!K$97+'3.Thanh pham'!K$136),0)</f>
        <v>0</v>
      </c>
      <c r="Q96" s="1018">
        <f>IFERROR(CPQL!O35/('3.Thanh pham'!L$97+'3.Thanh pham'!L$136),0)</f>
        <v>0</v>
      </c>
      <c r="R96" s="1018">
        <f>IFERROR(CPQL!P35/('3.Thanh pham'!M$97+'3.Thanh pham'!M$136),0)</f>
        <v>0</v>
      </c>
      <c r="S96" s="1018">
        <f>IFERROR(CPQL!Q35/('3.Thanh pham'!N$97+'3.Thanh pham'!N$136),0)</f>
        <v>0</v>
      </c>
      <c r="T96" s="1018">
        <f>IFERROR(CPQL!R35/('3.Thanh pham'!O$97+'3.Thanh pham'!O$136),0)</f>
        <v>96.362322331968201</v>
      </c>
      <c r="U96" s="1018">
        <f>IFERROR(CPQL!S35/('3.Thanh pham'!P$97+'3.Thanh pham'!P$136),0)</f>
        <v>0</v>
      </c>
      <c r="V96" s="1018">
        <f>IFERROR(CPQL!T35/('3.Thanh pham'!Q$97+'3.Thanh pham'!Q$136),0)</f>
        <v>0</v>
      </c>
      <c r="W96" s="1018">
        <f>IFERROR(CPQL!U35/('3.Thanh pham'!R$97+'3.Thanh pham'!R$136),0)</f>
        <v>0</v>
      </c>
      <c r="X96" s="1018">
        <f>IFERROR(CPQL!V35/('3.Thanh pham'!S$97+'3.Thanh pham'!S$136),0)</f>
        <v>0</v>
      </c>
      <c r="Y96" s="1018">
        <f>IFERROR(CPQL!W35/('3.Thanh pham'!T$97+'3.Thanh pham'!T$136),0)</f>
        <v>8.4317032040472171</v>
      </c>
      <c r="Z96" s="86"/>
      <c r="AA96" s="544"/>
    </row>
    <row r="97" spans="2:28" s="6" customFormat="1" ht="12.5" hidden="1" outlineLevel="1" x14ac:dyDescent="0.25">
      <c r="B97" s="589">
        <v>32</v>
      </c>
      <c r="C97" s="589"/>
      <c r="D97" s="981">
        <v>6427004601</v>
      </c>
      <c r="E97" s="638" t="s">
        <v>484</v>
      </c>
      <c r="F97" s="638" t="s">
        <v>585</v>
      </c>
      <c r="G97" s="578" t="s">
        <v>95</v>
      </c>
      <c r="H97" s="638" t="s">
        <v>521</v>
      </c>
      <c r="I97" s="578" t="s">
        <v>623</v>
      </c>
      <c r="J97" s="1018">
        <f>IFERROR(CPQL!AO36/('3.Thanh pham'!E$97+'3.Thanh pham'!E$136),0)</f>
        <v>0</v>
      </c>
      <c r="K97" s="1018">
        <f>IFERROR(CPQL!AM36/('3.Thanh pham'!F$97+'3.Thanh pham'!F$136),0)</f>
        <v>0</v>
      </c>
      <c r="L97" s="1018">
        <f>IFERROR(CPQL!AK36/('3.Thanh pham'!G$97+'3.Thanh pham'!G$136),0)</f>
        <v>0</v>
      </c>
      <c r="M97" s="1018">
        <f>IFERROR(CPQL!K36/('3.Thanh pham'!H$97+'3.Thanh pham'!H$136),0)</f>
        <v>0</v>
      </c>
      <c r="N97" s="1018">
        <f>IFERROR(CPQL!L36/('3.Thanh pham'!I$97+'3.Thanh pham'!I$136),0)</f>
        <v>0</v>
      </c>
      <c r="O97" s="1018">
        <f>IFERROR(CPQL!M36/('3.Thanh pham'!J$97+'3.Thanh pham'!J$136),0)</f>
        <v>0</v>
      </c>
      <c r="P97" s="1018">
        <f>IFERROR(CPQL!N36/('3.Thanh pham'!K$97+'3.Thanh pham'!K$136),0)</f>
        <v>0</v>
      </c>
      <c r="Q97" s="1018">
        <f>IFERROR(CPQL!O36/('3.Thanh pham'!L$97+'3.Thanh pham'!L$136),0)</f>
        <v>0</v>
      </c>
      <c r="R97" s="1018">
        <f>IFERROR(CPQL!P36/('3.Thanh pham'!M$97+'3.Thanh pham'!M$136),0)</f>
        <v>0</v>
      </c>
      <c r="S97" s="1018">
        <f>IFERROR(CPQL!Q36/('3.Thanh pham'!N$97+'3.Thanh pham'!N$136),0)</f>
        <v>0</v>
      </c>
      <c r="T97" s="1018">
        <f>IFERROR(CPQL!R36/('3.Thanh pham'!O$97+'3.Thanh pham'!O$136),0)</f>
        <v>0</v>
      </c>
      <c r="U97" s="1018">
        <f>IFERROR(CPQL!S36/('3.Thanh pham'!P$97+'3.Thanh pham'!P$136),0)</f>
        <v>0</v>
      </c>
      <c r="V97" s="1018">
        <f>IFERROR(CPQL!T36/('3.Thanh pham'!Q$97+'3.Thanh pham'!Q$136),0)</f>
        <v>0</v>
      </c>
      <c r="W97" s="1018">
        <f>IFERROR(CPQL!U36/('3.Thanh pham'!R$97+'3.Thanh pham'!R$136),0)</f>
        <v>0</v>
      </c>
      <c r="X97" s="1018">
        <f>IFERROR(CPQL!V36/('3.Thanh pham'!S$97+'3.Thanh pham'!S$136),0)</f>
        <v>0</v>
      </c>
      <c r="Y97" s="1018">
        <f>IFERROR(CPQL!W36/('3.Thanh pham'!T$97+'3.Thanh pham'!T$136),0)</f>
        <v>0</v>
      </c>
      <c r="Z97" s="86"/>
    </row>
    <row r="98" spans="2:28" s="6" customFormat="1" ht="12.5" hidden="1" outlineLevel="1" x14ac:dyDescent="0.25">
      <c r="B98" s="589">
        <v>33</v>
      </c>
      <c r="C98" s="589"/>
      <c r="D98" s="981">
        <v>6427004603</v>
      </c>
      <c r="E98" s="638" t="s">
        <v>479</v>
      </c>
      <c r="F98" s="638" t="s">
        <v>587</v>
      </c>
      <c r="G98" s="578" t="str">
        <f>E98</f>
        <v>Chi phí hội nghị khách hàng</v>
      </c>
      <c r="H98" s="578" t="s">
        <v>513</v>
      </c>
      <c r="I98" s="578" t="s">
        <v>623</v>
      </c>
      <c r="J98" s="1018">
        <f>IFERROR(CPQL!AO37/('3.Thanh pham'!E$97+'3.Thanh pham'!E$136),0)</f>
        <v>0</v>
      </c>
      <c r="K98" s="1018">
        <f>IFERROR(CPQL!AM37/('3.Thanh pham'!F$97+'3.Thanh pham'!F$136),0)</f>
        <v>0</v>
      </c>
      <c r="L98" s="1018">
        <f>IFERROR(CPQL!AK37/('3.Thanh pham'!G$97+'3.Thanh pham'!G$136),0)</f>
        <v>0</v>
      </c>
      <c r="M98" s="1018">
        <f>IFERROR(CPQL!K37/('3.Thanh pham'!H$97+'3.Thanh pham'!H$136),0)</f>
        <v>0</v>
      </c>
      <c r="N98" s="1018">
        <f>IFERROR(CPQL!L37/('3.Thanh pham'!I$97+'3.Thanh pham'!I$136),0)</f>
        <v>0</v>
      </c>
      <c r="O98" s="1018">
        <f>IFERROR(CPQL!M37/('3.Thanh pham'!J$97+'3.Thanh pham'!J$136),0)</f>
        <v>0</v>
      </c>
      <c r="P98" s="1018">
        <f>IFERROR(CPQL!N37/('3.Thanh pham'!K$97+'3.Thanh pham'!K$136),0)</f>
        <v>0</v>
      </c>
      <c r="Q98" s="1018">
        <f>IFERROR(CPQL!O37/('3.Thanh pham'!L$97+'3.Thanh pham'!L$136),0)</f>
        <v>0</v>
      </c>
      <c r="R98" s="1018">
        <f>IFERROR(CPQL!P37/('3.Thanh pham'!M$97+'3.Thanh pham'!M$136),0)</f>
        <v>0</v>
      </c>
      <c r="S98" s="1018">
        <f>IFERROR(CPQL!Q37/('3.Thanh pham'!N$97+'3.Thanh pham'!N$136),0)</f>
        <v>0</v>
      </c>
      <c r="T98" s="1018">
        <f>IFERROR(CPQL!R37/('3.Thanh pham'!O$97+'3.Thanh pham'!O$136),0)</f>
        <v>0</v>
      </c>
      <c r="U98" s="1018">
        <f>IFERROR(CPQL!S37/('3.Thanh pham'!P$97+'3.Thanh pham'!P$136),0)</f>
        <v>0</v>
      </c>
      <c r="V98" s="1018">
        <f>IFERROR(CPQL!T37/('3.Thanh pham'!Q$97+'3.Thanh pham'!Q$136),0)</f>
        <v>0</v>
      </c>
      <c r="W98" s="1018">
        <f>IFERROR(CPQL!U37/('3.Thanh pham'!R$97+'3.Thanh pham'!R$136),0)</f>
        <v>0</v>
      </c>
      <c r="X98" s="1018">
        <f>IFERROR(CPQL!V37/('3.Thanh pham'!S$97+'3.Thanh pham'!S$136),0)</f>
        <v>0</v>
      </c>
      <c r="Y98" s="1018">
        <f>IFERROR(CPQL!W37/('3.Thanh pham'!T$97+'3.Thanh pham'!T$136),0)</f>
        <v>0</v>
      </c>
      <c r="Z98" s="86"/>
    </row>
    <row r="99" spans="2:28" s="6" customFormat="1" ht="12.5" hidden="1" outlineLevel="1" x14ac:dyDescent="0.25">
      <c r="B99" s="589">
        <v>34</v>
      </c>
      <c r="C99" s="589"/>
      <c r="D99" s="981">
        <v>6427004702</v>
      </c>
      <c r="E99" s="638" t="s">
        <v>481</v>
      </c>
      <c r="F99" s="638" t="s">
        <v>587</v>
      </c>
      <c r="G99" s="578" t="str">
        <f>E99</f>
        <v>Tài trợ thương hiệu Duy Tân</v>
      </c>
      <c r="H99" s="578" t="s">
        <v>513</v>
      </c>
      <c r="I99" s="578" t="s">
        <v>623</v>
      </c>
      <c r="J99" s="1018">
        <f>IFERROR(CPQL!AO38/('3.Thanh pham'!E$97+'3.Thanh pham'!E$136),0)</f>
        <v>0</v>
      </c>
      <c r="K99" s="1018">
        <f>IFERROR(CPQL!AM38/('3.Thanh pham'!F$97+'3.Thanh pham'!F$136),0)</f>
        <v>0</v>
      </c>
      <c r="L99" s="1018">
        <f>IFERROR(CPQL!AK38/('3.Thanh pham'!G$97+'3.Thanh pham'!G$136),0)</f>
        <v>0</v>
      </c>
      <c r="M99" s="1018">
        <f>IFERROR(CPQL!K38/('3.Thanh pham'!H$97+'3.Thanh pham'!H$136),0)</f>
        <v>0</v>
      </c>
      <c r="N99" s="1018">
        <f>IFERROR(CPQL!L38/('3.Thanh pham'!I$97+'3.Thanh pham'!I$136),0)</f>
        <v>0</v>
      </c>
      <c r="O99" s="1018">
        <f>IFERROR(CPQL!M38/('3.Thanh pham'!J$97+'3.Thanh pham'!J$136),0)</f>
        <v>0</v>
      </c>
      <c r="P99" s="1018">
        <f>IFERROR(CPQL!N38/('3.Thanh pham'!K$97+'3.Thanh pham'!K$136),0)</f>
        <v>0</v>
      </c>
      <c r="Q99" s="1018">
        <f>IFERROR(CPQL!O38/('3.Thanh pham'!L$97+'3.Thanh pham'!L$136),0)</f>
        <v>0</v>
      </c>
      <c r="R99" s="1018">
        <f>IFERROR(CPQL!P38/('3.Thanh pham'!M$97+'3.Thanh pham'!M$136),0)</f>
        <v>0</v>
      </c>
      <c r="S99" s="1018">
        <f>IFERROR(CPQL!Q38/('3.Thanh pham'!N$97+'3.Thanh pham'!N$136),0)</f>
        <v>0</v>
      </c>
      <c r="T99" s="1018">
        <f>IFERROR(CPQL!R38/('3.Thanh pham'!O$97+'3.Thanh pham'!O$136),0)</f>
        <v>0</v>
      </c>
      <c r="U99" s="1018">
        <f>IFERROR(CPQL!S38/('3.Thanh pham'!P$97+'3.Thanh pham'!P$136),0)</f>
        <v>0</v>
      </c>
      <c r="V99" s="1018">
        <f>IFERROR(CPQL!T38/('3.Thanh pham'!Q$97+'3.Thanh pham'!Q$136),0)</f>
        <v>0</v>
      </c>
      <c r="W99" s="1018">
        <f>IFERROR(CPQL!U38/('3.Thanh pham'!R$97+'3.Thanh pham'!R$136),0)</f>
        <v>0</v>
      </c>
      <c r="X99" s="1018">
        <f>IFERROR(CPQL!V38/('3.Thanh pham'!S$97+'3.Thanh pham'!S$136),0)</f>
        <v>0</v>
      </c>
      <c r="Y99" s="1018">
        <f>IFERROR(CPQL!W38/('3.Thanh pham'!T$97+'3.Thanh pham'!T$136),0)</f>
        <v>0</v>
      </c>
      <c r="Z99" s="86"/>
    </row>
    <row r="100" spans="2:28" s="6" customFormat="1" ht="12.5" outlineLevel="1" x14ac:dyDescent="0.25">
      <c r="B100" s="589">
        <v>35</v>
      </c>
      <c r="C100" s="589"/>
      <c r="D100" s="981">
        <v>6427004804</v>
      </c>
      <c r="E100" s="638" t="s">
        <v>475</v>
      </c>
      <c r="F100" s="638" t="s">
        <v>592</v>
      </c>
      <c r="G100" s="578" t="str">
        <f>E100</f>
        <v>Chi phí bưu phẩm</v>
      </c>
      <c r="H100" s="638" t="s">
        <v>521</v>
      </c>
      <c r="I100" s="578" t="s">
        <v>623</v>
      </c>
      <c r="J100" s="1018">
        <f>IFERROR(CPQL!AO39/('3.Thanh pham'!E$97+'3.Thanh pham'!E$136),0)</f>
        <v>0</v>
      </c>
      <c r="K100" s="1018">
        <f>IFERROR(CPQL!AM39/('3.Thanh pham'!F$97+'3.Thanh pham'!F$136),0)</f>
        <v>0</v>
      </c>
      <c r="L100" s="1018">
        <f>IFERROR(CPQL!AK39/('3.Thanh pham'!G$97+'3.Thanh pham'!G$136),0)</f>
        <v>0.21243595272877289</v>
      </c>
      <c r="M100" s="1018">
        <f>IFERROR(CPQL!K39/('3.Thanh pham'!H$97+'3.Thanh pham'!H$136),0)</f>
        <v>0.18960956529885703</v>
      </c>
      <c r="N100" s="1018">
        <f>IFERROR(CPQL!L39/('3.Thanh pham'!I$97+'3.Thanh pham'!I$136),0)</f>
        <v>0.25281275373180939</v>
      </c>
      <c r="O100" s="1018">
        <f>IFERROR(CPQL!M39/('3.Thanh pham'!J$97+'3.Thanh pham'!J$136),0)</f>
        <v>0.17502421412202188</v>
      </c>
      <c r="P100" s="1018">
        <f>IFERROR(CPQL!N39/('3.Thanh pham'!K$97+'3.Thanh pham'!K$136),0)</f>
        <v>0.16252248454187745</v>
      </c>
      <c r="Q100" s="1018">
        <f>IFERROR(CPQL!O39/('3.Thanh pham'!L$97+'3.Thanh pham'!L$136),0)</f>
        <v>0.16252248454187745</v>
      </c>
      <c r="R100" s="1018">
        <f>IFERROR(CPQL!P39/('3.Thanh pham'!M$97+'3.Thanh pham'!M$136),0)</f>
        <v>0.16252248454187745</v>
      </c>
      <c r="S100" s="1018">
        <f>IFERROR(CPQL!Q39/('3.Thanh pham'!N$97+'3.Thanh pham'!N$136),0)</f>
        <v>0.16252248454187745</v>
      </c>
      <c r="T100" s="1018">
        <f>IFERROR(CPQL!R39/('3.Thanh pham'!O$97+'3.Thanh pham'!O$136),0)</f>
        <v>0.16252248454187745</v>
      </c>
      <c r="U100" s="1018">
        <f>IFERROR(CPQL!S39/('3.Thanh pham'!P$97+'3.Thanh pham'!P$136),0)</f>
        <v>0.16252248454187745</v>
      </c>
      <c r="V100" s="1018">
        <f>IFERROR(CPQL!T39/('3.Thanh pham'!Q$97+'3.Thanh pham'!Q$136),0)</f>
        <v>0.16252248454187745</v>
      </c>
      <c r="W100" s="1018">
        <f>IFERROR(CPQL!U39/('3.Thanh pham'!R$97+'3.Thanh pham'!R$136),0)</f>
        <v>0.16252248454187745</v>
      </c>
      <c r="X100" s="1018">
        <f>IFERROR(CPQL!V39/('3.Thanh pham'!S$97+'3.Thanh pham'!S$136),0)</f>
        <v>0.16252248454187745</v>
      </c>
      <c r="Y100" s="1018">
        <f>IFERROR(CPQL!W39/('3.Thanh pham'!T$97+'3.Thanh pham'!T$136),0)</f>
        <v>0.17064860876897134</v>
      </c>
      <c r="Z100" s="86"/>
    </row>
    <row r="101" spans="2:28" s="6" customFormat="1" ht="12.5" outlineLevel="1" x14ac:dyDescent="0.25">
      <c r="B101" s="589">
        <v>36</v>
      </c>
      <c r="C101" s="589"/>
      <c r="D101" s="981">
        <v>6427004901</v>
      </c>
      <c r="E101" s="638" t="s">
        <v>442</v>
      </c>
      <c r="F101" s="638" t="s">
        <v>592</v>
      </c>
      <c r="G101" s="578" t="str">
        <f>E101</f>
        <v>Điện thoại bàn</v>
      </c>
      <c r="H101" s="638" t="s">
        <v>521</v>
      </c>
      <c r="I101" s="578" t="s">
        <v>623</v>
      </c>
      <c r="J101" s="1018">
        <f>IFERROR(CPQL!AO40/('3.Thanh pham'!E$97+'3.Thanh pham'!E$136),0)</f>
        <v>2.761566208994333E-2</v>
      </c>
      <c r="K101" s="1018">
        <f>IFERROR(CPQL!AM40/('3.Thanh pham'!F$97+'3.Thanh pham'!F$136),0)</f>
        <v>0</v>
      </c>
      <c r="L101" s="1018">
        <f>IFERROR(CPQL!AK40/('3.Thanh pham'!G$97+'3.Thanh pham'!G$136),0)</f>
        <v>0</v>
      </c>
      <c r="M101" s="1018">
        <f>IFERROR(CPQL!K40/('3.Thanh pham'!H$97+'3.Thanh pham'!H$136),0)</f>
        <v>0.16011237586659169</v>
      </c>
      <c r="N101" s="1018">
        <f>IFERROR(CPQL!L40/('3.Thanh pham'!I$97+'3.Thanh pham'!I$136),0)</f>
        <v>0.21348316782212226</v>
      </c>
      <c r="O101" s="1018">
        <f>IFERROR(CPQL!M40/('3.Thanh pham'!J$97+'3.Thanh pham'!J$136),0)</f>
        <v>0.14779603926146925</v>
      </c>
      <c r="P101" s="1018">
        <f>IFERROR(CPQL!N40/('3.Thanh pham'!K$97+'3.Thanh pham'!K$136),0)</f>
        <v>0.13723917931422147</v>
      </c>
      <c r="Q101" s="1018">
        <f>IFERROR(CPQL!O40/('3.Thanh pham'!L$97+'3.Thanh pham'!L$136),0)</f>
        <v>0.13723917931422147</v>
      </c>
      <c r="R101" s="1018">
        <f>IFERROR(CPQL!P40/('3.Thanh pham'!M$97+'3.Thanh pham'!M$136),0)</f>
        <v>0.13723917931422147</v>
      </c>
      <c r="S101" s="1018">
        <f>IFERROR(CPQL!Q40/('3.Thanh pham'!N$97+'3.Thanh pham'!N$136),0)</f>
        <v>0.13723917931422147</v>
      </c>
      <c r="T101" s="1018">
        <f>IFERROR(CPQL!R40/('3.Thanh pham'!O$97+'3.Thanh pham'!O$136),0)</f>
        <v>0.13723917931422147</v>
      </c>
      <c r="U101" s="1018">
        <f>IFERROR(CPQL!S40/('3.Thanh pham'!P$97+'3.Thanh pham'!P$136),0)</f>
        <v>0.13723917931422147</v>
      </c>
      <c r="V101" s="1018">
        <f>IFERROR(CPQL!T40/('3.Thanh pham'!Q$97+'3.Thanh pham'!Q$136),0)</f>
        <v>0.13723917931422147</v>
      </c>
      <c r="W101" s="1018">
        <f>IFERROR(CPQL!U40/('3.Thanh pham'!R$97+'3.Thanh pham'!R$136),0)</f>
        <v>0.13723917931422147</v>
      </c>
      <c r="X101" s="1018">
        <f>IFERROR(CPQL!V40/('3.Thanh pham'!S$97+'3.Thanh pham'!S$136),0)</f>
        <v>0.13723917931422147</v>
      </c>
      <c r="Y101" s="1018">
        <f>IFERROR(CPQL!W40/('3.Thanh pham'!T$97+'3.Thanh pham'!T$136),0)</f>
        <v>0.14410113827993251</v>
      </c>
      <c r="Z101" s="86"/>
    </row>
    <row r="102" spans="2:28" s="6" customFormat="1" outlineLevel="1" x14ac:dyDescent="0.25">
      <c r="B102" s="589">
        <v>37</v>
      </c>
      <c r="C102" s="589"/>
      <c r="D102" s="981">
        <v>6427004902</v>
      </c>
      <c r="E102" s="638" t="s">
        <v>443</v>
      </c>
      <c r="F102" s="638" t="s">
        <v>570</v>
      </c>
      <c r="G102" s="578" t="str">
        <f>E102</f>
        <v>Điện thoại di động</v>
      </c>
      <c r="H102" s="638" t="s">
        <v>521</v>
      </c>
      <c r="I102" s="578" t="s">
        <v>623</v>
      </c>
      <c r="J102" s="1018">
        <f>IFERROR(CPQL!AO41/('3.Thanh pham'!E$97+'3.Thanh pham'!E$136),0)</f>
        <v>0.36686576962570833</v>
      </c>
      <c r="K102" s="1018">
        <f>IFERROR(CPQL!AM41/('3.Thanh pham'!F$97+'3.Thanh pham'!F$136),0)</f>
        <v>0.14259394816575152</v>
      </c>
      <c r="L102" s="1018">
        <f>IFERROR(CPQL!AK41/('3.Thanh pham'!G$97+'3.Thanh pham'!G$136),0)</f>
        <v>0.32251793766636444</v>
      </c>
      <c r="M102" s="1018">
        <f>IFERROR(CPQL!K41/('3.Thanh pham'!H$97+'3.Thanh pham'!H$136),0)</f>
        <v>0.41209925988382989</v>
      </c>
      <c r="N102" s="1018">
        <f>IFERROR(CPQL!L41/('3.Thanh pham'!I$97+'3.Thanh pham'!I$136),0)</f>
        <v>0.54946567984510652</v>
      </c>
      <c r="O102" s="1018">
        <f>IFERROR(CPQL!M41/('3.Thanh pham'!J$97+'3.Thanh pham'!J$136),0)</f>
        <v>0.38039931681584294</v>
      </c>
      <c r="P102" s="1018">
        <f>IFERROR(CPQL!N41/('3.Thanh pham'!K$97+'3.Thanh pham'!K$136),0)</f>
        <v>0.35322793704328276</v>
      </c>
      <c r="Q102" s="1018">
        <f>IFERROR(CPQL!O41/('3.Thanh pham'!L$97+'3.Thanh pham'!L$136),0)</f>
        <v>0.35322793704328276</v>
      </c>
      <c r="R102" s="1018">
        <f>IFERROR(CPQL!P41/('3.Thanh pham'!M$97+'3.Thanh pham'!M$136),0)</f>
        <v>0.35322793704328276</v>
      </c>
      <c r="S102" s="1018">
        <f>IFERROR(CPQL!Q41/('3.Thanh pham'!N$97+'3.Thanh pham'!N$136),0)</f>
        <v>0.35322793704328276</v>
      </c>
      <c r="T102" s="1018">
        <f>IFERROR(CPQL!R41/('3.Thanh pham'!O$97+'3.Thanh pham'!O$136),0)</f>
        <v>0.35322793704328276</v>
      </c>
      <c r="U102" s="1018">
        <f>IFERROR(CPQL!S41/('3.Thanh pham'!P$97+'3.Thanh pham'!P$136),0)</f>
        <v>0.35322793704328276</v>
      </c>
      <c r="V102" s="1018">
        <f>IFERROR(CPQL!T41/('3.Thanh pham'!Q$97+'3.Thanh pham'!Q$136),0)</f>
        <v>0.35322793704328276</v>
      </c>
      <c r="W102" s="1018">
        <f>IFERROR(CPQL!U41/('3.Thanh pham'!R$97+'3.Thanh pham'!R$136),0)</f>
        <v>0.35322793704328276</v>
      </c>
      <c r="X102" s="1018">
        <f>IFERROR(CPQL!V41/('3.Thanh pham'!S$97+'3.Thanh pham'!S$136),0)</f>
        <v>0.35322793704328276</v>
      </c>
      <c r="Y102" s="1018">
        <f>IFERROR(CPQL!W41/('3.Thanh pham'!T$97+'3.Thanh pham'!T$136),0)</f>
        <v>0.37088933389544687</v>
      </c>
      <c r="Z102" s="86"/>
      <c r="AA102" s="544"/>
    </row>
    <row r="103" spans="2:28" s="6" customFormat="1" ht="13" outlineLevel="1" x14ac:dyDescent="0.3">
      <c r="B103" s="589">
        <v>38</v>
      </c>
      <c r="C103" s="589"/>
      <c r="D103" s="981">
        <v>6427004903</v>
      </c>
      <c r="E103" s="638" t="s">
        <v>444</v>
      </c>
      <c r="F103" s="638" t="s">
        <v>592</v>
      </c>
      <c r="G103" s="578" t="s">
        <v>92</v>
      </c>
      <c r="H103" s="638" t="s">
        <v>521</v>
      </c>
      <c r="I103" s="578" t="s">
        <v>623</v>
      </c>
      <c r="J103" s="1018">
        <f>IFERROR(CPQL!AO42/('3.Thanh pham'!E$97+'3.Thanh pham'!E$136),0)</f>
        <v>1.2332115729800104</v>
      </c>
      <c r="K103" s="1018">
        <f>IFERROR(CPQL!AM42/('3.Thanh pham'!F$97+'3.Thanh pham'!F$136),0)</f>
        <v>2.0758585912567762</v>
      </c>
      <c r="L103" s="1018">
        <f>IFERROR(CPQL!AK42/('3.Thanh pham'!G$97+'3.Thanh pham'!G$136),0)</f>
        <v>4.0772537593398805</v>
      </c>
      <c r="M103" s="1018">
        <f ca="1">IFERROR(CPQL!K42/('3.Thanh pham'!H$97+'3.Thanh pham'!H$136),0)</f>
        <v>5.197700331022423</v>
      </c>
      <c r="N103" s="1018">
        <f ca="1">IFERROR(CPQL!L42/('3.Thanh pham'!I$97+'3.Thanh pham'!I$136),0)</f>
        <v>6.9302671080298968</v>
      </c>
      <c r="O103" s="1018">
        <f ca="1">IFERROR(CPQL!M42/('3.Thanh pham'!J$97+'3.Thanh pham'!J$136),0)</f>
        <v>4.7978772286360822</v>
      </c>
      <c r="P103" s="1018">
        <f ca="1">IFERROR(CPQL!N42/('3.Thanh pham'!K$97+'3.Thanh pham'!K$136),0)</f>
        <v>4.4551717123049341</v>
      </c>
      <c r="Q103" s="1018">
        <f ca="1">IFERROR(CPQL!O42/('3.Thanh pham'!L$97+'3.Thanh pham'!L$136),0)</f>
        <v>4.4551717123049341</v>
      </c>
      <c r="R103" s="1018">
        <f ca="1">IFERROR(CPQL!P42/('3.Thanh pham'!M$97+'3.Thanh pham'!M$136),0)</f>
        <v>4.1438507454696332</v>
      </c>
      <c r="S103" s="1018">
        <f ca="1">IFERROR(CPQL!Q42/('3.Thanh pham'!N$97+'3.Thanh pham'!N$136),0)</f>
        <v>4.143847533392222</v>
      </c>
      <c r="T103" s="1018">
        <f ca="1">IFERROR(CPQL!R42/('3.Thanh pham'!O$97+'3.Thanh pham'!O$136),0)</f>
        <v>4.143847533392222</v>
      </c>
      <c r="U103" s="1018">
        <f ca="1">IFERROR(CPQL!S42/('3.Thanh pham'!P$97+'3.Thanh pham'!P$136),0)</f>
        <v>4.143847533392222</v>
      </c>
      <c r="V103" s="1018">
        <f ca="1">IFERROR(CPQL!T42/('3.Thanh pham'!Q$97+'3.Thanh pham'!Q$136),0)</f>
        <v>4.143847533392222</v>
      </c>
      <c r="W103" s="1018">
        <f ca="1">IFERROR(CPQL!U42/('3.Thanh pham'!R$97+'3.Thanh pham'!R$136),0)</f>
        <v>4.143847533392222</v>
      </c>
      <c r="X103" s="1018">
        <f ca="1">IFERROR(CPQL!V42/('3.Thanh pham'!S$97+'3.Thanh pham'!S$136),0)</f>
        <v>4.143847533392222</v>
      </c>
      <c r="Y103" s="1018">
        <f ca="1">IFERROR(CPQL!W42/('3.Thanh pham'!T$97+'3.Thanh pham'!T$136),0)</f>
        <v>4.4872445193929194</v>
      </c>
      <c r="Z103" s="86"/>
      <c r="AB103" s="5"/>
    </row>
    <row r="104" spans="2:28" s="6" customFormat="1" ht="12.5" outlineLevel="1" x14ac:dyDescent="0.25">
      <c r="B104" s="589">
        <v>39</v>
      </c>
      <c r="C104" s="589"/>
      <c r="D104" s="981" t="s">
        <v>1494</v>
      </c>
      <c r="E104" s="638" t="s">
        <v>1018</v>
      </c>
      <c r="F104" s="638" t="s">
        <v>1019</v>
      </c>
      <c r="G104" s="638" t="s">
        <v>1018</v>
      </c>
      <c r="H104" s="638" t="s">
        <v>513</v>
      </c>
      <c r="I104" s="578" t="s">
        <v>622</v>
      </c>
      <c r="J104" s="1018">
        <f>IFERROR(CPQL!AO43/('3.Thanh pham'!E$97+'3.Thanh pham'!E$136),0)</f>
        <v>5.8550977790448062</v>
      </c>
      <c r="K104" s="1018">
        <f>IFERROR(CPQL!AM43/('3.Thanh pham'!F$97+'3.Thanh pham'!F$136),0)</f>
        <v>11.352905026873851</v>
      </c>
      <c r="L104" s="1018">
        <f>IFERROR(CPQL!AK43/('3.Thanh pham'!G$97+'3.Thanh pham'!G$136),0)</f>
        <v>2.257810618934903</v>
      </c>
      <c r="M104" s="1018">
        <f ca="1">IFERROR(CPQL!K43/('3.Thanh pham'!H$97+'3.Thanh pham'!H$136),0)</f>
        <v>8.7386576023676454</v>
      </c>
      <c r="N104" s="1018">
        <f ca="1">IFERROR(CPQL!L43/('3.Thanh pham'!I$97+'3.Thanh pham'!I$136),0)</f>
        <v>11.651543469823528</v>
      </c>
      <c r="O104" s="1018">
        <f ca="1">IFERROR(CPQL!M43/('3.Thanh pham'!J$97+'3.Thanh pham'!J$136),0)</f>
        <v>8.0664462530957106</v>
      </c>
      <c r="P104" s="1018">
        <f ca="1">IFERROR(CPQL!N43/('3.Thanh pham'!K$97+'3.Thanh pham'!K$136),0)</f>
        <v>5.616565586418715</v>
      </c>
      <c r="Q104" s="1018">
        <f ca="1">IFERROR(CPQL!O43/('3.Thanh pham'!L$97+'3.Thanh pham'!L$136),0)</f>
        <v>5.616565586418715</v>
      </c>
      <c r="R104" s="1018">
        <f ca="1">IFERROR(CPQL!P43/('3.Thanh pham'!M$97+'3.Thanh pham'!M$136),0)</f>
        <v>5.616565586418715</v>
      </c>
      <c r="S104" s="1018">
        <f ca="1">IFERROR(CPQL!Q43/('3.Thanh pham'!N$97+'3.Thanh pham'!N$136),0)</f>
        <v>5.616565586418715</v>
      </c>
      <c r="T104" s="1018">
        <f ca="1">IFERROR(CPQL!R43/('3.Thanh pham'!O$97+'3.Thanh pham'!O$136),0)</f>
        <v>5.616565586418715</v>
      </c>
      <c r="U104" s="1018">
        <f ca="1">IFERROR(CPQL!S43/('3.Thanh pham'!P$97+'3.Thanh pham'!P$136),0)</f>
        <v>5.616565586418715</v>
      </c>
      <c r="V104" s="1018">
        <f ca="1">IFERROR(CPQL!T43/('3.Thanh pham'!Q$97+'3.Thanh pham'!Q$136),0)</f>
        <v>5.616565586418715</v>
      </c>
      <c r="W104" s="1018">
        <f ca="1">IFERROR(CPQL!U43/('3.Thanh pham'!R$97+'3.Thanh pham'!R$136),0)</f>
        <v>5.616565586418715</v>
      </c>
      <c r="X104" s="1018">
        <f ca="1">IFERROR(CPQL!V43/('3.Thanh pham'!S$97+'3.Thanh pham'!S$136),0)</f>
        <v>5.616565586418715</v>
      </c>
      <c r="Y104" s="1018">
        <f ca="1">IFERROR(CPQL!W43/('3.Thanh pham'!T$97+'3.Thanh pham'!T$136),0)</f>
        <v>6.389242797723913</v>
      </c>
      <c r="Z104" s="86"/>
    </row>
    <row r="105" spans="2:28" s="5" customFormat="1" ht="13" hidden="1" outlineLevel="1" x14ac:dyDescent="0.3">
      <c r="B105" s="589">
        <v>40</v>
      </c>
      <c r="C105" s="589"/>
      <c r="D105" s="981">
        <v>6427005001</v>
      </c>
      <c r="E105" s="638" t="s">
        <v>433</v>
      </c>
      <c r="F105" s="638" t="s">
        <v>578</v>
      </c>
      <c r="G105" s="578" t="str">
        <f>E105</f>
        <v>Chi phí thuê nhà, văn phòng, xưởng, kho</v>
      </c>
      <c r="H105" s="578" t="s">
        <v>513</v>
      </c>
      <c r="I105" s="578" t="s">
        <v>623</v>
      </c>
      <c r="J105" s="1018">
        <f>IFERROR(CPQL!AO44/('3.Thanh pham'!E$97+'3.Thanh pham'!E$136),0)</f>
        <v>0</v>
      </c>
      <c r="K105" s="1018">
        <f>IFERROR(CPQL!AM44/('3.Thanh pham'!F$97+'3.Thanh pham'!F$136),0)</f>
        <v>0</v>
      </c>
      <c r="L105" s="1018">
        <f>IFERROR(CPQL!AK44/('3.Thanh pham'!G$97+'3.Thanh pham'!G$136),0)</f>
        <v>0</v>
      </c>
      <c r="M105" s="1018">
        <f>IFERROR(CPQL!K44/('3.Thanh pham'!H$97+'3.Thanh pham'!H$136),0)</f>
        <v>0</v>
      </c>
      <c r="N105" s="1018">
        <f>IFERROR(CPQL!L44/('3.Thanh pham'!I$97+'3.Thanh pham'!I$136),0)</f>
        <v>0</v>
      </c>
      <c r="O105" s="1018">
        <f>IFERROR(CPQL!M44/('3.Thanh pham'!J$97+'3.Thanh pham'!J$136),0)</f>
        <v>0</v>
      </c>
      <c r="P105" s="1018">
        <f>IFERROR(CPQL!N44/('3.Thanh pham'!K$97+'3.Thanh pham'!K$136),0)</f>
        <v>0</v>
      </c>
      <c r="Q105" s="1018">
        <f>IFERROR(CPQL!O44/('3.Thanh pham'!L$97+'3.Thanh pham'!L$136),0)</f>
        <v>0</v>
      </c>
      <c r="R105" s="1018">
        <f>IFERROR(CPQL!P44/('3.Thanh pham'!M$97+'3.Thanh pham'!M$136),0)</f>
        <v>0</v>
      </c>
      <c r="S105" s="1018">
        <f>IFERROR(CPQL!Q44/('3.Thanh pham'!N$97+'3.Thanh pham'!N$136),0)</f>
        <v>0</v>
      </c>
      <c r="T105" s="1018">
        <f>IFERROR(CPQL!R44/('3.Thanh pham'!O$97+'3.Thanh pham'!O$136),0)</f>
        <v>0</v>
      </c>
      <c r="U105" s="1018">
        <f>IFERROR(CPQL!S44/('3.Thanh pham'!P$97+'3.Thanh pham'!P$136),0)</f>
        <v>0</v>
      </c>
      <c r="V105" s="1018">
        <f>IFERROR(CPQL!T44/('3.Thanh pham'!Q$97+'3.Thanh pham'!Q$136),0)</f>
        <v>0</v>
      </c>
      <c r="W105" s="1018">
        <f>IFERROR(CPQL!U44/('3.Thanh pham'!R$97+'3.Thanh pham'!R$136),0)</f>
        <v>0</v>
      </c>
      <c r="X105" s="1018">
        <f>IFERROR(CPQL!V44/('3.Thanh pham'!S$97+'3.Thanh pham'!S$136),0)</f>
        <v>0</v>
      </c>
      <c r="Y105" s="1018">
        <f>IFERROR(CPQL!W44/('3.Thanh pham'!T$97+'3.Thanh pham'!T$136),0)</f>
        <v>0</v>
      </c>
      <c r="Z105" s="86"/>
      <c r="AA105" s="6"/>
      <c r="AB105" s="6"/>
    </row>
    <row r="106" spans="2:28" s="6" customFormat="1" ht="12.5" outlineLevel="1" x14ac:dyDescent="0.25">
      <c r="B106" s="589">
        <v>41</v>
      </c>
      <c r="C106" s="589"/>
      <c r="D106" s="981">
        <v>6427005102</v>
      </c>
      <c r="E106" s="638" t="s">
        <v>445</v>
      </c>
      <c r="F106" s="638" t="s">
        <v>572</v>
      </c>
      <c r="G106" s="578" t="str">
        <f>E106</f>
        <v>Chi phí mực in, mực photo</v>
      </c>
      <c r="H106" s="638" t="s">
        <v>521</v>
      </c>
      <c r="I106" s="578" t="s">
        <v>623</v>
      </c>
      <c r="J106" s="1018">
        <f>IFERROR(CPQL!AO45/('3.Thanh pham'!E$97+'3.Thanh pham'!E$136),0)</f>
        <v>0.18534787499333291</v>
      </c>
      <c r="K106" s="1018">
        <f>IFERROR(CPQL!AM45/('3.Thanh pham'!F$97+'3.Thanh pham'!F$136),0)</f>
        <v>0.53607336797753402</v>
      </c>
      <c r="L106" s="1018">
        <f>IFERROR(CPQL!AK45/('3.Thanh pham'!G$97+'3.Thanh pham'!G$136),0)</f>
        <v>0.3356895788152271</v>
      </c>
      <c r="M106" s="1018">
        <f>IFERROR(CPQL!K45/('3.Thanh pham'!H$97+'3.Thanh pham'!H$136),0)</f>
        <v>1.5205171444631815</v>
      </c>
      <c r="N106" s="1018">
        <f>IFERROR(CPQL!L45/('3.Thanh pham'!I$97+'3.Thanh pham'!I$136),0)</f>
        <v>0.84691774405096498</v>
      </c>
      <c r="O106" s="1018">
        <f>IFERROR(CPQL!M45/('3.Thanh pham'!J$97+'3.Thanh pham'!J$136),0)</f>
        <v>0.5863276689583603</v>
      </c>
      <c r="P106" s="1018">
        <f>IFERROR(CPQL!N45/('3.Thanh pham'!K$97+'3.Thanh pham'!K$136),0)</f>
        <v>0.54444712117562033</v>
      </c>
      <c r="Q106" s="1018">
        <f>IFERROR(CPQL!O45/('3.Thanh pham'!L$97+'3.Thanh pham'!L$136),0)</f>
        <v>2.0621536979041193</v>
      </c>
      <c r="R106" s="1018">
        <f>IFERROR(CPQL!P45/('3.Thanh pham'!M$97+'3.Thanh pham'!M$136),0)</f>
        <v>0.54444712117562033</v>
      </c>
      <c r="S106" s="1018">
        <f>IFERROR(CPQL!Q45/('3.Thanh pham'!N$97+'3.Thanh pham'!N$136),0)</f>
        <v>0.54444712117562033</v>
      </c>
      <c r="T106" s="1018">
        <f>IFERROR(CPQL!R45/('3.Thanh pham'!O$97+'3.Thanh pham'!O$136),0)</f>
        <v>0.54444712117562033</v>
      </c>
      <c r="U106" s="1018">
        <f>IFERROR(CPQL!S45/('3.Thanh pham'!P$97+'3.Thanh pham'!P$136),0)</f>
        <v>1.3033004095398699</v>
      </c>
      <c r="V106" s="1018">
        <f>IFERROR(CPQL!T45/('3.Thanh pham'!Q$97+'3.Thanh pham'!Q$136),0)</f>
        <v>0.54444712117562033</v>
      </c>
      <c r="W106" s="1018">
        <f>IFERROR(CPQL!U45/('3.Thanh pham'!R$97+'3.Thanh pham'!R$136),0)</f>
        <v>0.54444712117562033</v>
      </c>
      <c r="X106" s="1018">
        <f>IFERROR(CPQL!V45/('3.Thanh pham'!S$97+'3.Thanh pham'!S$136),0)</f>
        <v>0.54444712117562033</v>
      </c>
      <c r="Y106" s="1018">
        <f>IFERROR(CPQL!W45/('3.Thanh pham'!T$97+'3.Thanh pham'!T$136),0)</f>
        <v>0.83726812816188867</v>
      </c>
      <c r="Z106" s="86"/>
    </row>
    <row r="107" spans="2:28" s="6" customFormat="1" ht="12.5" outlineLevel="1" x14ac:dyDescent="0.25">
      <c r="B107" s="589">
        <v>42</v>
      </c>
      <c r="C107" s="589"/>
      <c r="D107" s="981">
        <v>6427005501</v>
      </c>
      <c r="E107" s="638" t="s">
        <v>474</v>
      </c>
      <c r="F107" s="638" t="s">
        <v>593</v>
      </c>
      <c r="G107" s="578" t="str">
        <f>E107</f>
        <v>Chi phí ngân hàng</v>
      </c>
      <c r="H107" s="578" t="s">
        <v>522</v>
      </c>
      <c r="I107" s="578" t="s">
        <v>623</v>
      </c>
      <c r="J107" s="1018">
        <f>IFERROR(CPQL!AO46/('3.Thanh pham'!E$97+'3.Thanh pham'!E$136),0)</f>
        <v>0.54715311721924675</v>
      </c>
      <c r="K107" s="1018">
        <f>IFERROR(CPQL!AM46/('3.Thanh pham'!F$97+'3.Thanh pham'!F$136),0)</f>
        <v>0.78308081538569896</v>
      </c>
      <c r="L107" s="1018">
        <f>IFERROR(CPQL!AK46/('3.Thanh pham'!G$97+'3.Thanh pham'!G$136),0)</f>
        <v>0.64644798677417137</v>
      </c>
      <c r="M107" s="1018">
        <f>IFERROR(CPQL!K46/('3.Thanh pham'!H$97+'3.Thanh pham'!H$136),0)</f>
        <v>0.85253887952032981</v>
      </c>
      <c r="N107" s="1018">
        <f>IFERROR(CPQL!L46/('3.Thanh pham'!I$97+'3.Thanh pham'!I$136),0)</f>
        <v>1.1367185060271063</v>
      </c>
      <c r="O107" s="1018">
        <f>IFERROR(CPQL!M46/('3.Thanh pham'!J$97+'3.Thanh pham'!J$136),0)</f>
        <v>0.7869589657110736</v>
      </c>
      <c r="P107" s="1018">
        <f>IFERROR(CPQL!N46/('3.Thanh pham'!K$97+'3.Thanh pham'!K$136),0)</f>
        <v>0.73074761101742547</v>
      </c>
      <c r="Q107" s="1018">
        <f>IFERROR(CPQL!O46/('3.Thanh pham'!L$97+'3.Thanh pham'!L$136),0)</f>
        <v>0.73074761101742547</v>
      </c>
      <c r="R107" s="1018">
        <f>IFERROR(CPQL!P46/('3.Thanh pham'!M$97+'3.Thanh pham'!M$136),0)</f>
        <v>0.73074761101742547</v>
      </c>
      <c r="S107" s="1018">
        <f>IFERROR(CPQL!Q46/('3.Thanh pham'!N$97+'3.Thanh pham'!N$136),0)</f>
        <v>0.73074761101742547</v>
      </c>
      <c r="T107" s="1018">
        <f>IFERROR(CPQL!R46/('3.Thanh pham'!O$97+'3.Thanh pham'!O$136),0)</f>
        <v>0.73074761101742547</v>
      </c>
      <c r="U107" s="1018">
        <f>IFERROR(CPQL!S46/('3.Thanh pham'!P$97+'3.Thanh pham'!P$136),0)</f>
        <v>0.73074761101742547</v>
      </c>
      <c r="V107" s="1018">
        <f>IFERROR(CPQL!T46/('3.Thanh pham'!Q$97+'3.Thanh pham'!Q$136),0)</f>
        <v>0.73074761101742547</v>
      </c>
      <c r="W107" s="1018">
        <f>IFERROR(CPQL!U46/('3.Thanh pham'!R$97+'3.Thanh pham'!R$136),0)</f>
        <v>0.73074761101742547</v>
      </c>
      <c r="X107" s="1018">
        <f>IFERROR(CPQL!V46/('3.Thanh pham'!S$97+'3.Thanh pham'!S$136),0)</f>
        <v>0.73074761101742547</v>
      </c>
      <c r="Y107" s="1018">
        <f>IFERROR(CPQL!W46/('3.Thanh pham'!T$97+'3.Thanh pham'!T$136),0)</f>
        <v>0.76728499156829677</v>
      </c>
      <c r="Z107" s="86"/>
    </row>
    <row r="108" spans="2:28" s="6" customFormat="1" ht="13" outlineLevel="1" x14ac:dyDescent="0.3">
      <c r="B108" s="589">
        <v>43</v>
      </c>
      <c r="C108" s="589"/>
      <c r="D108" s="981">
        <v>6427005601</v>
      </c>
      <c r="E108" s="638" t="s">
        <v>94</v>
      </c>
      <c r="F108" s="638" t="s">
        <v>600</v>
      </c>
      <c r="G108" s="578" t="s">
        <v>94</v>
      </c>
      <c r="H108" s="578" t="s">
        <v>513</v>
      </c>
      <c r="I108" s="578" t="s">
        <v>623</v>
      </c>
      <c r="J108" s="1018">
        <f>IFERROR(CPQL!AO47/('3.Thanh pham'!E$97+'3.Thanh pham'!E$136),0)</f>
        <v>0.61916541632107658</v>
      </c>
      <c r="K108" s="1018">
        <f>IFERROR(CPQL!AM47/('3.Thanh pham'!F$97+'3.Thanh pham'!F$136),0)</f>
        <v>8.8048698652491275</v>
      </c>
      <c r="L108" s="1018">
        <f>IFERROR(CPQL!AK47/('3.Thanh pham'!G$97+'3.Thanh pham'!G$136),0)</f>
        <v>5.890755364600631</v>
      </c>
      <c r="M108" s="1018">
        <f>IFERROR(CPQL!K47/('3.Thanh pham'!H$97+'3.Thanh pham'!H$136),0)</f>
        <v>3.7474236462432078</v>
      </c>
      <c r="N108" s="1018">
        <f>IFERROR(CPQL!L47/('3.Thanh pham'!I$97+'3.Thanh pham'!I$136),0)</f>
        <v>4.9965648616576104</v>
      </c>
      <c r="O108" s="1018">
        <f>IFERROR(CPQL!M47/('3.Thanh pham'!J$97+'3.Thanh pham'!J$136),0)</f>
        <v>3.4591602888398842</v>
      </c>
      <c r="P108" s="1018">
        <f>IFERROR(CPQL!N47/('3.Thanh pham'!K$97+'3.Thanh pham'!K$136),0)</f>
        <v>3.2120774110656067</v>
      </c>
      <c r="Q108" s="1018">
        <f>IFERROR(CPQL!O47/('3.Thanh pham'!L$97+'3.Thanh pham'!L$136),0)</f>
        <v>3.2120774110656067</v>
      </c>
      <c r="R108" s="1018">
        <f>IFERROR(CPQL!P47/('3.Thanh pham'!M$97+'3.Thanh pham'!M$136),0)</f>
        <v>3.2120774110656067</v>
      </c>
      <c r="S108" s="1018">
        <f>IFERROR(CPQL!Q47/('3.Thanh pham'!N$97+'3.Thanh pham'!N$136),0)</f>
        <v>3.2120774110656067</v>
      </c>
      <c r="T108" s="1018">
        <f>IFERROR(CPQL!R47/('3.Thanh pham'!O$97+'3.Thanh pham'!O$136),0)</f>
        <v>3.2120774110656067</v>
      </c>
      <c r="U108" s="1018">
        <f>IFERROR(CPQL!S47/('3.Thanh pham'!P$97+'3.Thanh pham'!P$136),0)</f>
        <v>3.2120774110656067</v>
      </c>
      <c r="V108" s="1018">
        <f>IFERROR(CPQL!T47/('3.Thanh pham'!Q$97+'3.Thanh pham'!Q$136),0)</f>
        <v>3.2120774110656067</v>
      </c>
      <c r="W108" s="1018">
        <f>IFERROR(CPQL!U47/('3.Thanh pham'!R$97+'3.Thanh pham'!R$136),0)</f>
        <v>3.2120774110656067</v>
      </c>
      <c r="X108" s="1018">
        <f>IFERROR(CPQL!V47/('3.Thanh pham'!S$97+'3.Thanh pham'!S$136),0)</f>
        <v>16.060387055328032</v>
      </c>
      <c r="Y108" s="1018">
        <f>IFERROR(CPQL!W47/('3.Thanh pham'!T$97+'3.Thanh pham'!T$136),0)</f>
        <v>4.4969083754918495</v>
      </c>
      <c r="Z108" s="86"/>
      <c r="AA108" s="5"/>
    </row>
    <row r="109" spans="2:28" s="6" customFormat="1" ht="12.5" outlineLevel="1" x14ac:dyDescent="0.25">
      <c r="B109" s="589">
        <v>44</v>
      </c>
      <c r="C109" s="589"/>
      <c r="D109" s="981">
        <v>6427005602</v>
      </c>
      <c r="E109" s="638" t="s">
        <v>437</v>
      </c>
      <c r="F109" s="638" t="s">
        <v>570</v>
      </c>
      <c r="G109" s="578" t="str">
        <f>E109</f>
        <v>Chi phí tiệc, phúc lợi</v>
      </c>
      <c r="H109" s="638" t="s">
        <v>521</v>
      </c>
      <c r="I109" s="578" t="s">
        <v>623</v>
      </c>
      <c r="J109" s="1018">
        <f>IFERROR(CPQL!AO48/('3.Thanh pham'!E$97+'3.Thanh pham'!E$136),0)</f>
        <v>4.8648711282370298</v>
      </c>
      <c r="K109" s="1018">
        <f>IFERROR(CPQL!AM48/('3.Thanh pham'!F$97+'3.Thanh pham'!F$136),0)</f>
        <v>3.3523876028739745</v>
      </c>
      <c r="L109" s="1018">
        <f>IFERROR(CPQL!AK48/('3.Thanh pham'!G$97+'3.Thanh pham'!G$136),0)</f>
        <v>4.2466621465014072</v>
      </c>
      <c r="M109" s="1018">
        <f>IFERROR(CPQL!K48/('3.Thanh pham'!H$97+'3.Thanh pham'!H$136),0)</f>
        <v>46.639123102866776</v>
      </c>
      <c r="N109" s="1018">
        <f>IFERROR(CPQL!L48/('3.Thanh pham'!I$97+'3.Thanh pham'!I$136),0)</f>
        <v>0</v>
      </c>
      <c r="O109" s="1018">
        <f>IFERROR(CPQL!M48/('3.Thanh pham'!J$97+'3.Thanh pham'!J$136),0)</f>
        <v>0</v>
      </c>
      <c r="P109" s="1018">
        <f>IFERROR(CPQL!N48/('3.Thanh pham'!K$97+'3.Thanh pham'!K$136),0)</f>
        <v>0</v>
      </c>
      <c r="Q109" s="1018">
        <f>IFERROR(CPQL!O48/('3.Thanh pham'!L$97+'3.Thanh pham'!L$136),0)</f>
        <v>0</v>
      </c>
      <c r="R109" s="1018">
        <f>IFERROR(CPQL!P48/('3.Thanh pham'!M$97+'3.Thanh pham'!M$136),0)</f>
        <v>0</v>
      </c>
      <c r="S109" s="1018">
        <f>IFERROR(CPQL!Q48/('3.Thanh pham'!N$97+'3.Thanh pham'!N$136),0)</f>
        <v>0</v>
      </c>
      <c r="T109" s="1018">
        <f>IFERROR(CPQL!R48/('3.Thanh pham'!O$97+'3.Thanh pham'!O$136),0)</f>
        <v>0</v>
      </c>
      <c r="U109" s="1018">
        <f>IFERROR(CPQL!S48/('3.Thanh pham'!P$97+'3.Thanh pham'!P$136),0)</f>
        <v>0</v>
      </c>
      <c r="V109" s="1018">
        <f>IFERROR(CPQL!T48/('3.Thanh pham'!Q$97+'3.Thanh pham'!Q$136),0)</f>
        <v>0</v>
      </c>
      <c r="W109" s="1018">
        <f>IFERROR(CPQL!U48/('3.Thanh pham'!R$97+'3.Thanh pham'!R$136),0)</f>
        <v>0</v>
      </c>
      <c r="X109" s="1018">
        <f>IFERROR(CPQL!V48/('3.Thanh pham'!S$97+'3.Thanh pham'!S$136),0)</f>
        <v>0</v>
      </c>
      <c r="Y109" s="1018">
        <f>IFERROR(CPQL!W48/('3.Thanh pham'!T$97+'3.Thanh pham'!T$136),0)</f>
        <v>3.4979342327150085</v>
      </c>
      <c r="Z109" s="86"/>
    </row>
    <row r="110" spans="2:28" s="6" customFormat="1" ht="12.5" outlineLevel="1" x14ac:dyDescent="0.25">
      <c r="B110" s="589">
        <v>45</v>
      </c>
      <c r="C110" s="589"/>
      <c r="D110" s="981">
        <v>6427005701</v>
      </c>
      <c r="E110" s="638" t="s">
        <v>438</v>
      </c>
      <c r="F110" s="638" t="s">
        <v>597</v>
      </c>
      <c r="G110" s="578" t="str">
        <f>E110</f>
        <v>Vé bay, tàu, xe, taxi</v>
      </c>
      <c r="H110" s="638" t="s">
        <v>521</v>
      </c>
      <c r="I110" s="578" t="s">
        <v>623</v>
      </c>
      <c r="J110" s="1018">
        <f>IFERROR(CPQL!AO49/('3.Thanh pham'!E$97+'3.Thanh pham'!E$136),0)</f>
        <v>0</v>
      </c>
      <c r="K110" s="1018">
        <f>IFERROR(CPQL!AM49/('3.Thanh pham'!F$97+'3.Thanh pham'!F$136),0)</f>
        <v>2.1552523684078491</v>
      </c>
      <c r="L110" s="1018">
        <f>IFERROR(CPQL!AK49/('3.Thanh pham'!G$97+'3.Thanh pham'!G$136),0)</f>
        <v>1.0053647284313907</v>
      </c>
      <c r="M110" s="1018">
        <f>IFERROR(CPQL!K49/('3.Thanh pham'!H$97+'3.Thanh pham'!H$136),0)</f>
        <v>0.983698707138842</v>
      </c>
      <c r="N110" s="1018">
        <f>IFERROR(CPQL!L49/('3.Thanh pham'!I$97+'3.Thanh pham'!I$136),0)</f>
        <v>1.3115982761851228</v>
      </c>
      <c r="O110" s="1018">
        <f>IFERROR(CPQL!M49/('3.Thanh pham'!J$97+'3.Thanh pham'!J$136),0)</f>
        <v>0.90802957582046961</v>
      </c>
      <c r="P110" s="1018">
        <f>IFERROR(CPQL!N49/('3.Thanh pham'!K$97+'3.Thanh pham'!K$136),0)</f>
        <v>0.84317032040472173</v>
      </c>
      <c r="Q110" s="1018">
        <f>IFERROR(CPQL!O49/('3.Thanh pham'!L$97+'3.Thanh pham'!L$136),0)</f>
        <v>0.84317032040472173</v>
      </c>
      <c r="R110" s="1018">
        <f>IFERROR(CPQL!P49/('3.Thanh pham'!M$97+'3.Thanh pham'!M$136),0)</f>
        <v>0.84317032040472173</v>
      </c>
      <c r="S110" s="1018">
        <f>IFERROR(CPQL!Q49/('3.Thanh pham'!N$97+'3.Thanh pham'!N$136),0)</f>
        <v>0.84317032040472173</v>
      </c>
      <c r="T110" s="1018">
        <f>IFERROR(CPQL!R49/('3.Thanh pham'!O$97+'3.Thanh pham'!O$136),0)</f>
        <v>0.84317032040472173</v>
      </c>
      <c r="U110" s="1018">
        <f>IFERROR(CPQL!S49/('3.Thanh pham'!P$97+'3.Thanh pham'!P$136),0)</f>
        <v>0.84317032040472173</v>
      </c>
      <c r="V110" s="1018">
        <f>IFERROR(CPQL!T49/('3.Thanh pham'!Q$97+'3.Thanh pham'!Q$136),0)</f>
        <v>0.84317032040472173</v>
      </c>
      <c r="W110" s="1018">
        <f>IFERROR(CPQL!U49/('3.Thanh pham'!R$97+'3.Thanh pham'!R$136),0)</f>
        <v>0.84317032040472173</v>
      </c>
      <c r="X110" s="1018">
        <f>IFERROR(CPQL!V49/('3.Thanh pham'!S$97+'3.Thanh pham'!S$136),0)</f>
        <v>0.84317032040472173</v>
      </c>
      <c r="Y110" s="1018">
        <f>IFERROR(CPQL!W49/('3.Thanh pham'!T$97+'3.Thanh pham'!T$136),0)</f>
        <v>0.88532883642495785</v>
      </c>
      <c r="Z110" s="86"/>
    </row>
    <row r="111" spans="2:28" s="6" customFormat="1" ht="12.5" hidden="1" outlineLevel="1" x14ac:dyDescent="0.25">
      <c r="B111" s="589">
        <v>46</v>
      </c>
      <c r="C111" s="589"/>
      <c r="D111" s="981">
        <v>6427005702</v>
      </c>
      <c r="E111" s="638" t="s">
        <v>439</v>
      </c>
      <c r="F111" s="638" t="s">
        <v>598</v>
      </c>
      <c r="G111" s="578" t="s">
        <v>93</v>
      </c>
      <c r="H111" s="638" t="s">
        <v>521</v>
      </c>
      <c r="I111" s="578" t="s">
        <v>623</v>
      </c>
      <c r="J111" s="1018">
        <f>IFERROR(CPQL!AO50/('3.Thanh pham'!E$97+'3.Thanh pham'!E$136),0)</f>
        <v>0</v>
      </c>
      <c r="K111" s="1018">
        <f>IFERROR(CPQL!AM50/('3.Thanh pham'!F$97+'3.Thanh pham'!F$136),0)</f>
        <v>0</v>
      </c>
      <c r="L111" s="1018">
        <f>IFERROR(CPQL!AK50/('3.Thanh pham'!G$97+'3.Thanh pham'!G$136),0)</f>
        <v>0</v>
      </c>
      <c r="M111" s="1018">
        <f>IFERROR(CPQL!K50/('3.Thanh pham'!H$97+'3.Thanh pham'!H$136),0)</f>
        <v>0</v>
      </c>
      <c r="N111" s="1018">
        <f>IFERROR(CPQL!L50/('3.Thanh pham'!I$97+'3.Thanh pham'!I$136),0)</f>
        <v>0</v>
      </c>
      <c r="O111" s="1018">
        <f>IFERROR(CPQL!M50/('3.Thanh pham'!J$97+'3.Thanh pham'!J$136),0)</f>
        <v>0</v>
      </c>
      <c r="P111" s="1018">
        <f>IFERROR(CPQL!N50/('3.Thanh pham'!K$97+'3.Thanh pham'!K$136),0)</f>
        <v>0</v>
      </c>
      <c r="Q111" s="1018">
        <f>IFERROR(CPQL!O50/('3.Thanh pham'!L$97+'3.Thanh pham'!L$136),0)</f>
        <v>0</v>
      </c>
      <c r="R111" s="1018">
        <f>IFERROR(CPQL!P50/('3.Thanh pham'!M$97+'3.Thanh pham'!M$136),0)</f>
        <v>0</v>
      </c>
      <c r="S111" s="1018">
        <f>IFERROR(CPQL!Q50/('3.Thanh pham'!N$97+'3.Thanh pham'!N$136),0)</f>
        <v>0</v>
      </c>
      <c r="T111" s="1018">
        <f>IFERROR(CPQL!R50/('3.Thanh pham'!O$97+'3.Thanh pham'!O$136),0)</f>
        <v>0</v>
      </c>
      <c r="U111" s="1018">
        <f>IFERROR(CPQL!S50/('3.Thanh pham'!P$97+'3.Thanh pham'!P$136),0)</f>
        <v>0</v>
      </c>
      <c r="V111" s="1018">
        <f>IFERROR(CPQL!T50/('3.Thanh pham'!Q$97+'3.Thanh pham'!Q$136),0)</f>
        <v>0</v>
      </c>
      <c r="W111" s="1018">
        <f>IFERROR(CPQL!U50/('3.Thanh pham'!R$97+'3.Thanh pham'!R$136),0)</f>
        <v>0</v>
      </c>
      <c r="X111" s="1018">
        <f>IFERROR(CPQL!V50/('3.Thanh pham'!S$97+'3.Thanh pham'!S$136),0)</f>
        <v>0</v>
      </c>
      <c r="Y111" s="1018">
        <f>IFERROR(CPQL!W50/('3.Thanh pham'!T$97+'3.Thanh pham'!T$136),0)</f>
        <v>0</v>
      </c>
      <c r="Z111" s="86"/>
    </row>
    <row r="112" spans="2:28" s="6" customFormat="1" ht="12.5" outlineLevel="1" x14ac:dyDescent="0.25">
      <c r="B112" s="589">
        <v>47</v>
      </c>
      <c r="C112" s="589"/>
      <c r="D112" s="981">
        <v>6427005801</v>
      </c>
      <c r="E112" s="638" t="s">
        <v>434</v>
      </c>
      <c r="F112" s="638" t="s">
        <v>590</v>
      </c>
      <c r="G112" s="578" t="s">
        <v>88</v>
      </c>
      <c r="H112" s="578" t="s">
        <v>513</v>
      </c>
      <c r="I112" s="578" t="s">
        <v>622</v>
      </c>
      <c r="J112" s="1018">
        <f>IFERROR(CPQL!AO51/('3.Thanh pham'!E$97+'3.Thanh pham'!E$136),0)</f>
        <v>0.82180569687023386</v>
      </c>
      <c r="K112" s="1018">
        <f>IFERROR(CPQL!AM51/('3.Thanh pham'!F$97+'3.Thanh pham'!F$136),0)</f>
        <v>75.678651585865325</v>
      </c>
      <c r="L112" s="1018">
        <f>IFERROR(CPQL!AK51/('3.Thanh pham'!G$97+'3.Thanh pham'!G$136),0)</f>
        <v>41.905955968092108</v>
      </c>
      <c r="M112" s="1018">
        <f ca="1">IFERROR(CPQL!K51/('3.Thanh pham'!H$97+'3.Thanh pham'!H$136),0)</f>
        <v>40.506642308412964</v>
      </c>
      <c r="N112" s="1018">
        <f ca="1">IFERROR(CPQL!L51/('3.Thanh pham'!I$97+'3.Thanh pham'!I$136),0)</f>
        <v>54.008856411217288</v>
      </c>
      <c r="O112" s="1018">
        <f ca="1">IFERROR(CPQL!M51/('3.Thanh pham'!J$97+'3.Thanh pham'!J$136),0)</f>
        <v>35.97610930946513</v>
      </c>
      <c r="P112" s="1018">
        <f ca="1">IFERROR(CPQL!N51/('3.Thanh pham'!K$97+'3.Thanh pham'!K$136),0)</f>
        <v>33.406374367622263</v>
      </c>
      <c r="Q112" s="1018">
        <f ca="1">IFERROR(CPQL!O51/('3.Thanh pham'!L$97+'3.Thanh pham'!L$136),0)</f>
        <v>33.406361519312618</v>
      </c>
      <c r="R112" s="1018">
        <f ca="1">IFERROR(CPQL!P51/('3.Thanh pham'!M$97+'3.Thanh pham'!M$136),0)</f>
        <v>32.693559784790814</v>
      </c>
      <c r="S112" s="1018">
        <f ca="1">IFERROR(CPQL!Q51/('3.Thanh pham'!N$97+'3.Thanh pham'!N$136),0)</f>
        <v>32.693559784790814</v>
      </c>
      <c r="T112" s="1018">
        <f ca="1">IFERROR(CPQL!R51/('3.Thanh pham'!O$97+'3.Thanh pham'!O$136),0)</f>
        <v>32.461514494499319</v>
      </c>
      <c r="U112" s="1018">
        <f ca="1">IFERROR(CPQL!S51/('3.Thanh pham'!P$97+'3.Thanh pham'!P$136),0)</f>
        <v>32.436638560989323</v>
      </c>
      <c r="V112" s="1018">
        <f ca="1">IFERROR(CPQL!T51/('3.Thanh pham'!Q$97+'3.Thanh pham'!Q$136),0)</f>
        <v>32.436638560989323</v>
      </c>
      <c r="W112" s="1018">
        <f ca="1">IFERROR(CPQL!U51/('3.Thanh pham'!R$97+'3.Thanh pham'!R$136),0)</f>
        <v>32.436638560989323</v>
      </c>
      <c r="X112" s="1018">
        <f ca="1">IFERROR(CPQL!V51/('3.Thanh pham'!S$97+'3.Thanh pham'!S$136),0)</f>
        <v>32.436638560989323</v>
      </c>
      <c r="Y112" s="1018">
        <f ca="1">IFERROR(CPQL!W51/('3.Thanh pham'!T$97+'3.Thanh pham'!T$136),0)</f>
        <v>34.759748594716136</v>
      </c>
      <c r="Z112" s="86"/>
    </row>
    <row r="113" spans="2:28" s="6" customFormat="1" ht="12.5" hidden="1" outlineLevel="1" x14ac:dyDescent="0.25">
      <c r="B113" s="589">
        <v>48</v>
      </c>
      <c r="C113" s="589"/>
      <c r="D113" s="981">
        <v>6427005802</v>
      </c>
      <c r="E113" s="638" t="s">
        <v>476</v>
      </c>
      <c r="F113" s="638" t="s">
        <v>591</v>
      </c>
      <c r="G113" s="578" t="str">
        <f t="shared" ref="G113:G121" si="6">E113</f>
        <v>Chi phí kiểm toán</v>
      </c>
      <c r="H113" s="578" t="s">
        <v>522</v>
      </c>
      <c r="I113" s="578" t="s">
        <v>623</v>
      </c>
      <c r="J113" s="1018">
        <f>IFERROR(CPQL!AO52/('3.Thanh pham'!E$97+'3.Thanh pham'!E$136),0)</f>
        <v>0</v>
      </c>
      <c r="K113" s="1018">
        <f>IFERROR(CPQL!AM52/('3.Thanh pham'!F$97+'3.Thanh pham'!F$136),0)</f>
        <v>0</v>
      </c>
      <c r="L113" s="1018">
        <f>IFERROR(CPQL!AK52/('3.Thanh pham'!G$97+'3.Thanh pham'!G$136),0)</f>
        <v>0</v>
      </c>
      <c r="M113" s="1018">
        <f>IFERROR(CPQL!K52/('3.Thanh pham'!H$97+'3.Thanh pham'!H$136),0)</f>
        <v>0</v>
      </c>
      <c r="N113" s="1018">
        <f>IFERROR(CPQL!L52/('3.Thanh pham'!I$97+'3.Thanh pham'!I$136),0)</f>
        <v>0</v>
      </c>
      <c r="O113" s="1018">
        <f>IFERROR(CPQL!M52/('3.Thanh pham'!J$97+'3.Thanh pham'!J$136),0)</f>
        <v>0</v>
      </c>
      <c r="P113" s="1018">
        <f>IFERROR(CPQL!N52/('3.Thanh pham'!K$97+'3.Thanh pham'!K$136),0)</f>
        <v>0</v>
      </c>
      <c r="Q113" s="1018">
        <f>IFERROR(CPQL!O52/('3.Thanh pham'!L$97+'3.Thanh pham'!L$136),0)</f>
        <v>0</v>
      </c>
      <c r="R113" s="1018">
        <f>IFERROR(CPQL!P52/('3.Thanh pham'!M$97+'3.Thanh pham'!M$136),0)</f>
        <v>0</v>
      </c>
      <c r="S113" s="1018">
        <f>IFERROR(CPQL!Q52/('3.Thanh pham'!N$97+'3.Thanh pham'!N$136),0)</f>
        <v>0</v>
      </c>
      <c r="T113" s="1018">
        <f>IFERROR(CPQL!R52/('3.Thanh pham'!O$97+'3.Thanh pham'!O$136),0)</f>
        <v>0</v>
      </c>
      <c r="U113" s="1018">
        <f>IFERROR(CPQL!S52/('3.Thanh pham'!P$97+'3.Thanh pham'!P$136),0)</f>
        <v>0</v>
      </c>
      <c r="V113" s="1018">
        <f>IFERROR(CPQL!T52/('3.Thanh pham'!Q$97+'3.Thanh pham'!Q$136),0)</f>
        <v>0</v>
      </c>
      <c r="W113" s="1018">
        <f>IFERROR(CPQL!U52/('3.Thanh pham'!R$97+'3.Thanh pham'!R$136),0)</f>
        <v>0</v>
      </c>
      <c r="X113" s="1018">
        <f>IFERROR(CPQL!V52/('3.Thanh pham'!S$97+'3.Thanh pham'!S$136),0)</f>
        <v>0</v>
      </c>
      <c r="Y113" s="1018">
        <f>IFERROR(CPQL!W52/('3.Thanh pham'!T$97+'3.Thanh pham'!T$136),0)</f>
        <v>0</v>
      </c>
      <c r="Z113" s="86"/>
    </row>
    <row r="114" spans="2:28" s="5" customFormat="1" ht="13" hidden="1" outlineLevel="1" x14ac:dyDescent="0.3">
      <c r="B114" s="589">
        <v>49</v>
      </c>
      <c r="C114" s="589"/>
      <c r="D114" s="981">
        <v>6427005803</v>
      </c>
      <c r="E114" s="638" t="s">
        <v>477</v>
      </c>
      <c r="F114" s="638" t="s">
        <v>575</v>
      </c>
      <c r="G114" s="578" t="str">
        <f t="shared" si="6"/>
        <v>Chi phí trang trí văn phòng</v>
      </c>
      <c r="H114" s="638" t="s">
        <v>521</v>
      </c>
      <c r="I114" s="578" t="s">
        <v>623</v>
      </c>
      <c r="J114" s="1018">
        <f>IFERROR(CPQL!AO53/('3.Thanh pham'!E$97+'3.Thanh pham'!E$136),0)</f>
        <v>0</v>
      </c>
      <c r="K114" s="1018">
        <f>IFERROR(CPQL!AM53/('3.Thanh pham'!F$97+'3.Thanh pham'!F$136),0)</f>
        <v>0</v>
      </c>
      <c r="L114" s="1018">
        <f>IFERROR(CPQL!AK53/('3.Thanh pham'!G$97+'3.Thanh pham'!G$136),0)</f>
        <v>0</v>
      </c>
      <c r="M114" s="1018">
        <f>IFERROR(CPQL!K53/('3.Thanh pham'!H$97+'3.Thanh pham'!H$136),0)</f>
        <v>0</v>
      </c>
      <c r="N114" s="1018">
        <f>IFERROR(CPQL!L53/('3.Thanh pham'!I$97+'3.Thanh pham'!I$136),0)</f>
        <v>0</v>
      </c>
      <c r="O114" s="1018">
        <f>IFERROR(CPQL!M53/('3.Thanh pham'!J$97+'3.Thanh pham'!J$136),0)</f>
        <v>0</v>
      </c>
      <c r="P114" s="1018">
        <f>IFERROR(CPQL!N53/('3.Thanh pham'!K$97+'3.Thanh pham'!K$136),0)</f>
        <v>0</v>
      </c>
      <c r="Q114" s="1018">
        <f>IFERROR(CPQL!O53/('3.Thanh pham'!L$97+'3.Thanh pham'!L$136),0)</f>
        <v>0</v>
      </c>
      <c r="R114" s="1018">
        <f>IFERROR(CPQL!P53/('3.Thanh pham'!M$97+'3.Thanh pham'!M$136),0)</f>
        <v>0</v>
      </c>
      <c r="S114" s="1018">
        <f>IFERROR(CPQL!Q53/('3.Thanh pham'!N$97+'3.Thanh pham'!N$136),0)</f>
        <v>0</v>
      </c>
      <c r="T114" s="1018">
        <f>IFERROR(CPQL!R53/('3.Thanh pham'!O$97+'3.Thanh pham'!O$136),0)</f>
        <v>0</v>
      </c>
      <c r="U114" s="1018">
        <f>IFERROR(CPQL!S53/('3.Thanh pham'!P$97+'3.Thanh pham'!P$136),0)</f>
        <v>0</v>
      </c>
      <c r="V114" s="1018">
        <f>IFERROR(CPQL!T53/('3.Thanh pham'!Q$97+'3.Thanh pham'!Q$136),0)</f>
        <v>0</v>
      </c>
      <c r="W114" s="1018">
        <f>IFERROR(CPQL!U53/('3.Thanh pham'!R$97+'3.Thanh pham'!R$136),0)</f>
        <v>0</v>
      </c>
      <c r="X114" s="1018">
        <f>IFERROR(CPQL!V53/('3.Thanh pham'!S$97+'3.Thanh pham'!S$136),0)</f>
        <v>0</v>
      </c>
      <c r="Y114" s="1018">
        <f>IFERROR(CPQL!W53/('3.Thanh pham'!T$97+'3.Thanh pham'!T$136),0)</f>
        <v>0</v>
      </c>
      <c r="Z114" s="86"/>
      <c r="AA114" s="6"/>
      <c r="AB114" s="6"/>
    </row>
    <row r="115" spans="2:28" s="6" customFormat="1" ht="12.5" hidden="1" outlineLevel="1" x14ac:dyDescent="0.25">
      <c r="B115" s="589">
        <v>50</v>
      </c>
      <c r="C115" s="589"/>
      <c r="D115" s="981">
        <v>6428002803</v>
      </c>
      <c r="E115" s="638" t="s">
        <v>492</v>
      </c>
      <c r="F115" s="638" t="s">
        <v>575</v>
      </c>
      <c r="G115" s="578" t="str">
        <f t="shared" si="6"/>
        <v>Tiền cà phê, bánh phòng họp</v>
      </c>
      <c r="H115" s="638" t="s">
        <v>521</v>
      </c>
      <c r="I115" s="578" t="s">
        <v>623</v>
      </c>
      <c r="J115" s="1018">
        <f>IFERROR(CPQL!AO54/('3.Thanh pham'!E$97+'3.Thanh pham'!E$136),0)</f>
        <v>0</v>
      </c>
      <c r="K115" s="1018">
        <f>IFERROR(CPQL!AM54/('3.Thanh pham'!F$97+'3.Thanh pham'!F$136),0)</f>
        <v>0</v>
      </c>
      <c r="L115" s="1018">
        <f>IFERROR(CPQL!AK54/('3.Thanh pham'!G$97+'3.Thanh pham'!G$136),0)</f>
        <v>0</v>
      </c>
      <c r="M115" s="1018">
        <f>IFERROR(CPQL!K54/('3.Thanh pham'!H$97+'3.Thanh pham'!H$136),0)</f>
        <v>0</v>
      </c>
      <c r="N115" s="1018">
        <f>IFERROR(CPQL!L54/('3.Thanh pham'!I$97+'3.Thanh pham'!I$136),0)</f>
        <v>0</v>
      </c>
      <c r="O115" s="1018">
        <f>IFERROR(CPQL!M54/('3.Thanh pham'!J$97+'3.Thanh pham'!J$136),0)</f>
        <v>0</v>
      </c>
      <c r="P115" s="1018">
        <f>IFERROR(CPQL!N54/('3.Thanh pham'!K$97+'3.Thanh pham'!K$136),0)</f>
        <v>0</v>
      </c>
      <c r="Q115" s="1018">
        <f>IFERROR(CPQL!O54/('3.Thanh pham'!L$97+'3.Thanh pham'!L$136),0)</f>
        <v>0</v>
      </c>
      <c r="R115" s="1018">
        <f>IFERROR(CPQL!P54/('3.Thanh pham'!M$97+'3.Thanh pham'!M$136),0)</f>
        <v>0</v>
      </c>
      <c r="S115" s="1018">
        <f>IFERROR(CPQL!Q54/('3.Thanh pham'!N$97+'3.Thanh pham'!N$136),0)</f>
        <v>0</v>
      </c>
      <c r="T115" s="1018">
        <f>IFERROR(CPQL!R54/('3.Thanh pham'!O$97+'3.Thanh pham'!O$136),0)</f>
        <v>0</v>
      </c>
      <c r="U115" s="1018">
        <f>IFERROR(CPQL!S54/('3.Thanh pham'!P$97+'3.Thanh pham'!P$136),0)</f>
        <v>0</v>
      </c>
      <c r="V115" s="1018">
        <f>IFERROR(CPQL!T54/('3.Thanh pham'!Q$97+'3.Thanh pham'!Q$136),0)</f>
        <v>0</v>
      </c>
      <c r="W115" s="1018">
        <f>IFERROR(CPQL!U54/('3.Thanh pham'!R$97+'3.Thanh pham'!R$136),0)</f>
        <v>0</v>
      </c>
      <c r="X115" s="1018">
        <f>IFERROR(CPQL!V54/('3.Thanh pham'!S$97+'3.Thanh pham'!S$136),0)</f>
        <v>0</v>
      </c>
      <c r="Y115" s="1018">
        <f>IFERROR(CPQL!W54/('3.Thanh pham'!T$97+'3.Thanh pham'!T$136),0)</f>
        <v>0</v>
      </c>
      <c r="Z115" s="86"/>
    </row>
    <row r="116" spans="2:28" s="6" customFormat="1" ht="13" hidden="1" outlineLevel="1" x14ac:dyDescent="0.3">
      <c r="B116" s="589">
        <v>51</v>
      </c>
      <c r="C116" s="589"/>
      <c r="D116" s="981">
        <v>6428004108</v>
      </c>
      <c r="E116" s="638" t="s">
        <v>487</v>
      </c>
      <c r="F116" s="638" t="s">
        <v>595</v>
      </c>
      <c r="G116" s="578" t="str">
        <f t="shared" si="6"/>
        <v>Chi phí phát triển sản phẩm, thị trường</v>
      </c>
      <c r="H116" s="578" t="s">
        <v>520</v>
      </c>
      <c r="I116" s="578" t="s">
        <v>623</v>
      </c>
      <c r="J116" s="1018">
        <f>IFERROR(CPQL!AO55/('3.Thanh pham'!E$97+'3.Thanh pham'!E$136),0)</f>
        <v>0</v>
      </c>
      <c r="K116" s="1018">
        <f>IFERROR(CPQL!AM55/('3.Thanh pham'!F$97+'3.Thanh pham'!F$136),0)</f>
        <v>0</v>
      </c>
      <c r="L116" s="1018">
        <f>IFERROR(CPQL!AK55/('3.Thanh pham'!G$97+'3.Thanh pham'!G$136),0)</f>
        <v>0</v>
      </c>
      <c r="M116" s="1018">
        <f>IFERROR(CPQL!K55/('3.Thanh pham'!H$97+'3.Thanh pham'!H$136),0)</f>
        <v>0</v>
      </c>
      <c r="N116" s="1018">
        <f>IFERROR(CPQL!L55/('3.Thanh pham'!I$97+'3.Thanh pham'!I$136),0)</f>
        <v>0</v>
      </c>
      <c r="O116" s="1018">
        <f>IFERROR(CPQL!M55/('3.Thanh pham'!J$97+'3.Thanh pham'!J$136),0)</f>
        <v>0</v>
      </c>
      <c r="P116" s="1018">
        <f>IFERROR(CPQL!N55/('3.Thanh pham'!K$97+'3.Thanh pham'!K$136),0)</f>
        <v>0</v>
      </c>
      <c r="Q116" s="1018">
        <f>IFERROR(CPQL!O55/('3.Thanh pham'!L$97+'3.Thanh pham'!L$136),0)</f>
        <v>0</v>
      </c>
      <c r="R116" s="1018">
        <f>IFERROR(CPQL!P55/('3.Thanh pham'!M$97+'3.Thanh pham'!M$136),0)</f>
        <v>0</v>
      </c>
      <c r="S116" s="1018">
        <f>IFERROR(CPQL!Q55/('3.Thanh pham'!N$97+'3.Thanh pham'!N$136),0)</f>
        <v>0</v>
      </c>
      <c r="T116" s="1018">
        <f>IFERROR(CPQL!R55/('3.Thanh pham'!O$97+'3.Thanh pham'!O$136),0)</f>
        <v>0</v>
      </c>
      <c r="U116" s="1018">
        <f>IFERROR(CPQL!S55/('3.Thanh pham'!P$97+'3.Thanh pham'!P$136),0)</f>
        <v>0</v>
      </c>
      <c r="V116" s="1018">
        <f>IFERROR(CPQL!T55/('3.Thanh pham'!Q$97+'3.Thanh pham'!Q$136),0)</f>
        <v>0</v>
      </c>
      <c r="W116" s="1018">
        <f>IFERROR(CPQL!U55/('3.Thanh pham'!R$97+'3.Thanh pham'!R$136),0)</f>
        <v>0</v>
      </c>
      <c r="X116" s="1018">
        <f>IFERROR(CPQL!V55/('3.Thanh pham'!S$97+'3.Thanh pham'!S$136),0)</f>
        <v>0</v>
      </c>
      <c r="Y116" s="1018">
        <f>IFERROR(CPQL!W55/('3.Thanh pham'!T$97+'3.Thanh pham'!T$136),0)</f>
        <v>0</v>
      </c>
      <c r="Z116" s="86"/>
      <c r="AB116" s="5"/>
    </row>
    <row r="117" spans="2:28" s="6" customFormat="1" ht="12.5" hidden="1" outlineLevel="1" x14ac:dyDescent="0.25">
      <c r="B117" s="589">
        <v>52</v>
      </c>
      <c r="C117" s="589"/>
      <c r="D117" s="981">
        <v>6428004202</v>
      </c>
      <c r="E117" s="638" t="s">
        <v>452</v>
      </c>
      <c r="F117" s="638" t="s">
        <v>575</v>
      </c>
      <c r="G117" s="578" t="str">
        <f t="shared" si="6"/>
        <v>Chi phí bồi thường, nộp phạt</v>
      </c>
      <c r="H117" s="578" t="s">
        <v>522</v>
      </c>
      <c r="I117" s="578" t="s">
        <v>623</v>
      </c>
      <c r="J117" s="1018">
        <f>IFERROR(CPQL!AO56/('3.Thanh pham'!E$97+'3.Thanh pham'!E$136),0)</f>
        <v>0</v>
      </c>
      <c r="K117" s="1018">
        <f>IFERROR(CPQL!AM56/('3.Thanh pham'!F$97+'3.Thanh pham'!F$136),0)</f>
        <v>0</v>
      </c>
      <c r="L117" s="1018">
        <f>IFERROR(CPQL!AK56/('3.Thanh pham'!G$97+'3.Thanh pham'!G$136),0)</f>
        <v>0</v>
      </c>
      <c r="M117" s="1018">
        <f>IFERROR(CPQL!K56/('3.Thanh pham'!H$97+'3.Thanh pham'!H$136),0)</f>
        <v>0</v>
      </c>
      <c r="N117" s="1018">
        <f>IFERROR(CPQL!L56/('3.Thanh pham'!I$97+'3.Thanh pham'!I$136),0)</f>
        <v>0</v>
      </c>
      <c r="O117" s="1018">
        <f>IFERROR(CPQL!M56/('3.Thanh pham'!J$97+'3.Thanh pham'!J$136),0)</f>
        <v>0</v>
      </c>
      <c r="P117" s="1018">
        <f>IFERROR(CPQL!N56/('3.Thanh pham'!K$97+'3.Thanh pham'!K$136),0)</f>
        <v>0</v>
      </c>
      <c r="Q117" s="1018">
        <f>IFERROR(CPQL!O56/('3.Thanh pham'!L$97+'3.Thanh pham'!L$136),0)</f>
        <v>0</v>
      </c>
      <c r="R117" s="1018">
        <f>IFERROR(CPQL!P56/('3.Thanh pham'!M$97+'3.Thanh pham'!M$136),0)</f>
        <v>0</v>
      </c>
      <c r="S117" s="1018">
        <f>IFERROR(CPQL!Q56/('3.Thanh pham'!N$97+'3.Thanh pham'!N$136),0)</f>
        <v>0</v>
      </c>
      <c r="T117" s="1018">
        <f>IFERROR(CPQL!R56/('3.Thanh pham'!O$97+'3.Thanh pham'!O$136),0)</f>
        <v>0</v>
      </c>
      <c r="U117" s="1018">
        <f>IFERROR(CPQL!S56/('3.Thanh pham'!P$97+'3.Thanh pham'!P$136),0)</f>
        <v>0</v>
      </c>
      <c r="V117" s="1018">
        <f>IFERROR(CPQL!T56/('3.Thanh pham'!Q$97+'3.Thanh pham'!Q$136),0)</f>
        <v>0</v>
      </c>
      <c r="W117" s="1018">
        <f>IFERROR(CPQL!U56/('3.Thanh pham'!R$97+'3.Thanh pham'!R$136),0)</f>
        <v>0</v>
      </c>
      <c r="X117" s="1018">
        <f>IFERROR(CPQL!V56/('3.Thanh pham'!S$97+'3.Thanh pham'!S$136),0)</f>
        <v>0</v>
      </c>
      <c r="Y117" s="1018">
        <f>IFERROR(CPQL!W56/('3.Thanh pham'!T$97+'3.Thanh pham'!T$136),0)</f>
        <v>0</v>
      </c>
      <c r="Z117" s="86"/>
    </row>
    <row r="118" spans="2:28" s="6" customFormat="1" ht="12.5" outlineLevel="1" x14ac:dyDescent="0.25">
      <c r="B118" s="589">
        <v>53</v>
      </c>
      <c r="C118" s="589"/>
      <c r="D118" s="981">
        <v>6428004302</v>
      </c>
      <c r="E118" s="638" t="s">
        <v>483</v>
      </c>
      <c r="F118" s="638" t="s">
        <v>570</v>
      </c>
      <c r="G118" s="578" t="str">
        <f t="shared" si="6"/>
        <v>Chi phí hiếu hỷ, phúc lợi khác NV</v>
      </c>
      <c r="H118" s="638" t="s">
        <v>521</v>
      </c>
      <c r="I118" s="578" t="s">
        <v>623</v>
      </c>
      <c r="J118" s="1018">
        <f>IFERROR(CPQL!AO57/('3.Thanh pham'!E$97+'3.Thanh pham'!E$136),0)</f>
        <v>0</v>
      </c>
      <c r="K118" s="1018">
        <f>IFERROR(CPQL!AM57/('3.Thanh pham'!F$97+'3.Thanh pham'!F$136),0)</f>
        <v>0.20428932401970132</v>
      </c>
      <c r="L118" s="1018">
        <f>IFERROR(CPQL!AK57/('3.Thanh pham'!G$97+'3.Thanh pham'!G$136),0)</f>
        <v>0</v>
      </c>
      <c r="M118" s="1018">
        <f>IFERROR(CPQL!K57/('3.Thanh pham'!H$97+'3.Thanh pham'!H$136),0)</f>
        <v>0</v>
      </c>
      <c r="N118" s="1018">
        <f>IFERROR(CPQL!L57/('3.Thanh pham'!I$97+'3.Thanh pham'!I$136),0)</f>
        <v>55.087127599775151</v>
      </c>
      <c r="O118" s="1018">
        <f>IFERROR(CPQL!M57/('3.Thanh pham'!J$97+'3.Thanh pham'!J$136),0)</f>
        <v>0</v>
      </c>
      <c r="P118" s="1018">
        <f>IFERROR(CPQL!N57/('3.Thanh pham'!K$97+'3.Thanh pham'!K$136),0)</f>
        <v>0</v>
      </c>
      <c r="Q118" s="1018">
        <f>IFERROR(CPQL!O57/('3.Thanh pham'!L$97+'3.Thanh pham'!L$136),0)</f>
        <v>0</v>
      </c>
      <c r="R118" s="1018">
        <f>IFERROR(CPQL!P57/('3.Thanh pham'!M$97+'3.Thanh pham'!M$136),0)</f>
        <v>0</v>
      </c>
      <c r="S118" s="1018">
        <f>IFERROR(CPQL!Q57/('3.Thanh pham'!N$97+'3.Thanh pham'!N$136),0)</f>
        <v>0</v>
      </c>
      <c r="T118" s="1018">
        <f>IFERROR(CPQL!R57/('3.Thanh pham'!O$97+'3.Thanh pham'!O$136),0)</f>
        <v>0</v>
      </c>
      <c r="U118" s="1018">
        <f>IFERROR(CPQL!S57/('3.Thanh pham'!P$97+'3.Thanh pham'!P$136),0)</f>
        <v>0</v>
      </c>
      <c r="V118" s="1018">
        <f>IFERROR(CPQL!T57/('3.Thanh pham'!Q$97+'3.Thanh pham'!Q$136),0)</f>
        <v>0</v>
      </c>
      <c r="W118" s="1018">
        <f>IFERROR(CPQL!U57/('3.Thanh pham'!R$97+'3.Thanh pham'!R$136),0)</f>
        <v>0</v>
      </c>
      <c r="X118" s="1018">
        <f>IFERROR(CPQL!V57/('3.Thanh pham'!S$97+'3.Thanh pham'!S$136),0)</f>
        <v>0</v>
      </c>
      <c r="Y118" s="1018">
        <f>IFERROR(CPQL!W57/('3.Thanh pham'!T$97+'3.Thanh pham'!T$136),0)</f>
        <v>3.0986509274873524</v>
      </c>
      <c r="Z118" s="86"/>
    </row>
    <row r="119" spans="2:28" s="6" customFormat="1" ht="12.5" hidden="1" outlineLevel="1" x14ac:dyDescent="0.25">
      <c r="B119" s="589">
        <v>54</v>
      </c>
      <c r="C119" s="589"/>
      <c r="D119" s="981">
        <v>6428004701</v>
      </c>
      <c r="E119" s="638" t="s">
        <v>480</v>
      </c>
      <c r="F119" s="638" t="s">
        <v>601</v>
      </c>
      <c r="G119" s="578" t="str">
        <f t="shared" si="6"/>
        <v>Chi phí ủng hộ, hỗ trợ, tài trợ</v>
      </c>
      <c r="H119" s="638" t="s">
        <v>521</v>
      </c>
      <c r="I119" s="578" t="s">
        <v>623</v>
      </c>
      <c r="J119" s="1018">
        <f>IFERROR(CPQL!AO58/('3.Thanh pham'!E$97+'3.Thanh pham'!E$136),0)</f>
        <v>0.26535660699474711</v>
      </c>
      <c r="K119" s="1018">
        <f>IFERROR(CPQL!AM58/('3.Thanh pham'!F$97+'3.Thanh pham'!F$136),0)</f>
        <v>0</v>
      </c>
      <c r="L119" s="1018">
        <f>IFERROR(CPQL!AK58/('3.Thanh pham'!G$97+'3.Thanh pham'!G$136),0)</f>
        <v>0.34080160285809857</v>
      </c>
      <c r="M119" s="1018">
        <f>IFERROR(CPQL!K58/('3.Thanh pham'!H$97+'3.Thanh pham'!H$136),0)</f>
        <v>0</v>
      </c>
      <c r="N119" s="1018">
        <f>IFERROR(CPQL!L58/('3.Thanh pham'!I$97+'3.Thanh pham'!I$136),0)</f>
        <v>0</v>
      </c>
      <c r="O119" s="1018">
        <f>IFERROR(CPQL!M58/('3.Thanh pham'!J$97+'3.Thanh pham'!J$136),0)</f>
        <v>0</v>
      </c>
      <c r="P119" s="1018">
        <f>IFERROR(CPQL!N58/('3.Thanh pham'!K$97+'3.Thanh pham'!K$136),0)</f>
        <v>0</v>
      </c>
      <c r="Q119" s="1018">
        <f>IFERROR(CPQL!O58/('3.Thanh pham'!L$97+'3.Thanh pham'!L$136),0)</f>
        <v>0</v>
      </c>
      <c r="R119" s="1018">
        <f>IFERROR(CPQL!P58/('3.Thanh pham'!M$97+'3.Thanh pham'!M$136),0)</f>
        <v>0</v>
      </c>
      <c r="S119" s="1018">
        <f>IFERROR(CPQL!Q58/('3.Thanh pham'!N$97+'3.Thanh pham'!N$136),0)</f>
        <v>0</v>
      </c>
      <c r="T119" s="1018">
        <f>IFERROR(CPQL!R58/('3.Thanh pham'!O$97+'3.Thanh pham'!O$136),0)</f>
        <v>0</v>
      </c>
      <c r="U119" s="1018">
        <f>IFERROR(CPQL!S58/('3.Thanh pham'!P$97+'3.Thanh pham'!P$136),0)</f>
        <v>0</v>
      </c>
      <c r="V119" s="1018">
        <f>IFERROR(CPQL!T58/('3.Thanh pham'!Q$97+'3.Thanh pham'!Q$136),0)</f>
        <v>0</v>
      </c>
      <c r="W119" s="1018">
        <f>IFERROR(CPQL!U58/('3.Thanh pham'!R$97+'3.Thanh pham'!R$136),0)</f>
        <v>0</v>
      </c>
      <c r="X119" s="1018">
        <f>IFERROR(CPQL!V58/('3.Thanh pham'!S$97+'3.Thanh pham'!S$136),0)</f>
        <v>0</v>
      </c>
      <c r="Y119" s="1018">
        <f>IFERROR(CPQL!W58/('3.Thanh pham'!T$97+'3.Thanh pham'!T$136),0)</f>
        <v>0</v>
      </c>
      <c r="Z119" s="86"/>
    </row>
    <row r="120" spans="2:28" s="6" customFormat="1" ht="12.5" hidden="1" outlineLevel="1" x14ac:dyDescent="0.25">
      <c r="B120" s="589">
        <v>55</v>
      </c>
      <c r="C120" s="589"/>
      <c r="D120" s="981">
        <v>6428004802</v>
      </c>
      <c r="E120" s="638" t="s">
        <v>448</v>
      </c>
      <c r="F120" s="638" t="s">
        <v>594</v>
      </c>
      <c r="G120" s="578" t="str">
        <f t="shared" si="6"/>
        <v>Chi phí mua mẫu</v>
      </c>
      <c r="H120" s="578" t="s">
        <v>523</v>
      </c>
      <c r="I120" s="578" t="s">
        <v>623</v>
      </c>
      <c r="J120" s="1018">
        <f>IFERROR(CPQL!AO59/('3.Thanh pham'!E$97+'3.Thanh pham'!E$136),0)</f>
        <v>0</v>
      </c>
      <c r="K120" s="1018">
        <f>IFERROR(CPQL!AM59/('3.Thanh pham'!F$97+'3.Thanh pham'!F$136),0)</f>
        <v>0</v>
      </c>
      <c r="L120" s="1018">
        <f>IFERROR(CPQL!AK59/('3.Thanh pham'!G$97+'3.Thanh pham'!G$136),0)</f>
        <v>0</v>
      </c>
      <c r="M120" s="1018">
        <f>IFERROR(CPQL!K59/('3.Thanh pham'!H$97+'3.Thanh pham'!H$136),0)</f>
        <v>0</v>
      </c>
      <c r="N120" s="1018">
        <f>IFERROR(CPQL!L59/('3.Thanh pham'!I$97+'3.Thanh pham'!I$136),0)</f>
        <v>0</v>
      </c>
      <c r="O120" s="1018">
        <f>IFERROR(CPQL!M59/('3.Thanh pham'!J$97+'3.Thanh pham'!J$136),0)</f>
        <v>0</v>
      </c>
      <c r="P120" s="1018">
        <f>IFERROR(CPQL!N59/('3.Thanh pham'!K$97+'3.Thanh pham'!K$136),0)</f>
        <v>0</v>
      </c>
      <c r="Q120" s="1018">
        <f>IFERROR(CPQL!O59/('3.Thanh pham'!L$97+'3.Thanh pham'!L$136),0)</f>
        <v>0</v>
      </c>
      <c r="R120" s="1018">
        <f>IFERROR(CPQL!P59/('3.Thanh pham'!M$97+'3.Thanh pham'!M$136),0)</f>
        <v>0</v>
      </c>
      <c r="S120" s="1018">
        <f>IFERROR(CPQL!Q59/('3.Thanh pham'!N$97+'3.Thanh pham'!N$136),0)</f>
        <v>0</v>
      </c>
      <c r="T120" s="1018">
        <f>IFERROR(CPQL!R59/('3.Thanh pham'!O$97+'3.Thanh pham'!O$136),0)</f>
        <v>0</v>
      </c>
      <c r="U120" s="1018">
        <f>IFERROR(CPQL!S59/('3.Thanh pham'!P$97+'3.Thanh pham'!P$136),0)</f>
        <v>0</v>
      </c>
      <c r="V120" s="1018">
        <f>IFERROR(CPQL!T59/('3.Thanh pham'!Q$97+'3.Thanh pham'!Q$136),0)</f>
        <v>0</v>
      </c>
      <c r="W120" s="1018">
        <f>IFERROR(CPQL!U59/('3.Thanh pham'!R$97+'3.Thanh pham'!R$136),0)</f>
        <v>0</v>
      </c>
      <c r="X120" s="1018">
        <f>IFERROR(CPQL!V59/('3.Thanh pham'!S$97+'3.Thanh pham'!S$136),0)</f>
        <v>0</v>
      </c>
      <c r="Y120" s="1018">
        <f>IFERROR(CPQL!W59/('3.Thanh pham'!T$97+'3.Thanh pham'!T$136),0)</f>
        <v>0</v>
      </c>
      <c r="Z120" s="86"/>
    </row>
    <row r="121" spans="2:28" s="37" customFormat="1" ht="13" hidden="1" x14ac:dyDescent="0.25">
      <c r="B121" s="589">
        <v>56</v>
      </c>
      <c r="C121" s="589"/>
      <c r="D121" s="981">
        <v>6428005703</v>
      </c>
      <c r="E121" s="638" t="s">
        <v>440</v>
      </c>
      <c r="F121" s="638" t="s">
        <v>597</v>
      </c>
      <c r="G121" s="578" t="str">
        <f t="shared" si="6"/>
        <v>Chi phí ăn uống</v>
      </c>
      <c r="H121" s="638" t="s">
        <v>521</v>
      </c>
      <c r="I121" s="578" t="s">
        <v>623</v>
      </c>
      <c r="J121" s="1018">
        <f>IFERROR(CPQL!AO60/('3.Thanh pham'!E$97+'3.Thanh pham'!E$136),0)</f>
        <v>0</v>
      </c>
      <c r="K121" s="1018">
        <f>IFERROR(CPQL!AM60/('3.Thanh pham'!F$97+'3.Thanh pham'!F$136),0)</f>
        <v>0</v>
      </c>
      <c r="L121" s="1018">
        <f>IFERROR(CPQL!AK60/('3.Thanh pham'!G$97+'3.Thanh pham'!G$136),0)</f>
        <v>0</v>
      </c>
      <c r="M121" s="1018">
        <f>IFERROR(CPQL!K60/('3.Thanh pham'!H$97+'3.Thanh pham'!H$136),0)</f>
        <v>0</v>
      </c>
      <c r="N121" s="1018">
        <f>IFERROR(CPQL!L60/('3.Thanh pham'!I$97+'3.Thanh pham'!I$136),0)</f>
        <v>0</v>
      </c>
      <c r="O121" s="1018">
        <f>IFERROR(CPQL!M60/('3.Thanh pham'!J$97+'3.Thanh pham'!J$136),0)</f>
        <v>0</v>
      </c>
      <c r="P121" s="1018">
        <f>IFERROR(CPQL!N60/('3.Thanh pham'!K$97+'3.Thanh pham'!K$136),0)</f>
        <v>0</v>
      </c>
      <c r="Q121" s="1018">
        <f>IFERROR(CPQL!O60/('3.Thanh pham'!L$97+'3.Thanh pham'!L$136),0)</f>
        <v>0</v>
      </c>
      <c r="R121" s="1018">
        <f>IFERROR(CPQL!P60/('3.Thanh pham'!M$97+'3.Thanh pham'!M$136),0)</f>
        <v>0</v>
      </c>
      <c r="S121" s="1018">
        <f>IFERROR(CPQL!Q60/('3.Thanh pham'!N$97+'3.Thanh pham'!N$136),0)</f>
        <v>0</v>
      </c>
      <c r="T121" s="1018">
        <f>IFERROR(CPQL!R60/('3.Thanh pham'!O$97+'3.Thanh pham'!O$136),0)</f>
        <v>0</v>
      </c>
      <c r="U121" s="1018">
        <f>IFERROR(CPQL!S60/('3.Thanh pham'!P$97+'3.Thanh pham'!P$136),0)</f>
        <v>0</v>
      </c>
      <c r="V121" s="1018">
        <f>IFERROR(CPQL!T60/('3.Thanh pham'!Q$97+'3.Thanh pham'!Q$136),0)</f>
        <v>0</v>
      </c>
      <c r="W121" s="1018">
        <f>IFERROR(CPQL!U60/('3.Thanh pham'!R$97+'3.Thanh pham'!R$136),0)</f>
        <v>0</v>
      </c>
      <c r="X121" s="1018">
        <f>IFERROR(CPQL!V60/('3.Thanh pham'!S$97+'3.Thanh pham'!S$136),0)</f>
        <v>0</v>
      </c>
      <c r="Y121" s="1018">
        <f>IFERROR(CPQL!W60/('3.Thanh pham'!T$97+'3.Thanh pham'!T$136),0)</f>
        <v>0</v>
      </c>
      <c r="Z121" s="86"/>
    </row>
    <row r="122" spans="2:28" s="1020" customFormat="1" ht="19.75" customHeight="1" x14ac:dyDescent="0.25">
      <c r="B122" s="589">
        <v>57</v>
      </c>
      <c r="C122" s="589"/>
      <c r="D122" s="981">
        <v>6428007201</v>
      </c>
      <c r="E122" s="638" t="s">
        <v>96</v>
      </c>
      <c r="F122" s="638" t="s">
        <v>575</v>
      </c>
      <c r="G122" s="578" t="s">
        <v>96</v>
      </c>
      <c r="H122" s="638" t="s">
        <v>521</v>
      </c>
      <c r="I122" s="578" t="s">
        <v>623</v>
      </c>
      <c r="J122" s="1018">
        <f>IFERROR(CPQL!AO61/('3.Thanh pham'!E$97+'3.Thanh pham'!E$136),0)</f>
        <v>1.238330832642153E-4</v>
      </c>
      <c r="K122" s="1018">
        <f>IFERROR(CPQL!AM61/('3.Thanh pham'!F$97+'3.Thanh pham'!F$136),0)</f>
        <v>2.0226252877823705</v>
      </c>
      <c r="L122" s="1018">
        <f>IFERROR(CPQL!AK61/('3.Thanh pham'!G$97+'3.Thanh pham'!G$136),0)</f>
        <v>10.857705788361864</v>
      </c>
      <c r="M122" s="1018">
        <f>IFERROR(CPQL!K61/('3.Thanh pham'!H$97+'3.Thanh pham'!H$136),0)</f>
        <v>7.1118029479732678</v>
      </c>
      <c r="N122" s="1018">
        <f>IFERROR(CPQL!L61/('3.Thanh pham'!I$97+'3.Thanh pham'!I$136),0)</f>
        <v>9.4824039306310244</v>
      </c>
      <c r="O122" s="1018">
        <f>IFERROR(CPQL!M61/('3.Thanh pham'!J$97+'3.Thanh pham'!J$136),0)</f>
        <v>17.461096092590189</v>
      </c>
      <c r="P122" s="1018">
        <f>IFERROR(CPQL!N61/('3.Thanh pham'!K$97+'3.Thanh pham'!K$136),0)</f>
        <v>6.095831098262801</v>
      </c>
      <c r="Q122" s="1018">
        <f>IFERROR(CPQL!O61/('3.Thanh pham'!L$97+'3.Thanh pham'!L$136),0)</f>
        <v>6.095831098262801</v>
      </c>
      <c r="R122" s="1018">
        <f>IFERROR(CPQL!P61/('3.Thanh pham'!M$97+'3.Thanh pham'!M$136),0)</f>
        <v>6.095831098262801</v>
      </c>
      <c r="S122" s="1018">
        <f>IFERROR(CPQL!Q61/('3.Thanh pham'!N$97+'3.Thanh pham'!N$136),0)</f>
        <v>6.095831098262801</v>
      </c>
      <c r="T122" s="1018">
        <f>IFERROR(CPQL!R61/('3.Thanh pham'!O$97+'3.Thanh pham'!O$136),0)</f>
        <v>6.095831098262801</v>
      </c>
      <c r="U122" s="1018">
        <f>IFERROR(CPQL!S61/('3.Thanh pham'!P$97+'3.Thanh pham'!P$136),0)</f>
        <v>6.095831098262801</v>
      </c>
      <c r="V122" s="1018">
        <f>IFERROR(CPQL!T61/('3.Thanh pham'!Q$97+'3.Thanh pham'!Q$136),0)</f>
        <v>6.095831098262801</v>
      </c>
      <c r="W122" s="1018">
        <f>IFERROR(CPQL!U61/('3.Thanh pham'!R$97+'3.Thanh pham'!R$136),0)</f>
        <v>6.095831098262801</v>
      </c>
      <c r="X122" s="1018">
        <f>IFERROR(CPQL!V61/('3.Thanh pham'!S$97+'3.Thanh pham'!S$136),0)</f>
        <v>6.095831098262801</v>
      </c>
      <c r="Y122" s="1018">
        <f>IFERROR(CPQL!W61/('3.Thanh pham'!T$97+'3.Thanh pham'!T$136),0)</f>
        <v>7.2859514896009001</v>
      </c>
      <c r="Z122" s="86"/>
    </row>
    <row r="123" spans="2:28" hidden="1" x14ac:dyDescent="0.3">
      <c r="B123" s="589">
        <v>58</v>
      </c>
      <c r="C123" s="589"/>
      <c r="D123" s="981">
        <v>6423001908</v>
      </c>
      <c r="E123" s="638" t="s">
        <v>435</v>
      </c>
      <c r="F123" s="638" t="s">
        <v>580</v>
      </c>
      <c r="G123" s="578" t="str">
        <f>E123</f>
        <v>Phân bổ công cụ dụng cụ</v>
      </c>
      <c r="H123" s="578" t="s">
        <v>522</v>
      </c>
      <c r="I123" s="578" t="s">
        <v>622</v>
      </c>
      <c r="J123" s="1018">
        <f>IFERROR(CPQL!AO62/('3.Thanh pham'!E$97+'3.Thanh pham'!E$136),0)</f>
        <v>8.845220233158237</v>
      </c>
      <c r="K123" s="1018">
        <f>IFERROR(CPQL!AM62/('3.Thanh pham'!F$97+'3.Thanh pham'!F$136),0)</f>
        <v>1.3288483246559399</v>
      </c>
      <c r="L123" s="1018">
        <f>IFERROR(CPQL!AK62/('3.Thanh pham'!G$97+'3.Thanh pham'!G$136),0)</f>
        <v>2.822966688176928</v>
      </c>
      <c r="M123" s="1018">
        <f ca="1">IFERROR(CPQL!K62/('3.Thanh pham'!H$97+'3.Thanh pham'!H$136),0)</f>
        <v>0</v>
      </c>
      <c r="N123" s="1018">
        <f ca="1">IFERROR(CPQL!L62/('3.Thanh pham'!I$97+'3.Thanh pham'!I$136),0)</f>
        <v>0</v>
      </c>
      <c r="O123" s="1018">
        <f ca="1">IFERROR(CPQL!M62/('3.Thanh pham'!J$97+'3.Thanh pham'!J$136),0)</f>
        <v>0</v>
      </c>
      <c r="P123" s="1018">
        <f ca="1">IFERROR(CPQL!N62/('3.Thanh pham'!K$97+'3.Thanh pham'!K$136),0)</f>
        <v>0</v>
      </c>
      <c r="Q123" s="1018">
        <f ca="1">IFERROR(CPQL!O62/('3.Thanh pham'!L$97+'3.Thanh pham'!L$136),0)</f>
        <v>0</v>
      </c>
      <c r="R123" s="1018">
        <f ca="1">IFERROR(CPQL!P62/('3.Thanh pham'!M$97+'3.Thanh pham'!M$136),0)</f>
        <v>0</v>
      </c>
      <c r="S123" s="1018">
        <f ca="1">IFERROR(CPQL!Q62/('3.Thanh pham'!N$97+'3.Thanh pham'!N$136),0)</f>
        <v>0</v>
      </c>
      <c r="T123" s="1018">
        <f ca="1">IFERROR(CPQL!R62/('3.Thanh pham'!O$97+'3.Thanh pham'!O$136),0)</f>
        <v>0</v>
      </c>
      <c r="U123" s="1018">
        <f ca="1">IFERROR(CPQL!S62/('3.Thanh pham'!P$97+'3.Thanh pham'!P$136),0)</f>
        <v>0</v>
      </c>
      <c r="V123" s="1018">
        <f ca="1">IFERROR(CPQL!T62/('3.Thanh pham'!Q$97+'3.Thanh pham'!Q$136),0)</f>
        <v>0</v>
      </c>
      <c r="W123" s="1018">
        <f ca="1">IFERROR(CPQL!U62/('3.Thanh pham'!R$97+'3.Thanh pham'!R$136),0)</f>
        <v>0</v>
      </c>
      <c r="X123" s="1018">
        <f ca="1">IFERROR(CPQL!V62/('3.Thanh pham'!S$97+'3.Thanh pham'!S$136),0)</f>
        <v>0</v>
      </c>
      <c r="Y123" s="1018">
        <f ca="1">IFERROR(CPQL!W62/('3.Thanh pham'!T$97+'3.Thanh pham'!T$136),0)</f>
        <v>0</v>
      </c>
      <c r="Z123" s="86"/>
    </row>
    <row r="124" spans="2:28" x14ac:dyDescent="0.3">
      <c r="B124" s="589">
        <v>59</v>
      </c>
      <c r="C124" s="589"/>
      <c r="D124" s="981"/>
      <c r="E124" s="638" t="s">
        <v>468</v>
      </c>
      <c r="F124" s="638" t="s">
        <v>617</v>
      </c>
      <c r="G124" s="578" t="str">
        <f>E124</f>
        <v>Chi phí Khấu hao</v>
      </c>
      <c r="H124" s="578" t="s">
        <v>522</v>
      </c>
      <c r="I124" s="578" t="s">
        <v>622</v>
      </c>
      <c r="J124" s="1018">
        <f>IFERROR(CPQL!AO63/('3.Thanh pham'!E$97+'3.Thanh pham'!E$136),0)</f>
        <v>0</v>
      </c>
      <c r="K124" s="1018">
        <f>IFERROR(CPQL!AM63/('3.Thanh pham'!F$97+'3.Thanh pham'!F$136),0)</f>
        <v>2.8085577778420605</v>
      </c>
      <c r="L124" s="1018">
        <f>IFERROR(CPQL!AK63/('3.Thanh pham'!G$97+'3.Thanh pham'!G$136),0)</f>
        <v>15.311879087556996</v>
      </c>
      <c r="M124" s="1018">
        <f ca="1">IFERROR(CPQL!K63/('3.Thanh pham'!H$97+'3.Thanh pham'!H$136),0)</f>
        <v>19.965929673349574</v>
      </c>
      <c r="N124" s="1018">
        <f ca="1">IFERROR(CPQL!L63/('3.Thanh pham'!I$97+'3.Thanh pham'!I$136),0)</f>
        <v>26.621239564466098</v>
      </c>
      <c r="O124" s="1018">
        <f ca="1">IFERROR(CPQL!M63/('3.Thanh pham'!J$97+'3.Thanh pham'!J$136),0)</f>
        <v>18.430088929245763</v>
      </c>
      <c r="P124" s="1018">
        <f ca="1">IFERROR(CPQL!N63/('3.Thanh pham'!K$97+'3.Thanh pham'!K$136),0)</f>
        <v>17.113654005728208</v>
      </c>
      <c r="Q124" s="1018">
        <f ca="1">IFERROR(CPQL!O63/('3.Thanh pham'!L$97+'3.Thanh pham'!L$136),0)</f>
        <v>17.113654005728208</v>
      </c>
      <c r="R124" s="1018">
        <f ca="1">IFERROR(CPQL!P63/('3.Thanh pham'!M$97+'3.Thanh pham'!M$136),0)</f>
        <v>17.113654005728208</v>
      </c>
      <c r="S124" s="1018">
        <f ca="1">IFERROR(CPQL!Q63/('3.Thanh pham'!N$97+'3.Thanh pham'!N$136),0)</f>
        <v>17.113654005728208</v>
      </c>
      <c r="T124" s="1018">
        <f ca="1">IFERROR(CPQL!R63/('3.Thanh pham'!O$97+'3.Thanh pham'!O$136),0)</f>
        <v>17.113654005728208</v>
      </c>
      <c r="U124" s="1018">
        <f ca="1">IFERROR(CPQL!S63/('3.Thanh pham'!P$97+'3.Thanh pham'!P$136),0)</f>
        <v>17.113654005728208</v>
      </c>
      <c r="V124" s="1018">
        <f ca="1">IFERROR(CPQL!T63/('3.Thanh pham'!Q$97+'3.Thanh pham'!Q$136),0)</f>
        <v>17.113654005728208</v>
      </c>
      <c r="W124" s="1018">
        <f ca="1">IFERROR(CPQL!U63/('3.Thanh pham'!R$97+'3.Thanh pham'!R$136),0)</f>
        <v>17.113654005728208</v>
      </c>
      <c r="X124" s="1018">
        <f ca="1">IFERROR(CPQL!V63/('3.Thanh pham'!S$97+'3.Thanh pham'!S$136),0)</f>
        <v>17.113654005728208</v>
      </c>
      <c r="Y124" s="1018">
        <f ca="1">IFERROR(CPQL!W63/('3.Thanh pham'!T$97+'3.Thanh pham'!T$136),0)</f>
        <v>17.969336706014623</v>
      </c>
      <c r="Z124" s="86"/>
    </row>
    <row r="125" spans="2:28" x14ac:dyDescent="0.3">
      <c r="B125" s="590"/>
      <c r="C125" s="590"/>
      <c r="D125" s="1000"/>
      <c r="E125" s="1021"/>
      <c r="F125" s="1021"/>
      <c r="G125" s="1022"/>
      <c r="H125" s="1022"/>
      <c r="I125" s="1022"/>
      <c r="M125" s="1018"/>
      <c r="N125" s="1018"/>
      <c r="O125" s="1018"/>
      <c r="P125" s="1018"/>
      <c r="Q125" s="1018"/>
      <c r="R125" s="1018"/>
      <c r="S125" s="1018"/>
      <c r="T125" s="1018"/>
      <c r="U125" s="1018"/>
      <c r="V125" s="1018"/>
      <c r="W125" s="1018"/>
      <c r="X125" s="1018"/>
      <c r="Y125" s="1018"/>
      <c r="Z125" s="86"/>
    </row>
    <row r="126" spans="2:28" x14ac:dyDescent="0.3">
      <c r="B126" s="389"/>
      <c r="C126" s="389"/>
      <c r="D126" s="650"/>
      <c r="E126" s="650" t="s">
        <v>1612</v>
      </c>
      <c r="F126" s="651"/>
      <c r="G126" s="652"/>
      <c r="H126" s="652"/>
      <c r="I126" s="653"/>
      <c r="J126" s="659">
        <f>SUM(J66:J125)</f>
        <v>250.21655699625518</v>
      </c>
      <c r="K126" s="659">
        <f>SUM(K66:K125)</f>
        <v>415.94016684390812</v>
      </c>
      <c r="L126" s="659">
        <f>SUM(L66:L125)</f>
        <v>663.04160940764802</v>
      </c>
      <c r="M126" s="659">
        <f ca="1">SUM(M66:M125)</f>
        <v>883.52372125565455</v>
      </c>
      <c r="N126" s="659">
        <f t="shared" ref="N126:Y126" ca="1" si="7">SUM(N66:N125)</f>
        <v>1248.1948661149033</v>
      </c>
      <c r="O126" s="659">
        <f t="shared" ca="1" si="7"/>
        <v>757.55784154303274</v>
      </c>
      <c r="P126" s="659">
        <f t="shared" ca="1" si="7"/>
        <v>708.95367547441231</v>
      </c>
      <c r="Q126" s="659">
        <f t="shared" ca="1" si="7"/>
        <v>708.24792424980797</v>
      </c>
      <c r="R126" s="659">
        <f t="shared" ca="1" si="7"/>
        <v>703.27114275137399</v>
      </c>
      <c r="S126" s="659">
        <f t="shared" ca="1" si="7"/>
        <v>702.90748258916381</v>
      </c>
      <c r="T126" s="659">
        <f t="shared" ca="1" si="7"/>
        <v>792.70835948629713</v>
      </c>
      <c r="U126" s="659">
        <f t="shared" ca="1" si="7"/>
        <v>699.28234165926744</v>
      </c>
      <c r="V126" s="659">
        <f t="shared" ca="1" si="7"/>
        <v>709.89047142719494</v>
      </c>
      <c r="W126" s="659">
        <f t="shared" ca="1" si="7"/>
        <v>697.78726095582249</v>
      </c>
      <c r="X126" s="659">
        <f t="shared" ca="1" si="7"/>
        <v>708.59249985407996</v>
      </c>
      <c r="Y126" s="659">
        <f t="shared" ca="1" si="7"/>
        <v>760.79541630265783</v>
      </c>
      <c r="Z126" s="1398">
        <f ca="1">Y126/$Y$127</f>
        <v>0.25228973960879203</v>
      </c>
    </row>
    <row r="127" spans="2:28" x14ac:dyDescent="0.3">
      <c r="B127" s="1016" t="s">
        <v>1614</v>
      </c>
      <c r="C127" s="665"/>
      <c r="D127" s="666"/>
      <c r="E127" s="666" t="s">
        <v>375</v>
      </c>
      <c r="F127" s="667"/>
      <c r="G127" s="654"/>
      <c r="H127" s="654"/>
      <c r="I127" s="655"/>
      <c r="J127" s="680">
        <f>J58+J64+J126</f>
        <v>2261.6934899444436</v>
      </c>
      <c r="K127" s="680">
        <f>K58+K64+K126</f>
        <v>2599.7059841491096</v>
      </c>
      <c r="L127" s="680">
        <f>L58+L64+L126</f>
        <v>3022.5523919966904</v>
      </c>
      <c r="M127" s="680">
        <f ca="1">M58+M64+M126</f>
        <v>3329.0306327580684</v>
      </c>
      <c r="N127" s="680">
        <f t="shared" ref="N127:Y127" ca="1" si="8">N58+N64+N126</f>
        <v>4372.4101653403404</v>
      </c>
      <c r="O127" s="680">
        <f t="shared" ca="1" si="8"/>
        <v>2992.4685387528684</v>
      </c>
      <c r="P127" s="680">
        <f t="shared" ca="1" si="8"/>
        <v>2895.1043622964717</v>
      </c>
      <c r="Q127" s="680">
        <f t="shared" ca="1" si="8"/>
        <v>2824.0769860819055</v>
      </c>
      <c r="R127" s="680">
        <f t="shared" ca="1" si="8"/>
        <v>2893.9480376625156</v>
      </c>
      <c r="S127" s="680">
        <f t="shared" ca="1" si="8"/>
        <v>2912.7122621331919</v>
      </c>
      <c r="T127" s="680">
        <f t="shared" ca="1" si="8"/>
        <v>3030.6712448415083</v>
      </c>
      <c r="U127" s="680">
        <f t="shared" ca="1" si="8"/>
        <v>2920.4334155901897</v>
      </c>
      <c r="V127" s="680">
        <f t="shared" ca="1" si="8"/>
        <v>2833.0296451466556</v>
      </c>
      <c r="W127" s="680">
        <f t="shared" ca="1" si="8"/>
        <v>2852.0088506393081</v>
      </c>
      <c r="X127" s="680">
        <f t="shared" ca="1" si="8"/>
        <v>2858.5731135478441</v>
      </c>
      <c r="Y127" s="680">
        <f t="shared" ca="1" si="8"/>
        <v>3015.5622558506338</v>
      </c>
      <c r="Z127" s="1398">
        <f ca="1">Y127/$Y$127</f>
        <v>1</v>
      </c>
    </row>
    <row r="129" spans="12:12" x14ac:dyDescent="0.3">
      <c r="L129" s="1383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07CF-8549-4F72-A3D2-A06C8F0CB3A8}">
  <sheetPr>
    <tabColor theme="7" tint="0.39997558519241921"/>
  </sheetPr>
  <dimension ref="A1:AS57"/>
  <sheetViews>
    <sheetView showGridLines="0" zoomScale="85" zoomScaleNormal="85" workbookViewId="0">
      <pane xSplit="1" ySplit="7" topLeftCell="N8" activePane="bottomRight" state="frozen"/>
      <selection pane="topRight" activeCell="B1" sqref="B1"/>
      <selection pane="bottomLeft" activeCell="A8" sqref="A8"/>
      <selection pane="bottomRight" activeCell="X12" sqref="X12"/>
    </sheetView>
  </sheetViews>
  <sheetFormatPr defaultColWidth="8.81640625" defaultRowHeight="12.5" outlineLevelRow="4" outlineLevelCol="1" x14ac:dyDescent="0.25"/>
  <cols>
    <col min="1" max="1" width="5.54296875" style="433" customWidth="1"/>
    <col min="2" max="2" width="13.453125" style="433" customWidth="1"/>
    <col min="3" max="3" width="19.81640625" style="433" customWidth="1"/>
    <col min="4" max="4" width="28.54296875" style="433" customWidth="1"/>
    <col min="5" max="5" width="10.1796875" style="433" customWidth="1"/>
    <col min="6" max="6" width="18.81640625" style="433" hidden="1" customWidth="1" outlineLevel="1"/>
    <col min="7" max="7" width="28.1796875" style="433" hidden="1" customWidth="1" outlineLevel="1"/>
    <col min="8" max="8" width="16.1796875" style="433" customWidth="1" collapsed="1"/>
    <col min="9" max="9" width="19.54296875" style="433" customWidth="1"/>
    <col min="10" max="10" width="16.1796875" style="433" customWidth="1"/>
    <col min="11" max="11" width="12.54296875" style="433" customWidth="1"/>
    <col min="12" max="12" width="16.1796875" style="433" customWidth="1"/>
    <col min="13" max="13" width="11.1796875" style="433" customWidth="1"/>
    <col min="14" max="14" width="12.1796875" style="433" customWidth="1"/>
    <col min="15" max="15" width="12.453125" style="433" customWidth="1"/>
    <col min="16" max="16" width="17.453125" style="433" customWidth="1"/>
    <col min="17" max="17" width="14" style="433" customWidth="1"/>
    <col min="18" max="18" width="12.453125" style="433" customWidth="1"/>
    <col min="19" max="19" width="29" style="433" bestFit="1" customWidth="1"/>
    <col min="20" max="20" width="24.81640625" style="433" hidden="1" customWidth="1" outlineLevel="1"/>
    <col min="21" max="21" width="13.81640625" style="4" hidden="1" customWidth="1" outlineLevel="1"/>
    <col min="22" max="23" width="13.81640625" style="433" hidden="1" customWidth="1" outlineLevel="1"/>
    <col min="24" max="24" width="29" style="1029" bestFit="1" customWidth="1" collapsed="1"/>
    <col min="25" max="25" width="13.81640625" style="436" customWidth="1"/>
    <col min="26" max="26" width="12.54296875" style="1034" customWidth="1"/>
    <col min="27" max="27" width="32" style="433" customWidth="1"/>
    <col min="28" max="28" width="39.1796875" style="433" customWidth="1"/>
    <col min="29" max="31" width="9.1796875" style="437" customWidth="1"/>
    <col min="32" max="32" width="6" style="433" customWidth="1"/>
    <col min="33" max="40" width="5.81640625" style="4" customWidth="1"/>
    <col min="41" max="43" width="5.81640625" style="433" customWidth="1"/>
    <col min="44" max="44" width="8.26953125" style="437" customWidth="1"/>
    <col min="45" max="45" width="12.1796875" style="437" customWidth="1"/>
    <col min="46" max="16384" width="8.81640625" style="433"/>
  </cols>
  <sheetData>
    <row r="1" spans="1:45" ht="13" hidden="1" x14ac:dyDescent="0.25">
      <c r="D1" s="434" t="s">
        <v>1953</v>
      </c>
      <c r="E1" s="435"/>
      <c r="U1" s="433"/>
      <c r="AG1" s="433"/>
      <c r="AH1" s="433"/>
      <c r="AI1" s="433"/>
      <c r="AJ1" s="433"/>
      <c r="AK1" s="433"/>
      <c r="AL1" s="433"/>
      <c r="AM1" s="433"/>
      <c r="AN1" s="433"/>
    </row>
    <row r="2" spans="1:45" ht="13" hidden="1" x14ac:dyDescent="0.25">
      <c r="D2" s="438" t="s">
        <v>640</v>
      </c>
      <c r="E2" s="435"/>
      <c r="U2" s="433"/>
      <c r="AG2" s="433"/>
      <c r="AH2" s="433"/>
      <c r="AI2" s="433"/>
      <c r="AJ2" s="433"/>
      <c r="AK2" s="433"/>
      <c r="AL2" s="433"/>
      <c r="AM2" s="433"/>
      <c r="AN2" s="433"/>
    </row>
    <row r="3" spans="1:45" ht="13" hidden="1" x14ac:dyDescent="0.25">
      <c r="D3" s="439" t="s">
        <v>641</v>
      </c>
      <c r="E3" s="435"/>
      <c r="U3" s="433"/>
      <c r="AG3" s="433"/>
      <c r="AH3" s="433"/>
      <c r="AI3" s="433"/>
      <c r="AJ3" s="433"/>
      <c r="AK3" s="433"/>
      <c r="AL3" s="433"/>
      <c r="AM3" s="433"/>
      <c r="AN3" s="433"/>
    </row>
    <row r="4" spans="1:45" ht="13" hidden="1" x14ac:dyDescent="0.3">
      <c r="D4" s="440"/>
      <c r="E4" s="440"/>
      <c r="U4" s="433"/>
      <c r="AG4" s="433"/>
      <c r="AH4" s="433"/>
      <c r="AI4" s="433"/>
      <c r="AJ4" s="433"/>
      <c r="AK4" s="433"/>
      <c r="AL4" s="433"/>
      <c r="AM4" s="433"/>
      <c r="AN4" s="433"/>
    </row>
    <row r="5" spans="1:45" ht="13" hidden="1" x14ac:dyDescent="0.3">
      <c r="L5" s="441" t="s">
        <v>642</v>
      </c>
      <c r="M5" s="442">
        <v>26500</v>
      </c>
      <c r="U5" s="433"/>
      <c r="AG5" s="433"/>
      <c r="AH5" s="433"/>
      <c r="AI5" s="433"/>
      <c r="AJ5" s="433"/>
      <c r="AK5" s="433"/>
      <c r="AL5" s="433"/>
      <c r="AM5" s="433"/>
      <c r="AN5" s="433"/>
    </row>
    <row r="6" spans="1:45" s="443" customFormat="1" ht="26" hidden="1" x14ac:dyDescent="0.3">
      <c r="B6" s="444" t="s">
        <v>1761</v>
      </c>
      <c r="C6" s="444"/>
      <c r="D6" s="444" t="s">
        <v>1761</v>
      </c>
      <c r="E6" s="444"/>
      <c r="F6" s="444"/>
      <c r="G6" s="444"/>
      <c r="H6" s="444" t="s">
        <v>1761</v>
      </c>
      <c r="I6" s="444"/>
      <c r="J6" s="444"/>
      <c r="K6" s="444"/>
      <c r="L6" s="444"/>
      <c r="M6" s="444"/>
      <c r="N6" s="444"/>
      <c r="O6" s="444"/>
      <c r="P6" s="444"/>
      <c r="Q6" s="444"/>
      <c r="R6" s="444"/>
      <c r="S6" s="444" t="s">
        <v>1761</v>
      </c>
      <c r="T6" s="444"/>
      <c r="U6" s="444"/>
      <c r="V6" s="444"/>
      <c r="W6" s="444"/>
      <c r="X6" s="705"/>
      <c r="Y6" s="445"/>
      <c r="Z6" s="1035" t="s">
        <v>1762</v>
      </c>
      <c r="AA6" s="705" t="s">
        <v>1762</v>
      </c>
      <c r="AB6" s="705" t="s">
        <v>1762</v>
      </c>
      <c r="AC6" s="446"/>
      <c r="AD6" s="446"/>
      <c r="AE6" s="446"/>
      <c r="AR6" s="447"/>
      <c r="AS6" s="446"/>
    </row>
    <row r="7" spans="1:45" ht="47.5" customHeight="1" x14ac:dyDescent="0.25">
      <c r="A7" s="689" t="s">
        <v>0</v>
      </c>
      <c r="B7" s="689" t="s">
        <v>643</v>
      </c>
      <c r="C7" s="689" t="s">
        <v>644</v>
      </c>
      <c r="D7" s="695" t="s">
        <v>645</v>
      </c>
      <c r="E7" s="695" t="s">
        <v>646</v>
      </c>
      <c r="F7" s="696" t="s">
        <v>647</v>
      </c>
      <c r="G7" s="696" t="s">
        <v>648</v>
      </c>
      <c r="H7" s="689" t="s">
        <v>649</v>
      </c>
      <c r="I7" s="689" t="s">
        <v>650</v>
      </c>
      <c r="J7" s="689" t="s">
        <v>651</v>
      </c>
      <c r="K7" s="689" t="s">
        <v>652</v>
      </c>
      <c r="L7" s="689" t="s">
        <v>653</v>
      </c>
      <c r="M7" s="689" t="s">
        <v>654</v>
      </c>
      <c r="N7" s="689" t="s">
        <v>655</v>
      </c>
      <c r="O7" s="690" t="s">
        <v>656</v>
      </c>
      <c r="P7" s="690" t="s">
        <v>657</v>
      </c>
      <c r="Q7" s="690" t="s">
        <v>658</v>
      </c>
      <c r="R7" s="690" t="s">
        <v>659</v>
      </c>
      <c r="S7" s="690" t="s">
        <v>660</v>
      </c>
      <c r="T7" s="689" t="s">
        <v>661</v>
      </c>
      <c r="U7" s="689" t="s">
        <v>662</v>
      </c>
      <c r="V7" s="689" t="s">
        <v>663</v>
      </c>
      <c r="W7" s="689" t="s">
        <v>664</v>
      </c>
      <c r="X7" s="689" t="s">
        <v>1646</v>
      </c>
      <c r="Y7" s="691" t="s">
        <v>1645</v>
      </c>
      <c r="Z7" s="1036" t="s">
        <v>568</v>
      </c>
      <c r="AA7" s="692" t="s">
        <v>470</v>
      </c>
      <c r="AB7" s="566" t="s">
        <v>701</v>
      </c>
      <c r="AC7" s="694" t="s">
        <v>685</v>
      </c>
      <c r="AD7" s="694" t="s">
        <v>682</v>
      </c>
      <c r="AE7" s="694" t="s">
        <v>683</v>
      </c>
      <c r="AF7" s="567" t="s">
        <v>56</v>
      </c>
      <c r="AG7" s="567" t="s">
        <v>57</v>
      </c>
      <c r="AH7" s="567" t="s">
        <v>58</v>
      </c>
      <c r="AI7" s="567" t="s">
        <v>59</v>
      </c>
      <c r="AJ7" s="567" t="s">
        <v>60</v>
      </c>
      <c r="AK7" s="567" t="s">
        <v>61</v>
      </c>
      <c r="AL7" s="567" t="s">
        <v>62</v>
      </c>
      <c r="AM7" s="567" t="s">
        <v>63</v>
      </c>
      <c r="AN7" s="567" t="s">
        <v>64</v>
      </c>
      <c r="AO7" s="567" t="s">
        <v>65</v>
      </c>
      <c r="AP7" s="567" t="s">
        <v>66</v>
      </c>
      <c r="AQ7" s="567" t="s">
        <v>67</v>
      </c>
      <c r="AR7" s="693" t="s">
        <v>2246</v>
      </c>
      <c r="AS7" s="694" t="s">
        <v>686</v>
      </c>
    </row>
    <row r="8" spans="1:45" s="698" customFormat="1" ht="28.4" customHeight="1" x14ac:dyDescent="0.3">
      <c r="A8" s="1102" t="s">
        <v>1647</v>
      </c>
      <c r="B8" s="1103"/>
      <c r="C8" s="1103"/>
      <c r="D8" s="1103"/>
      <c r="E8" s="1103"/>
      <c r="F8" s="1103"/>
      <c r="G8" s="1103"/>
      <c r="H8" s="1103"/>
      <c r="I8" s="1187"/>
      <c r="J8" s="1103"/>
      <c r="K8" s="1104">
        <f>K9+K15+K21+K28+K29+K30+K31+K32+K33+K42+K46</f>
        <v>11</v>
      </c>
      <c r="L8" s="1100">
        <f>L9+L15+L21+L28+L29+L30+L31+L32+L33+L42+L46</f>
        <v>10561687721</v>
      </c>
      <c r="M8" s="1359">
        <f>CAPEX_2025[[#This Row],[Tổng giá trị
(VND)]]/$M$5</f>
        <v>398554.2536226415</v>
      </c>
      <c r="N8" s="1103"/>
      <c r="O8" s="1103"/>
      <c r="P8" s="1106"/>
      <c r="Q8" s="1107"/>
      <c r="R8" s="1107"/>
      <c r="S8" s="1107"/>
      <c r="T8" s="1106"/>
      <c r="U8" s="1107"/>
      <c r="V8" s="1107"/>
      <c r="W8" s="1107"/>
      <c r="X8" s="1108"/>
      <c r="Y8" s="1109"/>
      <c r="Z8" s="1110"/>
      <c r="AA8" s="1111"/>
      <c r="AB8" s="1111"/>
      <c r="AC8" s="1100">
        <f>AC9+AC15+AC21+AC28+AC29+AC30+AC31+AC32+AC33+AC42+AC46+AC47+AC48</f>
        <v>12138917721</v>
      </c>
      <c r="AD8" s="1100">
        <f t="shared" ref="AD8:AR8" si="0">AD9+AD15+AD21+AD28+AD29+AD30+AD31+AD32+AD33+AD42+AD46+AD47+AD48</f>
        <v>4743559574.8357143</v>
      </c>
      <c r="AE8" s="1100">
        <f t="shared" si="0"/>
        <v>7395358146.1642857</v>
      </c>
      <c r="AF8" s="1100">
        <f t="shared" si="0"/>
        <v>91983346.430555552</v>
      </c>
      <c r="AG8" s="1100">
        <f t="shared" si="0"/>
        <v>91983346.430555552</v>
      </c>
      <c r="AH8" s="1100">
        <f t="shared" si="0"/>
        <v>91983346.430555552</v>
      </c>
      <c r="AI8" s="1100">
        <f t="shared" si="0"/>
        <v>91983346.430555552</v>
      </c>
      <c r="AJ8" s="1100">
        <f t="shared" si="0"/>
        <v>91983346.430555552</v>
      </c>
      <c r="AK8" s="1100">
        <f t="shared" si="0"/>
        <v>91983346.430555552</v>
      </c>
      <c r="AL8" s="1100">
        <f t="shared" si="0"/>
        <v>91983346.430555552</v>
      </c>
      <c r="AM8" s="1100">
        <f t="shared" si="0"/>
        <v>91983346.430555552</v>
      </c>
      <c r="AN8" s="1100">
        <f t="shared" si="0"/>
        <v>91983346.430555552</v>
      </c>
      <c r="AO8" s="1100">
        <f t="shared" si="0"/>
        <v>91983346.430555552</v>
      </c>
      <c r="AP8" s="1100">
        <f t="shared" si="0"/>
        <v>91983346.430555552</v>
      </c>
      <c r="AQ8" s="1100">
        <f t="shared" si="0"/>
        <v>91983346.430555552</v>
      </c>
      <c r="AR8" s="1100">
        <f t="shared" si="0"/>
        <v>1103800157.1666667</v>
      </c>
      <c r="AS8" s="1112">
        <f>CAPEX_2025[[#This Row],[Giá trị còn lại]]-CAPEX_2025[[#This Row],[Kế hoạch 2026]]</f>
        <v>6291557988.9976187</v>
      </c>
    </row>
    <row r="9" spans="1:45" s="1083" customFormat="1" ht="20.149999999999999" customHeight="1" outlineLevel="1" x14ac:dyDescent="0.25">
      <c r="A9" s="1071">
        <v>1</v>
      </c>
      <c r="B9" s="1071" t="s">
        <v>518</v>
      </c>
      <c r="C9" s="1071" t="s">
        <v>518</v>
      </c>
      <c r="D9" s="1071" t="s">
        <v>1697</v>
      </c>
      <c r="E9" s="1071" t="s">
        <v>1685</v>
      </c>
      <c r="F9" s="1071"/>
      <c r="G9" s="1071"/>
      <c r="H9" s="1071" t="s">
        <v>1694</v>
      </c>
      <c r="I9" s="1072" t="s">
        <v>2096</v>
      </c>
      <c r="J9" s="1073">
        <f>CAPEX_2025[[#This Row],[Tổng giá trị
(VND)]]/CAPEX_2025[[#This Row],[Số lượng]]</f>
        <v>1775980130</v>
      </c>
      <c r="K9" s="1071">
        <v>1</v>
      </c>
      <c r="L9" s="1073">
        <f>SUM(L10:L14)</f>
        <v>1775980130</v>
      </c>
      <c r="M9" s="1357">
        <f>CAPEX_2025[[#This Row],[Tổng giá trị
(VND)]]/$M$5</f>
        <v>67018.118113207544</v>
      </c>
      <c r="N9" s="1071"/>
      <c r="O9" s="1074"/>
      <c r="P9" s="1075" t="s">
        <v>1697</v>
      </c>
      <c r="Q9" s="1076" t="s">
        <v>1960</v>
      </c>
      <c r="R9" s="1076"/>
      <c r="S9" s="1077" t="s">
        <v>1724</v>
      </c>
      <c r="T9" s="1078"/>
      <c r="U9" s="1076"/>
      <c r="V9" s="1076"/>
      <c r="W9" s="1076"/>
      <c r="X9" s="1077" t="s">
        <v>1724</v>
      </c>
      <c r="Y9" s="1079">
        <v>627</v>
      </c>
      <c r="Z9" s="1080">
        <v>6274001903</v>
      </c>
      <c r="AA9" s="1081" t="s">
        <v>668</v>
      </c>
      <c r="AB9" s="1081" t="s">
        <v>667</v>
      </c>
      <c r="AC9" s="1082">
        <f>SUM(AC10:AC14)</f>
        <v>1775980130</v>
      </c>
      <c r="AD9" s="1082">
        <f t="shared" ref="AD9" si="1">SUM(AD10:AD14)</f>
        <v>711647522.5</v>
      </c>
      <c r="AE9" s="1082">
        <f>SUM(AE10:AE14)</f>
        <v>1064332607.5</v>
      </c>
      <c r="AF9" s="1082">
        <f t="shared" ref="AF9" si="2">SUM(AF10:AF14)</f>
        <v>12333195.347222222</v>
      </c>
      <c r="AG9" s="1082">
        <f t="shared" ref="AG9" si="3">SUM(AG10:AG14)</f>
        <v>12333195.347222222</v>
      </c>
      <c r="AH9" s="1082">
        <f t="shared" ref="AH9" si="4">SUM(AH10:AH14)</f>
        <v>12333195.347222222</v>
      </c>
      <c r="AI9" s="1082">
        <f t="shared" ref="AI9" si="5">SUM(AI10:AI14)</f>
        <v>12333195.347222222</v>
      </c>
      <c r="AJ9" s="1082">
        <f t="shared" ref="AJ9" si="6">SUM(AJ10:AJ14)</f>
        <v>12333195.347222222</v>
      </c>
      <c r="AK9" s="1082">
        <f t="shared" ref="AK9" si="7">SUM(AK10:AK14)</f>
        <v>12333195.347222222</v>
      </c>
      <c r="AL9" s="1082">
        <f t="shared" ref="AL9" si="8">SUM(AL10:AL14)</f>
        <v>12333195.347222222</v>
      </c>
      <c r="AM9" s="1082">
        <f t="shared" ref="AM9" si="9">SUM(AM10:AM14)</f>
        <v>12333195.347222222</v>
      </c>
      <c r="AN9" s="1082">
        <f t="shared" ref="AN9" si="10">SUM(AN10:AN14)</f>
        <v>12333195.347222222</v>
      </c>
      <c r="AO9" s="1082">
        <f t="shared" ref="AO9" si="11">SUM(AO10:AO14)</f>
        <v>12333195.347222222</v>
      </c>
      <c r="AP9" s="1082">
        <f t="shared" ref="AP9" si="12">SUM(AP10:AP14)</f>
        <v>12333195.347222222</v>
      </c>
      <c r="AQ9" s="1082">
        <f t="shared" ref="AQ9" si="13">SUM(AQ10:AQ14)</f>
        <v>12333195.347222222</v>
      </c>
      <c r="AR9" s="1082">
        <f t="shared" ref="AR9" si="14">SUM(AR10:AR14)</f>
        <v>147998344.16666669</v>
      </c>
      <c r="AS9" s="1082">
        <f>AE9-AR9</f>
        <v>916334263.33333325</v>
      </c>
    </row>
    <row r="10" spans="1:45" s="1070" customFormat="1" ht="27" customHeight="1" outlineLevel="4" x14ac:dyDescent="0.25">
      <c r="A10" s="1059" t="s">
        <v>209</v>
      </c>
      <c r="B10" s="1059" t="s">
        <v>518</v>
      </c>
      <c r="C10" s="1059" t="s">
        <v>518</v>
      </c>
      <c r="D10" s="1059" t="s">
        <v>1697</v>
      </c>
      <c r="E10" s="1059" t="s">
        <v>1685</v>
      </c>
      <c r="F10" s="1059"/>
      <c r="G10" s="1059"/>
      <c r="H10" s="1059" t="s">
        <v>1694</v>
      </c>
      <c r="I10" s="1044" t="s">
        <v>1954</v>
      </c>
      <c r="J10" s="1060">
        <v>793796667</v>
      </c>
      <c r="K10" s="1059">
        <v>1</v>
      </c>
      <c r="L10" s="1060">
        <f>CAPEX_2025[[#This Row],[Đơn giá ( chưa bao gồm VAT)]]*CAPEX_2025[[#This Row],[Số lượng]]</f>
        <v>793796667</v>
      </c>
      <c r="M10" s="1062">
        <f>CAPEX_2025[[#This Row],[Tổng giá trị
(VND)]]/$M$5</f>
        <v>29954.591207547172</v>
      </c>
      <c r="N10" s="1061">
        <v>44866</v>
      </c>
      <c r="O10" s="1062">
        <v>144</v>
      </c>
      <c r="P10" s="1059" t="s">
        <v>1697</v>
      </c>
      <c r="Q10" s="1063" t="s">
        <v>1960</v>
      </c>
      <c r="R10" s="1063"/>
      <c r="S10" s="1064" t="s">
        <v>1724</v>
      </c>
      <c r="T10" s="1064"/>
      <c r="U10" s="1065"/>
      <c r="V10" s="1065"/>
      <c r="W10" s="1066"/>
      <c r="X10" s="1067" t="s">
        <v>1955</v>
      </c>
      <c r="Y10" s="1053"/>
      <c r="Z10" s="1068"/>
      <c r="AA10" s="1066" t="s">
        <v>668</v>
      </c>
      <c r="AB10" s="1066" t="s">
        <v>667</v>
      </c>
      <c r="AC10" s="1060">
        <v>793796667</v>
      </c>
      <c r="AD10" s="1060">
        <f t="shared" ref="AD10:AD28" si="15">AC10-AE10</f>
        <v>478496015.35000002</v>
      </c>
      <c r="AE10" s="1060">
        <v>315300651.64999998</v>
      </c>
      <c r="AF10" s="1060">
        <v>5512476.854166667</v>
      </c>
      <c r="AG10" s="1060">
        <v>5512476.854166667</v>
      </c>
      <c r="AH10" s="1060">
        <v>5512476.854166667</v>
      </c>
      <c r="AI10" s="1060">
        <v>5512476.854166667</v>
      </c>
      <c r="AJ10" s="1060">
        <v>5512476.854166667</v>
      </c>
      <c r="AK10" s="1060">
        <v>5512476.854166667</v>
      </c>
      <c r="AL10" s="1060">
        <v>5512476.854166667</v>
      </c>
      <c r="AM10" s="1060">
        <v>5512476.854166667</v>
      </c>
      <c r="AN10" s="1060">
        <v>5512476.854166667</v>
      </c>
      <c r="AO10" s="1060">
        <v>5512476.854166667</v>
      </c>
      <c r="AP10" s="1060">
        <v>5512476.854166667</v>
      </c>
      <c r="AQ10" s="1060">
        <v>5512476.854166667</v>
      </c>
      <c r="AR10" s="1069">
        <f t="shared" ref="AR10:AR30" si="16">SUM(AF10:AQ10)</f>
        <v>66149722.249999993</v>
      </c>
      <c r="AS10" s="1069">
        <f>CAPEX_2025[[#This Row],[Giá trị còn lại]]-CAPEX_2025[[#This Row],[Kế hoạch 2026]]</f>
        <v>249150929.39999998</v>
      </c>
    </row>
    <row r="11" spans="1:45" s="1057" customFormat="1" ht="27" customHeight="1" outlineLevel="4" x14ac:dyDescent="0.25">
      <c r="A11" s="1043" t="s">
        <v>210</v>
      </c>
      <c r="B11" s="1043" t="s">
        <v>518</v>
      </c>
      <c r="C11" s="1043" t="s">
        <v>518</v>
      </c>
      <c r="D11" s="1043" t="s">
        <v>1697</v>
      </c>
      <c r="E11" s="1043" t="s">
        <v>1685</v>
      </c>
      <c r="F11" s="1043"/>
      <c r="G11" s="1043"/>
      <c r="H11" s="1043" t="s">
        <v>1694</v>
      </c>
      <c r="I11" s="1044" t="s">
        <v>1954</v>
      </c>
      <c r="J11" s="1055">
        <v>12900000</v>
      </c>
      <c r="K11" s="1043">
        <v>1</v>
      </c>
      <c r="L11" s="1055">
        <f>CAPEX_2025[[#This Row],[Đơn giá ( chưa bao gồm VAT)]]*CAPEX_2025[[#This Row],[Số lượng]]</f>
        <v>12900000</v>
      </c>
      <c r="M11" s="1047">
        <f>CAPEX_2025[[#This Row],[Tổng giá trị
(VND)]]/$M$5</f>
        <v>486.79245283018867</v>
      </c>
      <c r="N11" s="1046">
        <v>44866</v>
      </c>
      <c r="O11" s="1062">
        <v>144</v>
      </c>
      <c r="P11" s="1043" t="s">
        <v>1697</v>
      </c>
      <c r="Q11" s="1048" t="s">
        <v>1960</v>
      </c>
      <c r="R11" s="1048"/>
      <c r="S11" s="1049" t="s">
        <v>1724</v>
      </c>
      <c r="T11" s="1049"/>
      <c r="U11" s="1050"/>
      <c r="V11" s="1050"/>
      <c r="W11" s="1051"/>
      <c r="X11" s="1052" t="s">
        <v>1956</v>
      </c>
      <c r="Y11" s="1053"/>
      <c r="Z11" s="1054"/>
      <c r="AA11" s="1051" t="s">
        <v>668</v>
      </c>
      <c r="AB11" s="1051" t="s">
        <v>667</v>
      </c>
      <c r="AC11" s="1055">
        <v>12900000</v>
      </c>
      <c r="AD11" s="1055">
        <f t="shared" si="15"/>
        <v>8250625</v>
      </c>
      <c r="AE11" s="1055">
        <v>4649375</v>
      </c>
      <c r="AF11" s="1055">
        <v>89583.333333333328</v>
      </c>
      <c r="AG11" s="1055">
        <v>89583.333333333328</v>
      </c>
      <c r="AH11" s="1055">
        <v>89583.333333333328</v>
      </c>
      <c r="AI11" s="1055">
        <v>89583.333333333328</v>
      </c>
      <c r="AJ11" s="1055">
        <v>89583.333333333328</v>
      </c>
      <c r="AK11" s="1055">
        <v>89583.333333333328</v>
      </c>
      <c r="AL11" s="1055">
        <v>89583.333333333328</v>
      </c>
      <c r="AM11" s="1055">
        <v>89583.333333333328</v>
      </c>
      <c r="AN11" s="1055">
        <v>89583.333333333328</v>
      </c>
      <c r="AO11" s="1055">
        <v>89583.333333333328</v>
      </c>
      <c r="AP11" s="1055">
        <v>89583.333333333328</v>
      </c>
      <c r="AQ11" s="1055">
        <v>89583.333333333328</v>
      </c>
      <c r="AR11" s="1056">
        <f t="shared" si="16"/>
        <v>1075000.0000000002</v>
      </c>
      <c r="AS11" s="1056">
        <f>CAPEX_2025[[#This Row],[Giá trị còn lại]]-CAPEX_2025[[#This Row],[Kế hoạch 2026]]</f>
        <v>3574375</v>
      </c>
    </row>
    <row r="12" spans="1:45" s="1057" customFormat="1" ht="27" customHeight="1" outlineLevel="4" x14ac:dyDescent="0.25">
      <c r="A12" s="1043" t="s">
        <v>211</v>
      </c>
      <c r="B12" s="1043" t="s">
        <v>518</v>
      </c>
      <c r="C12" s="1043" t="s">
        <v>518</v>
      </c>
      <c r="D12" s="1043" t="s">
        <v>1697</v>
      </c>
      <c r="E12" s="1043" t="s">
        <v>1685</v>
      </c>
      <c r="F12" s="1043"/>
      <c r="G12" s="1043"/>
      <c r="H12" s="1043" t="s">
        <v>1694</v>
      </c>
      <c r="I12" s="1044" t="s">
        <v>1969</v>
      </c>
      <c r="J12" s="1055">
        <v>30000000</v>
      </c>
      <c r="K12" s="1043">
        <v>1</v>
      </c>
      <c r="L12" s="1055">
        <f>CAPEX_2025[[#This Row],[Đơn giá ( chưa bao gồm VAT)]]*CAPEX_2025[[#This Row],[Số lượng]]</f>
        <v>30000000</v>
      </c>
      <c r="M12" s="1047">
        <f>CAPEX_2025[[#This Row],[Tổng giá trị
(VND)]]/$M$5</f>
        <v>1132.0754716981132</v>
      </c>
      <c r="N12" s="1046">
        <v>44866</v>
      </c>
      <c r="O12" s="1062">
        <v>144</v>
      </c>
      <c r="P12" s="1043" t="s">
        <v>1697</v>
      </c>
      <c r="Q12" s="1048" t="s">
        <v>1960</v>
      </c>
      <c r="R12" s="1048"/>
      <c r="S12" s="1049" t="s">
        <v>1724</v>
      </c>
      <c r="T12" s="1049"/>
      <c r="U12" s="1050"/>
      <c r="V12" s="1050"/>
      <c r="W12" s="1051"/>
      <c r="X12" s="1052" t="s">
        <v>1957</v>
      </c>
      <c r="Y12" s="1053"/>
      <c r="Z12" s="1054"/>
      <c r="AA12" s="1051" t="s">
        <v>668</v>
      </c>
      <c r="AB12" s="1051" t="s">
        <v>667</v>
      </c>
      <c r="AC12" s="1055">
        <v>30000000</v>
      </c>
      <c r="AD12" s="1055">
        <f t="shared" si="15"/>
        <v>19187500</v>
      </c>
      <c r="AE12" s="1055">
        <v>10812500</v>
      </c>
      <c r="AF12" s="1055">
        <v>208333.33333333334</v>
      </c>
      <c r="AG12" s="1055">
        <v>208333.33333333334</v>
      </c>
      <c r="AH12" s="1055">
        <v>208333.33333333334</v>
      </c>
      <c r="AI12" s="1055">
        <v>208333.33333333334</v>
      </c>
      <c r="AJ12" s="1055">
        <v>208333.33333333334</v>
      </c>
      <c r="AK12" s="1055">
        <v>208333.33333333334</v>
      </c>
      <c r="AL12" s="1055">
        <v>208333.33333333334</v>
      </c>
      <c r="AM12" s="1055">
        <v>208333.33333333334</v>
      </c>
      <c r="AN12" s="1055">
        <v>208333.33333333334</v>
      </c>
      <c r="AO12" s="1055">
        <v>208333.33333333334</v>
      </c>
      <c r="AP12" s="1055">
        <v>208333.33333333334</v>
      </c>
      <c r="AQ12" s="1055">
        <v>208333.33333333334</v>
      </c>
      <c r="AR12" s="1056">
        <f t="shared" si="16"/>
        <v>2500000</v>
      </c>
      <c r="AS12" s="1056">
        <f>CAPEX_2025[[#This Row],[Giá trị còn lại]]-CAPEX_2025[[#This Row],[Kế hoạch 2026]]</f>
        <v>8312500</v>
      </c>
    </row>
    <row r="13" spans="1:45" s="1057" customFormat="1" ht="27" customHeight="1" outlineLevel="4" x14ac:dyDescent="0.25">
      <c r="A13" s="1043" t="s">
        <v>1648</v>
      </c>
      <c r="B13" s="1043" t="s">
        <v>518</v>
      </c>
      <c r="C13" s="1043" t="s">
        <v>518</v>
      </c>
      <c r="D13" s="1043" t="s">
        <v>1697</v>
      </c>
      <c r="E13" s="1043" t="s">
        <v>1685</v>
      </c>
      <c r="F13" s="1043"/>
      <c r="G13" s="1043"/>
      <c r="H13" s="1043" t="s">
        <v>1694</v>
      </c>
      <c r="I13" s="1044" t="s">
        <v>1961</v>
      </c>
      <c r="J13" s="1055">
        <v>259283463</v>
      </c>
      <c r="K13" s="1043">
        <v>1</v>
      </c>
      <c r="L13" s="1055">
        <f>CAPEX_2025[[#This Row],[Đơn giá ( chưa bao gồm VAT)]]*CAPEX_2025[[#This Row],[Số lượng]]</f>
        <v>259283463</v>
      </c>
      <c r="M13" s="1047">
        <f>CAPEX_2025[[#This Row],[Tổng giá trị
(VND)]]/$M$5</f>
        <v>9784.2816226415089</v>
      </c>
      <c r="N13" s="1046">
        <v>45231</v>
      </c>
      <c r="O13" s="1062">
        <v>144</v>
      </c>
      <c r="P13" s="1043" t="s">
        <v>1697</v>
      </c>
      <c r="Q13" s="1048" t="s">
        <v>1960</v>
      </c>
      <c r="R13" s="1048"/>
      <c r="S13" s="1049" t="s">
        <v>1724</v>
      </c>
      <c r="T13" s="1049"/>
      <c r="U13" s="1050"/>
      <c r="V13" s="1050"/>
      <c r="W13" s="1051"/>
      <c r="X13" s="1052" t="s">
        <v>1958</v>
      </c>
      <c r="Y13" s="1053"/>
      <c r="Z13" s="1054"/>
      <c r="AA13" s="1051" t="s">
        <v>668</v>
      </c>
      <c r="AB13" s="1051" t="s">
        <v>667</v>
      </c>
      <c r="AC13" s="1055">
        <v>259283463</v>
      </c>
      <c r="AD13" s="1055">
        <f t="shared" si="15"/>
        <v>103713384.15000001</v>
      </c>
      <c r="AE13" s="1055">
        <v>155570078.84999999</v>
      </c>
      <c r="AF13" s="1055">
        <v>1800579.6041666667</v>
      </c>
      <c r="AG13" s="1055">
        <v>1800579.6041666667</v>
      </c>
      <c r="AH13" s="1055">
        <v>1800579.6041666667</v>
      </c>
      <c r="AI13" s="1055">
        <v>1800579.6041666667</v>
      </c>
      <c r="AJ13" s="1055">
        <v>1800579.6041666667</v>
      </c>
      <c r="AK13" s="1055">
        <v>1800579.6041666667</v>
      </c>
      <c r="AL13" s="1055">
        <v>1800579.6041666667</v>
      </c>
      <c r="AM13" s="1055">
        <v>1800579.6041666667</v>
      </c>
      <c r="AN13" s="1055">
        <v>1800579.6041666667</v>
      </c>
      <c r="AO13" s="1055">
        <v>1800579.6041666667</v>
      </c>
      <c r="AP13" s="1055">
        <v>1800579.6041666667</v>
      </c>
      <c r="AQ13" s="1055">
        <v>1800579.6041666667</v>
      </c>
      <c r="AR13" s="1056">
        <f t="shared" si="16"/>
        <v>21606955.25</v>
      </c>
      <c r="AS13" s="1056">
        <f>CAPEX_2025[[#This Row],[Giá trị còn lại]]-CAPEX_2025[[#This Row],[Kế hoạch 2026]]</f>
        <v>133963123.59999999</v>
      </c>
    </row>
    <row r="14" spans="1:45" s="1057" customFormat="1" ht="27" customHeight="1" outlineLevel="4" x14ac:dyDescent="0.25">
      <c r="A14" s="1043" t="s">
        <v>1649</v>
      </c>
      <c r="B14" s="1043" t="s">
        <v>518</v>
      </c>
      <c r="C14" s="1043" t="s">
        <v>518</v>
      </c>
      <c r="D14" s="1043" t="s">
        <v>1697</v>
      </c>
      <c r="E14" s="1043" t="s">
        <v>1685</v>
      </c>
      <c r="F14" s="1043"/>
      <c r="G14" s="1043"/>
      <c r="H14" s="1043" t="s">
        <v>1694</v>
      </c>
      <c r="I14" s="1044" t="s">
        <v>1962</v>
      </c>
      <c r="J14" s="1055">
        <v>680000000</v>
      </c>
      <c r="K14" s="1043">
        <v>1</v>
      </c>
      <c r="L14" s="1055">
        <f>CAPEX_2025[[#This Row],[Đơn giá ( chưa bao gồm VAT)]]*CAPEX_2025[[#This Row],[Số lượng]]</f>
        <v>680000000</v>
      </c>
      <c r="M14" s="1047">
        <f>CAPEX_2025[[#This Row],[Tổng giá trị
(VND)]]/$M$5</f>
        <v>25660.377358490565</v>
      </c>
      <c r="N14" s="1046">
        <v>45748</v>
      </c>
      <c r="O14" s="1062">
        <v>144</v>
      </c>
      <c r="P14" s="1043" t="s">
        <v>1697</v>
      </c>
      <c r="Q14" s="1048" t="s">
        <v>1960</v>
      </c>
      <c r="R14" s="1048"/>
      <c r="S14" s="1049" t="s">
        <v>1724</v>
      </c>
      <c r="T14" s="1049"/>
      <c r="U14" s="1050"/>
      <c r="V14" s="1050"/>
      <c r="W14" s="1051"/>
      <c r="X14" s="1052" t="s">
        <v>1959</v>
      </c>
      <c r="Y14" s="1053"/>
      <c r="Z14" s="1054"/>
      <c r="AA14" s="1051" t="s">
        <v>668</v>
      </c>
      <c r="AB14" s="1051" t="s">
        <v>667</v>
      </c>
      <c r="AC14" s="1055">
        <v>680000000</v>
      </c>
      <c r="AD14" s="1055">
        <f t="shared" si="15"/>
        <v>101999998</v>
      </c>
      <c r="AE14" s="1055">
        <v>578000002</v>
      </c>
      <c r="AF14" s="1055">
        <v>4722222.222222222</v>
      </c>
      <c r="AG14" s="1055">
        <v>4722222.222222222</v>
      </c>
      <c r="AH14" s="1055">
        <v>4722222.222222222</v>
      </c>
      <c r="AI14" s="1055">
        <v>4722222.222222222</v>
      </c>
      <c r="AJ14" s="1055">
        <v>4722222.222222222</v>
      </c>
      <c r="AK14" s="1055">
        <v>4722222.222222222</v>
      </c>
      <c r="AL14" s="1055">
        <v>4722222.222222222</v>
      </c>
      <c r="AM14" s="1055">
        <v>4722222.222222222</v>
      </c>
      <c r="AN14" s="1055">
        <v>4722222.222222222</v>
      </c>
      <c r="AO14" s="1055">
        <v>4722222.222222222</v>
      </c>
      <c r="AP14" s="1055">
        <v>4722222.222222222</v>
      </c>
      <c r="AQ14" s="1055">
        <v>4722222.222222222</v>
      </c>
      <c r="AR14" s="1056">
        <f t="shared" si="16"/>
        <v>56666666.666666679</v>
      </c>
      <c r="AS14" s="1056">
        <f>CAPEX_2025[[#This Row],[Giá trị còn lại]]-CAPEX_2025[[#This Row],[Kế hoạch 2026]]</f>
        <v>521333335.33333331</v>
      </c>
    </row>
    <row r="15" spans="1:45" s="1097" customFormat="1" ht="27" customHeight="1" outlineLevel="1" x14ac:dyDescent="0.25">
      <c r="A15" s="1084">
        <v>2</v>
      </c>
      <c r="B15" s="1084" t="s">
        <v>518</v>
      </c>
      <c r="C15" s="1084" t="s">
        <v>518</v>
      </c>
      <c r="D15" s="1084" t="s">
        <v>1697</v>
      </c>
      <c r="E15" s="1084" t="s">
        <v>1685</v>
      </c>
      <c r="F15" s="1084"/>
      <c r="G15" s="1084"/>
      <c r="H15" s="1084" t="s">
        <v>1694</v>
      </c>
      <c r="I15" s="1085" t="s">
        <v>2096</v>
      </c>
      <c r="J15" s="1086">
        <f>CAPEX_2025[[#This Row],[Tổng giá trị
(VND)]]/CAPEX_2025[[#This Row],[Số lượng]]</f>
        <v>1509440909</v>
      </c>
      <c r="K15" s="1084">
        <v>1</v>
      </c>
      <c r="L15" s="1086">
        <f>SUM(L16:L20)</f>
        <v>1509440909</v>
      </c>
      <c r="M15" s="1088">
        <f>CAPEX_2025[[#This Row],[Tổng giá trị
(VND)]]/$M$5</f>
        <v>56960.034301886793</v>
      </c>
      <c r="N15" s="1087"/>
      <c r="O15" s="1088"/>
      <c r="P15" s="1089" t="s">
        <v>1697</v>
      </c>
      <c r="Q15" s="1090" t="s">
        <v>1960</v>
      </c>
      <c r="R15" s="1089"/>
      <c r="S15" s="1091" t="s">
        <v>1727</v>
      </c>
      <c r="T15" s="682"/>
      <c r="U15" s="1092"/>
      <c r="V15" s="1092"/>
      <c r="W15" s="1093"/>
      <c r="X15" s="1091" t="s">
        <v>1727</v>
      </c>
      <c r="Y15" s="1094">
        <v>627</v>
      </c>
      <c r="Z15" s="1095">
        <v>6274001903</v>
      </c>
      <c r="AA15" s="1096" t="s">
        <v>668</v>
      </c>
      <c r="AB15" s="1096" t="s">
        <v>667</v>
      </c>
      <c r="AC15" s="1025">
        <f>SUM(AC16:AC20)</f>
        <v>1509440909</v>
      </c>
      <c r="AD15" s="1025">
        <f t="shared" si="15"/>
        <v>731155630.45000005</v>
      </c>
      <c r="AE15" s="1025">
        <f>SUM(AE16:AE20)</f>
        <v>778285278.54999995</v>
      </c>
      <c r="AF15" s="1025">
        <f>SUM(AF16:AF20)</f>
        <v>10482228.534722222</v>
      </c>
      <c r="AG15" s="1025">
        <f t="shared" ref="AG15:AQ15" si="17">SUM(AG16:AG20)</f>
        <v>10482228.534722222</v>
      </c>
      <c r="AH15" s="1025">
        <f t="shared" si="17"/>
        <v>10482228.534722222</v>
      </c>
      <c r="AI15" s="1025">
        <f t="shared" si="17"/>
        <v>10482228.534722222</v>
      </c>
      <c r="AJ15" s="1025">
        <f t="shared" si="17"/>
        <v>10482228.534722222</v>
      </c>
      <c r="AK15" s="1025">
        <f t="shared" si="17"/>
        <v>10482228.534722222</v>
      </c>
      <c r="AL15" s="1025">
        <f t="shared" si="17"/>
        <v>10482228.534722222</v>
      </c>
      <c r="AM15" s="1025">
        <f t="shared" si="17"/>
        <v>10482228.534722222</v>
      </c>
      <c r="AN15" s="1025">
        <f t="shared" si="17"/>
        <v>10482228.534722222</v>
      </c>
      <c r="AO15" s="1025">
        <f t="shared" si="17"/>
        <v>10482228.534722222</v>
      </c>
      <c r="AP15" s="1025">
        <f t="shared" si="17"/>
        <v>10482228.534722222</v>
      </c>
      <c r="AQ15" s="1025">
        <f t="shared" si="17"/>
        <v>10482228.534722222</v>
      </c>
      <c r="AR15" s="1025">
        <f>SUM(AF15:AQ15)</f>
        <v>125786742.41666667</v>
      </c>
      <c r="AS15" s="1025">
        <f>AE15-AR15</f>
        <v>652498536.13333333</v>
      </c>
    </row>
    <row r="16" spans="1:45" s="1057" customFormat="1" ht="27" customHeight="1" outlineLevel="2" x14ac:dyDescent="0.25">
      <c r="A16" s="1042" t="s">
        <v>214</v>
      </c>
      <c r="B16" s="1043" t="s">
        <v>518</v>
      </c>
      <c r="C16" s="1043" t="s">
        <v>518</v>
      </c>
      <c r="D16" s="1043" t="s">
        <v>1697</v>
      </c>
      <c r="E16" s="1043" t="s">
        <v>1685</v>
      </c>
      <c r="F16" s="1043"/>
      <c r="G16" s="1043"/>
      <c r="H16" s="1043" t="s">
        <v>1694</v>
      </c>
      <c r="I16" s="1044" t="s">
        <v>1969</v>
      </c>
      <c r="J16" s="1045">
        <v>90000000</v>
      </c>
      <c r="K16" s="1043">
        <v>1</v>
      </c>
      <c r="L16" s="1045">
        <f>CAPEX_2025[[#This Row],[Đơn giá ( chưa bao gồm VAT)]]*CAPEX_2025[[#This Row],[Số lượng]]</f>
        <v>90000000</v>
      </c>
      <c r="M16" s="1047">
        <f>CAPEX_2025[[#This Row],[Tổng giá trị
(VND)]]/$M$5</f>
        <v>3396.2264150943397</v>
      </c>
      <c r="N16" s="1046">
        <v>44866</v>
      </c>
      <c r="O16" s="1062">
        <v>144</v>
      </c>
      <c r="P16" s="1048" t="s">
        <v>1697</v>
      </c>
      <c r="Q16" s="1048" t="s">
        <v>1960</v>
      </c>
      <c r="R16" s="1048"/>
      <c r="S16" s="1049" t="s">
        <v>1727</v>
      </c>
      <c r="T16" s="1049"/>
      <c r="U16" s="1050"/>
      <c r="V16" s="1050"/>
      <c r="W16" s="1051"/>
      <c r="X16" s="1052" t="s">
        <v>1963</v>
      </c>
      <c r="Y16" s="1053"/>
      <c r="Z16" s="1054"/>
      <c r="AA16" s="1051" t="s">
        <v>668</v>
      </c>
      <c r="AB16" s="1051" t="s">
        <v>667</v>
      </c>
      <c r="AC16" s="1055">
        <v>90000000</v>
      </c>
      <c r="AD16" s="1055">
        <f t="shared" si="15"/>
        <v>63000000</v>
      </c>
      <c r="AE16" s="1055">
        <v>27000000</v>
      </c>
      <c r="AF16" s="1055">
        <v>625000</v>
      </c>
      <c r="AG16" s="1055">
        <v>625000</v>
      </c>
      <c r="AH16" s="1055">
        <v>625000</v>
      </c>
      <c r="AI16" s="1055">
        <v>625000</v>
      </c>
      <c r="AJ16" s="1055">
        <v>625000</v>
      </c>
      <c r="AK16" s="1055">
        <v>625000</v>
      </c>
      <c r="AL16" s="1055">
        <v>625000</v>
      </c>
      <c r="AM16" s="1055">
        <v>625000</v>
      </c>
      <c r="AN16" s="1055">
        <v>625000</v>
      </c>
      <c r="AO16" s="1055">
        <v>625000</v>
      </c>
      <c r="AP16" s="1055">
        <v>625000</v>
      </c>
      <c r="AQ16" s="1055">
        <v>625000</v>
      </c>
      <c r="AR16" s="1056">
        <f t="shared" si="16"/>
        <v>7500000</v>
      </c>
      <c r="AS16" s="1056">
        <f>CAPEX_2025[[#This Row],[Giá trị còn lại]]-CAPEX_2025[[#This Row],[Kế hoạch 2026]]</f>
        <v>19500000</v>
      </c>
    </row>
    <row r="17" spans="1:45" s="1057" customFormat="1" ht="22.5" customHeight="1" outlineLevel="2" x14ac:dyDescent="0.25">
      <c r="A17" s="1042" t="s">
        <v>212</v>
      </c>
      <c r="B17" s="1043" t="s">
        <v>518</v>
      </c>
      <c r="C17" s="1043" t="s">
        <v>518</v>
      </c>
      <c r="D17" s="1043" t="s">
        <v>1697</v>
      </c>
      <c r="E17" s="1043" t="s">
        <v>1685</v>
      </c>
      <c r="F17" s="1043"/>
      <c r="G17" s="1043"/>
      <c r="H17" s="1043" t="s">
        <v>1694</v>
      </c>
      <c r="I17" s="1058" t="s">
        <v>1968</v>
      </c>
      <c r="J17" s="1045">
        <v>47250000</v>
      </c>
      <c r="K17" s="1043">
        <v>1</v>
      </c>
      <c r="L17" s="1045">
        <f>CAPEX_2025[[#This Row],[Đơn giá ( chưa bao gồm VAT)]]*CAPEX_2025[[#This Row],[Số lượng]]</f>
        <v>47250000</v>
      </c>
      <c r="M17" s="1047">
        <f>CAPEX_2025[[#This Row],[Tổng giá trị
(VND)]]/$M$5</f>
        <v>1783.0188679245282</v>
      </c>
      <c r="N17" s="1046">
        <v>44866</v>
      </c>
      <c r="O17" s="1062">
        <v>144</v>
      </c>
      <c r="P17" s="1048" t="s">
        <v>1697</v>
      </c>
      <c r="Q17" s="1048" t="s">
        <v>1960</v>
      </c>
      <c r="R17" s="1048"/>
      <c r="S17" s="1049" t="s">
        <v>1727</v>
      </c>
      <c r="T17" s="1049"/>
      <c r="U17" s="1050"/>
      <c r="V17" s="1050"/>
      <c r="W17" s="1051"/>
      <c r="X17" s="1052" t="s">
        <v>1964</v>
      </c>
      <c r="Y17" s="1053"/>
      <c r="Z17" s="1054"/>
      <c r="AA17" s="1051" t="s">
        <v>668</v>
      </c>
      <c r="AB17" s="1051" t="s">
        <v>667</v>
      </c>
      <c r="AC17" s="1055">
        <v>47250000</v>
      </c>
      <c r="AD17" s="1055">
        <f t="shared" si="15"/>
        <v>30220320</v>
      </c>
      <c r="AE17" s="1055">
        <v>17029680</v>
      </c>
      <c r="AF17" s="1055">
        <v>328125</v>
      </c>
      <c r="AG17" s="1055">
        <v>328125</v>
      </c>
      <c r="AH17" s="1055">
        <v>328125</v>
      </c>
      <c r="AI17" s="1055">
        <v>328125</v>
      </c>
      <c r="AJ17" s="1055">
        <v>328125</v>
      </c>
      <c r="AK17" s="1055">
        <v>328125</v>
      </c>
      <c r="AL17" s="1055">
        <v>328125</v>
      </c>
      <c r="AM17" s="1055">
        <v>328125</v>
      </c>
      <c r="AN17" s="1055">
        <v>328125</v>
      </c>
      <c r="AO17" s="1055">
        <v>328125</v>
      </c>
      <c r="AP17" s="1055">
        <v>328125</v>
      </c>
      <c r="AQ17" s="1055">
        <v>328125</v>
      </c>
      <c r="AR17" s="1056">
        <f t="shared" si="16"/>
        <v>3937500</v>
      </c>
      <c r="AS17" s="1056">
        <f>CAPEX_2025[[#This Row],[Giá trị còn lại]]-CAPEX_2025[[#This Row],[Kế hoạch 2026]]</f>
        <v>13092180</v>
      </c>
    </row>
    <row r="18" spans="1:45" s="1057" customFormat="1" ht="27" customHeight="1" outlineLevel="2" x14ac:dyDescent="0.25">
      <c r="A18" s="1042" t="s">
        <v>213</v>
      </c>
      <c r="B18" s="1043" t="s">
        <v>518</v>
      </c>
      <c r="C18" s="1043" t="s">
        <v>518</v>
      </c>
      <c r="D18" s="1043" t="s">
        <v>1697</v>
      </c>
      <c r="E18" s="1043" t="s">
        <v>1685</v>
      </c>
      <c r="F18" s="1043"/>
      <c r="G18" s="1043"/>
      <c r="H18" s="1043" t="s">
        <v>1694</v>
      </c>
      <c r="I18" s="1044" t="s">
        <v>1969</v>
      </c>
      <c r="J18" s="1045">
        <v>109090909</v>
      </c>
      <c r="K18" s="1043">
        <v>1</v>
      </c>
      <c r="L18" s="1045">
        <f>CAPEX_2025[[#This Row],[Đơn giá ( chưa bao gồm VAT)]]*CAPEX_2025[[#This Row],[Số lượng]]</f>
        <v>109090909</v>
      </c>
      <c r="M18" s="1047">
        <f>CAPEX_2025[[#This Row],[Tổng giá trị
(VND)]]/$M$5</f>
        <v>4116.6380754716984</v>
      </c>
      <c r="N18" s="1046">
        <v>44896</v>
      </c>
      <c r="O18" s="1062">
        <v>144</v>
      </c>
      <c r="P18" s="1048" t="s">
        <v>1697</v>
      </c>
      <c r="Q18" s="1048" t="s">
        <v>1960</v>
      </c>
      <c r="R18" s="1048"/>
      <c r="S18" s="1049" t="s">
        <v>1727</v>
      </c>
      <c r="T18" s="1049"/>
      <c r="U18" s="1050"/>
      <c r="V18" s="1050"/>
      <c r="W18" s="1051"/>
      <c r="X18" s="1052" t="s">
        <v>1965</v>
      </c>
      <c r="Y18" s="1053"/>
      <c r="Z18" s="1054"/>
      <c r="AA18" s="1051" t="s">
        <v>668</v>
      </c>
      <c r="AB18" s="1051" t="s">
        <v>667</v>
      </c>
      <c r="AC18" s="1055">
        <v>109090909</v>
      </c>
      <c r="AD18" s="1055">
        <f t="shared" si="15"/>
        <v>83030306.450000003</v>
      </c>
      <c r="AE18" s="1055">
        <v>26060602.550000001</v>
      </c>
      <c r="AF18" s="1055">
        <v>757575.7569444445</v>
      </c>
      <c r="AG18" s="1055">
        <v>757575.7569444445</v>
      </c>
      <c r="AH18" s="1055">
        <v>757575.7569444445</v>
      </c>
      <c r="AI18" s="1055">
        <v>757575.7569444445</v>
      </c>
      <c r="AJ18" s="1055">
        <v>757575.7569444445</v>
      </c>
      <c r="AK18" s="1055">
        <v>757575.7569444445</v>
      </c>
      <c r="AL18" s="1055">
        <v>757575.7569444445</v>
      </c>
      <c r="AM18" s="1055">
        <v>757575.7569444445</v>
      </c>
      <c r="AN18" s="1055">
        <v>757575.7569444445</v>
      </c>
      <c r="AO18" s="1055">
        <v>757575.7569444445</v>
      </c>
      <c r="AP18" s="1055">
        <v>757575.7569444445</v>
      </c>
      <c r="AQ18" s="1055">
        <v>757575.7569444445</v>
      </c>
      <c r="AR18" s="1056">
        <f t="shared" si="16"/>
        <v>9090909.0833333321</v>
      </c>
      <c r="AS18" s="1056">
        <f>CAPEX_2025[[#This Row],[Giá trị còn lại]]-CAPEX_2025[[#This Row],[Kế hoạch 2026]]</f>
        <v>16969693.466666669</v>
      </c>
    </row>
    <row r="19" spans="1:45" s="1057" customFormat="1" ht="39.65" customHeight="1" outlineLevel="2" x14ac:dyDescent="0.25">
      <c r="A19" s="1042" t="s">
        <v>215</v>
      </c>
      <c r="B19" s="1043" t="s">
        <v>518</v>
      </c>
      <c r="C19" s="1043" t="s">
        <v>518</v>
      </c>
      <c r="D19" s="1043" t="s">
        <v>1697</v>
      </c>
      <c r="E19" s="1043" t="s">
        <v>1685</v>
      </c>
      <c r="F19" s="1043"/>
      <c r="G19" s="1043"/>
      <c r="H19" s="1043" t="s">
        <v>1694</v>
      </c>
      <c r="I19" s="1044" t="s">
        <v>1970</v>
      </c>
      <c r="J19" s="1045">
        <v>879100000</v>
      </c>
      <c r="K19" s="1043">
        <v>1</v>
      </c>
      <c r="L19" s="1045">
        <f>CAPEX_2025[[#This Row],[Đơn giá ( chưa bao gồm VAT)]]*CAPEX_2025[[#This Row],[Số lượng]]</f>
        <v>879100000</v>
      </c>
      <c r="M19" s="1047">
        <f>CAPEX_2025[[#This Row],[Tổng giá trị
(VND)]]/$M$5</f>
        <v>33173.584905660377</v>
      </c>
      <c r="N19" s="1046">
        <v>44958</v>
      </c>
      <c r="O19" s="1062">
        <v>144</v>
      </c>
      <c r="P19" s="1048" t="s">
        <v>1697</v>
      </c>
      <c r="Q19" s="1048" t="s">
        <v>1960</v>
      </c>
      <c r="R19" s="1048"/>
      <c r="S19" s="1049" t="s">
        <v>1727</v>
      </c>
      <c r="T19" s="1049"/>
      <c r="U19" s="1050"/>
      <c r="V19" s="1050"/>
      <c r="W19" s="1051"/>
      <c r="X19" s="1052" t="s">
        <v>1966</v>
      </c>
      <c r="Y19" s="1053"/>
      <c r="Z19" s="1054"/>
      <c r="AA19" s="1051" t="s">
        <v>668</v>
      </c>
      <c r="AB19" s="1051" t="s">
        <v>667</v>
      </c>
      <c r="AC19" s="1055">
        <v>879100000</v>
      </c>
      <c r="AD19" s="1055">
        <f t="shared" si="15"/>
        <v>501571670</v>
      </c>
      <c r="AE19" s="1055">
        <v>377528330</v>
      </c>
      <c r="AF19" s="1055">
        <v>6104861.111111111</v>
      </c>
      <c r="AG19" s="1055">
        <v>6104861.111111111</v>
      </c>
      <c r="AH19" s="1055">
        <v>6104861.111111111</v>
      </c>
      <c r="AI19" s="1055">
        <v>6104861.111111111</v>
      </c>
      <c r="AJ19" s="1055">
        <v>6104861.111111111</v>
      </c>
      <c r="AK19" s="1055">
        <v>6104861.111111111</v>
      </c>
      <c r="AL19" s="1055">
        <v>6104861.111111111</v>
      </c>
      <c r="AM19" s="1055">
        <v>6104861.111111111</v>
      </c>
      <c r="AN19" s="1055">
        <v>6104861.111111111</v>
      </c>
      <c r="AO19" s="1055">
        <v>6104861.111111111</v>
      </c>
      <c r="AP19" s="1055">
        <v>6104861.111111111</v>
      </c>
      <c r="AQ19" s="1055">
        <v>6104861.111111111</v>
      </c>
      <c r="AR19" s="1056">
        <f t="shared" si="16"/>
        <v>73258333.333333328</v>
      </c>
      <c r="AS19" s="1056">
        <f>CAPEX_2025[[#This Row],[Giá trị còn lại]]-CAPEX_2025[[#This Row],[Kế hoạch 2026]]</f>
        <v>304269996.66666669</v>
      </c>
    </row>
    <row r="20" spans="1:45" s="1057" customFormat="1" ht="41.15" customHeight="1" outlineLevel="2" x14ac:dyDescent="0.25">
      <c r="A20" s="1042" t="s">
        <v>539</v>
      </c>
      <c r="B20" s="1043" t="s">
        <v>518</v>
      </c>
      <c r="C20" s="1043" t="s">
        <v>518</v>
      </c>
      <c r="D20" s="1043" t="s">
        <v>1697</v>
      </c>
      <c r="E20" s="1043" t="s">
        <v>1685</v>
      </c>
      <c r="F20" s="1043"/>
      <c r="G20" s="1043"/>
      <c r="H20" s="1043" t="s">
        <v>1694</v>
      </c>
      <c r="I20" s="1044" t="s">
        <v>1962</v>
      </c>
      <c r="J20" s="1045">
        <v>384000000</v>
      </c>
      <c r="K20" s="1043">
        <v>1</v>
      </c>
      <c r="L20" s="1045">
        <f>CAPEX_2025[[#This Row],[Đơn giá ( chưa bao gồm VAT)]]*CAPEX_2025[[#This Row],[Số lượng]]</f>
        <v>384000000</v>
      </c>
      <c r="M20" s="1047">
        <f>CAPEX_2025[[#This Row],[Tổng giá trị
(VND)]]/$M$5</f>
        <v>14490.566037735849</v>
      </c>
      <c r="N20" s="1046">
        <v>45870</v>
      </c>
      <c r="O20" s="1062">
        <v>144</v>
      </c>
      <c r="P20" s="1048" t="s">
        <v>1697</v>
      </c>
      <c r="Q20" s="1048" t="s">
        <v>1960</v>
      </c>
      <c r="R20" s="1048"/>
      <c r="S20" s="1049" t="s">
        <v>1727</v>
      </c>
      <c r="T20" s="1049"/>
      <c r="U20" s="1050"/>
      <c r="V20" s="1050"/>
      <c r="W20" s="1051"/>
      <c r="X20" s="1052" t="s">
        <v>1967</v>
      </c>
      <c r="Y20" s="1053"/>
      <c r="Z20" s="1054"/>
      <c r="AA20" s="1051" t="s">
        <v>668</v>
      </c>
      <c r="AB20" s="1051" t="s">
        <v>667</v>
      </c>
      <c r="AC20" s="1055">
        <v>384000000</v>
      </c>
      <c r="AD20" s="1055">
        <f t="shared" si="15"/>
        <v>53333334</v>
      </c>
      <c r="AE20" s="1055">
        <v>330666666</v>
      </c>
      <c r="AF20" s="1055">
        <v>2666666.6666666665</v>
      </c>
      <c r="AG20" s="1055">
        <v>2666666.6666666665</v>
      </c>
      <c r="AH20" s="1055">
        <v>2666666.6666666665</v>
      </c>
      <c r="AI20" s="1055">
        <v>2666666.6666666665</v>
      </c>
      <c r="AJ20" s="1055">
        <v>2666666.6666666665</v>
      </c>
      <c r="AK20" s="1055">
        <v>2666666.6666666665</v>
      </c>
      <c r="AL20" s="1055">
        <v>2666666.6666666665</v>
      </c>
      <c r="AM20" s="1055">
        <v>2666666.6666666665</v>
      </c>
      <c r="AN20" s="1055">
        <v>2666666.6666666665</v>
      </c>
      <c r="AO20" s="1055">
        <v>2666666.6666666665</v>
      </c>
      <c r="AP20" s="1055">
        <v>2666666.6666666665</v>
      </c>
      <c r="AQ20" s="1055">
        <v>2666666.6666666665</v>
      </c>
      <c r="AR20" s="1056">
        <f t="shared" si="16"/>
        <v>32000000.000000004</v>
      </c>
      <c r="AS20" s="1056">
        <f>CAPEX_2025[[#This Row],[Giá trị còn lại]]-CAPEX_2025[[#This Row],[Kế hoạch 2026]]</f>
        <v>298666666</v>
      </c>
    </row>
    <row r="21" spans="1:45" s="1097" customFormat="1" ht="27" customHeight="1" outlineLevel="1" x14ac:dyDescent="0.25">
      <c r="A21" s="1084">
        <v>3</v>
      </c>
      <c r="B21" s="1084" t="s">
        <v>518</v>
      </c>
      <c r="C21" s="1084" t="s">
        <v>518</v>
      </c>
      <c r="D21" s="1084" t="s">
        <v>1697</v>
      </c>
      <c r="E21" s="1084" t="s">
        <v>1685</v>
      </c>
      <c r="F21" s="1084"/>
      <c r="G21" s="1084"/>
      <c r="H21" s="1084" t="s">
        <v>1694</v>
      </c>
      <c r="I21" s="1085" t="s">
        <v>2096</v>
      </c>
      <c r="J21" s="1086">
        <f>CAPEX_2025[[#This Row],[Tổng giá trị
(VND)]]/CAPEX_2025[[#This Row],[Số lượng]]</f>
        <v>3222946267</v>
      </c>
      <c r="K21" s="1084">
        <v>1</v>
      </c>
      <c r="L21" s="1086">
        <f>SUM(L22:L27)</f>
        <v>3222946267</v>
      </c>
      <c r="M21" s="1088">
        <f>CAPEX_2025[[#This Row],[Tổng giá trị
(VND)]]/$M$5</f>
        <v>121620.61384905661</v>
      </c>
      <c r="N21" s="1087"/>
      <c r="O21" s="1088"/>
      <c r="P21" s="1089" t="s">
        <v>1697</v>
      </c>
      <c r="Q21" s="1090" t="s">
        <v>1960</v>
      </c>
      <c r="R21" s="1089"/>
      <c r="S21" s="1091" t="s">
        <v>1729</v>
      </c>
      <c r="T21" s="682"/>
      <c r="U21" s="1092"/>
      <c r="V21" s="1092"/>
      <c r="W21" s="1093"/>
      <c r="X21" s="1091" t="s">
        <v>1729</v>
      </c>
      <c r="Y21" s="1094">
        <v>627</v>
      </c>
      <c r="Z21" s="1095">
        <v>6274001903</v>
      </c>
      <c r="AA21" s="1096" t="s">
        <v>668</v>
      </c>
      <c r="AB21" s="1096" t="s">
        <v>667</v>
      </c>
      <c r="AC21" s="1025">
        <f>SUM(AC22:AC27)</f>
        <v>3222946267</v>
      </c>
      <c r="AD21" s="1025">
        <f t="shared" ref="AD21:AD26" si="18">AC21-AE21</f>
        <v>1786179329.3499999</v>
      </c>
      <c r="AE21" s="1025">
        <f>SUM(AE22:AE27)</f>
        <v>1436766937.6500001</v>
      </c>
      <c r="AF21" s="1025">
        <f>SUM(AF22:AF27)</f>
        <v>22381571.298611112</v>
      </c>
      <c r="AG21" s="1025">
        <f t="shared" ref="AG21:AQ21" si="19">SUM(AG22:AG27)</f>
        <v>22381571.298611112</v>
      </c>
      <c r="AH21" s="1025">
        <f t="shared" si="19"/>
        <v>22381571.298611112</v>
      </c>
      <c r="AI21" s="1025">
        <f t="shared" si="19"/>
        <v>22381571.298611112</v>
      </c>
      <c r="AJ21" s="1025">
        <f t="shared" si="19"/>
        <v>22381571.298611112</v>
      </c>
      <c r="AK21" s="1025">
        <f t="shared" si="19"/>
        <v>22381571.298611112</v>
      </c>
      <c r="AL21" s="1025">
        <f t="shared" si="19"/>
        <v>22381571.298611112</v>
      </c>
      <c r="AM21" s="1025">
        <f t="shared" si="19"/>
        <v>22381571.298611112</v>
      </c>
      <c r="AN21" s="1025">
        <f t="shared" si="19"/>
        <v>22381571.298611112</v>
      </c>
      <c r="AO21" s="1025">
        <f t="shared" si="19"/>
        <v>22381571.298611112</v>
      </c>
      <c r="AP21" s="1025">
        <f t="shared" si="19"/>
        <v>22381571.298611112</v>
      </c>
      <c r="AQ21" s="1025">
        <f t="shared" si="19"/>
        <v>22381571.298611112</v>
      </c>
      <c r="AR21" s="1025">
        <f t="shared" ref="AR21:AR29" si="20">SUM(AF21:AQ21)</f>
        <v>268578855.58333331</v>
      </c>
      <c r="AS21" s="1025">
        <f>AE21-AR21</f>
        <v>1168188082.0666668</v>
      </c>
    </row>
    <row r="22" spans="1:45" s="1057" customFormat="1" ht="43" customHeight="1" outlineLevel="2" x14ac:dyDescent="0.25">
      <c r="A22" s="1042" t="s">
        <v>541</v>
      </c>
      <c r="B22" s="1043" t="s">
        <v>518</v>
      </c>
      <c r="C22" s="1043" t="s">
        <v>518</v>
      </c>
      <c r="D22" s="1043" t="s">
        <v>1697</v>
      </c>
      <c r="E22" s="1043" t="s">
        <v>1685</v>
      </c>
      <c r="F22" s="1043"/>
      <c r="G22" s="1043"/>
      <c r="H22" s="1043" t="s">
        <v>1694</v>
      </c>
      <c r="I22" s="1044" t="s">
        <v>1970</v>
      </c>
      <c r="J22" s="1045">
        <v>1159100000</v>
      </c>
      <c r="K22" s="1043">
        <v>1</v>
      </c>
      <c r="L22" s="1045">
        <f>CAPEX_2025[[#This Row],[Đơn giá ( chưa bao gồm VAT)]]*CAPEX_2025[[#This Row],[Số lượng]]</f>
        <v>1159100000</v>
      </c>
      <c r="M22" s="1047">
        <f>CAPEX_2025[[#This Row],[Tổng giá trị
(VND)]]/$M$5</f>
        <v>43739.622641509435</v>
      </c>
      <c r="N22" s="1046">
        <v>44866</v>
      </c>
      <c r="O22" s="1062">
        <v>144</v>
      </c>
      <c r="P22" s="1048" t="s">
        <v>1697</v>
      </c>
      <c r="Q22" s="1048" t="s">
        <v>1960</v>
      </c>
      <c r="R22" s="1048"/>
      <c r="S22" s="1048" t="s">
        <v>1729</v>
      </c>
      <c r="T22" s="1049"/>
      <c r="U22" s="1050"/>
      <c r="V22" s="1050"/>
      <c r="W22" s="1051"/>
      <c r="X22" s="1052" t="s">
        <v>1974</v>
      </c>
      <c r="Y22" s="1053"/>
      <c r="Z22" s="1054"/>
      <c r="AA22" s="1051" t="s">
        <v>668</v>
      </c>
      <c r="AB22" s="1051" t="s">
        <v>667</v>
      </c>
      <c r="AC22" s="1055">
        <v>1159100000</v>
      </c>
      <c r="AD22" s="1055">
        <f t="shared" si="18"/>
        <v>436071672</v>
      </c>
      <c r="AE22" s="1055">
        <v>723028328</v>
      </c>
      <c r="AF22" s="1055">
        <v>8049305.555555556</v>
      </c>
      <c r="AG22" s="1055">
        <v>8049305.555555556</v>
      </c>
      <c r="AH22" s="1055">
        <v>8049305.555555556</v>
      </c>
      <c r="AI22" s="1055">
        <v>8049305.555555556</v>
      </c>
      <c r="AJ22" s="1055">
        <v>8049305.555555556</v>
      </c>
      <c r="AK22" s="1055">
        <v>8049305.555555556</v>
      </c>
      <c r="AL22" s="1055">
        <v>8049305.555555556</v>
      </c>
      <c r="AM22" s="1055">
        <v>8049305.555555556</v>
      </c>
      <c r="AN22" s="1055">
        <v>8049305.555555556</v>
      </c>
      <c r="AO22" s="1055">
        <v>8049305.555555556</v>
      </c>
      <c r="AP22" s="1055">
        <v>8049305.555555556</v>
      </c>
      <c r="AQ22" s="1055">
        <v>8049305.555555556</v>
      </c>
      <c r="AR22" s="1056">
        <f t="shared" si="20"/>
        <v>96591666.666666642</v>
      </c>
      <c r="AS22" s="1056">
        <f>CAPEX_2025[[#This Row],[Giá trị còn lại]]-CAPEX_2025[[#This Row],[Kế hoạch 2026]]</f>
        <v>626436661.33333337</v>
      </c>
    </row>
    <row r="23" spans="1:45" s="1057" customFormat="1" ht="27" customHeight="1" outlineLevel="2" x14ac:dyDescent="0.25">
      <c r="A23" s="1042" t="s">
        <v>542</v>
      </c>
      <c r="B23" s="1043" t="s">
        <v>518</v>
      </c>
      <c r="C23" s="1043" t="s">
        <v>518</v>
      </c>
      <c r="D23" s="1043" t="s">
        <v>1697</v>
      </c>
      <c r="E23" s="1043" t="s">
        <v>1685</v>
      </c>
      <c r="F23" s="1043"/>
      <c r="G23" s="1043"/>
      <c r="H23" s="1043" t="s">
        <v>1694</v>
      </c>
      <c r="I23" s="1044" t="s">
        <v>1954</v>
      </c>
      <c r="J23" s="1045">
        <v>137500000</v>
      </c>
      <c r="K23" s="1043">
        <v>1</v>
      </c>
      <c r="L23" s="1045">
        <f>CAPEX_2025[[#This Row],[Đơn giá ( chưa bao gồm VAT)]]*CAPEX_2025[[#This Row],[Số lượng]]</f>
        <v>137500000</v>
      </c>
      <c r="M23" s="1047">
        <f>CAPEX_2025[[#This Row],[Tổng giá trị
(VND)]]/$M$5</f>
        <v>5188.6792452830186</v>
      </c>
      <c r="N23" s="1046">
        <v>44866</v>
      </c>
      <c r="O23" s="1062">
        <v>144</v>
      </c>
      <c r="P23" s="1048" t="s">
        <v>1697</v>
      </c>
      <c r="Q23" s="1048" t="s">
        <v>1960</v>
      </c>
      <c r="R23" s="1048"/>
      <c r="S23" s="1048" t="s">
        <v>1729</v>
      </c>
      <c r="T23" s="1049"/>
      <c r="U23" s="1050"/>
      <c r="V23" s="1050"/>
      <c r="W23" s="1051"/>
      <c r="X23" s="1052" t="s">
        <v>1986</v>
      </c>
      <c r="Y23" s="1053"/>
      <c r="Z23" s="1054"/>
      <c r="AA23" s="1051" t="s">
        <v>668</v>
      </c>
      <c r="AB23" s="1051" t="s">
        <v>667</v>
      </c>
      <c r="AC23" s="1055">
        <v>137500000</v>
      </c>
      <c r="AD23" s="1055">
        <f t="shared" si="18"/>
        <v>79348970</v>
      </c>
      <c r="AE23" s="1055">
        <v>58151030</v>
      </c>
      <c r="AF23" s="1055">
        <v>954861.11111111112</v>
      </c>
      <c r="AG23" s="1055">
        <v>954861.11111111112</v>
      </c>
      <c r="AH23" s="1055">
        <v>954861.11111111112</v>
      </c>
      <c r="AI23" s="1055">
        <v>954861.11111111112</v>
      </c>
      <c r="AJ23" s="1055">
        <v>954861.11111111112</v>
      </c>
      <c r="AK23" s="1055">
        <v>954861.11111111112</v>
      </c>
      <c r="AL23" s="1055">
        <v>954861.11111111112</v>
      </c>
      <c r="AM23" s="1055">
        <v>954861.11111111112</v>
      </c>
      <c r="AN23" s="1055">
        <v>954861.11111111112</v>
      </c>
      <c r="AO23" s="1055">
        <v>954861.11111111112</v>
      </c>
      <c r="AP23" s="1055">
        <v>954861.11111111112</v>
      </c>
      <c r="AQ23" s="1055">
        <v>954861.11111111112</v>
      </c>
      <c r="AR23" s="1056">
        <f t="shared" si="20"/>
        <v>11458333.333333336</v>
      </c>
      <c r="AS23" s="1056">
        <f>CAPEX_2025[[#This Row],[Giá trị còn lại]]-CAPEX_2025[[#This Row],[Kế hoạch 2026]]</f>
        <v>46692696.666666664</v>
      </c>
    </row>
    <row r="24" spans="1:45" s="1057" customFormat="1" ht="27" customHeight="1" outlineLevel="2" x14ac:dyDescent="0.25">
      <c r="A24" s="1042" t="s">
        <v>543</v>
      </c>
      <c r="B24" s="1043" t="s">
        <v>518</v>
      </c>
      <c r="C24" s="1043" t="s">
        <v>518</v>
      </c>
      <c r="D24" s="1043" t="s">
        <v>1697</v>
      </c>
      <c r="E24" s="1043" t="s">
        <v>1685</v>
      </c>
      <c r="F24" s="1043"/>
      <c r="G24" s="1043"/>
      <c r="H24" s="1043" t="s">
        <v>1694</v>
      </c>
      <c r="I24" s="1044" t="s">
        <v>1969</v>
      </c>
      <c r="J24" s="1045">
        <v>117000000</v>
      </c>
      <c r="K24" s="1043">
        <v>1</v>
      </c>
      <c r="L24" s="1045">
        <f>CAPEX_2025[[#This Row],[Đơn giá ( chưa bao gồm VAT)]]*CAPEX_2025[[#This Row],[Số lượng]]</f>
        <v>117000000</v>
      </c>
      <c r="M24" s="1047">
        <f>CAPEX_2025[[#This Row],[Tổng giá trị
(VND)]]/$M$5</f>
        <v>4415.0943396226412</v>
      </c>
      <c r="N24" s="1046">
        <v>44866</v>
      </c>
      <c r="O24" s="1062">
        <v>144</v>
      </c>
      <c r="P24" s="1048" t="s">
        <v>1697</v>
      </c>
      <c r="Q24" s="1048" t="s">
        <v>1960</v>
      </c>
      <c r="R24" s="1048"/>
      <c r="S24" s="1048" t="s">
        <v>1729</v>
      </c>
      <c r="T24" s="1049"/>
      <c r="U24" s="1050"/>
      <c r="V24" s="1050"/>
      <c r="W24" s="1051"/>
      <c r="X24" s="1052" t="s">
        <v>1975</v>
      </c>
      <c r="Y24" s="1053"/>
      <c r="Z24" s="1054"/>
      <c r="AA24" s="1051" t="s">
        <v>668</v>
      </c>
      <c r="AB24" s="1051" t="s">
        <v>667</v>
      </c>
      <c r="AC24" s="1055">
        <v>117000000</v>
      </c>
      <c r="AD24" s="1055">
        <f t="shared" si="18"/>
        <v>76050000</v>
      </c>
      <c r="AE24" s="1055">
        <v>40950000</v>
      </c>
      <c r="AF24" s="1055">
        <v>812500</v>
      </c>
      <c r="AG24" s="1055">
        <v>812500</v>
      </c>
      <c r="AH24" s="1055">
        <v>812500</v>
      </c>
      <c r="AI24" s="1055">
        <v>812500</v>
      </c>
      <c r="AJ24" s="1055">
        <v>812500</v>
      </c>
      <c r="AK24" s="1055">
        <v>812500</v>
      </c>
      <c r="AL24" s="1055">
        <v>812500</v>
      </c>
      <c r="AM24" s="1055">
        <v>812500</v>
      </c>
      <c r="AN24" s="1055">
        <v>812500</v>
      </c>
      <c r="AO24" s="1055">
        <v>812500</v>
      </c>
      <c r="AP24" s="1055">
        <v>812500</v>
      </c>
      <c r="AQ24" s="1055">
        <v>812500</v>
      </c>
      <c r="AR24" s="1056">
        <f t="shared" si="20"/>
        <v>9750000</v>
      </c>
      <c r="AS24" s="1056">
        <f>CAPEX_2025[[#This Row],[Giá trị còn lại]]-CAPEX_2025[[#This Row],[Kế hoạch 2026]]</f>
        <v>31200000</v>
      </c>
    </row>
    <row r="25" spans="1:45" s="1057" customFormat="1" ht="27" customHeight="1" outlineLevel="2" x14ac:dyDescent="0.25">
      <c r="A25" s="1042" t="s">
        <v>544</v>
      </c>
      <c r="B25" s="1043" t="s">
        <v>518</v>
      </c>
      <c r="C25" s="1043" t="s">
        <v>518</v>
      </c>
      <c r="D25" s="1043" t="s">
        <v>1697</v>
      </c>
      <c r="E25" s="1043" t="s">
        <v>1685</v>
      </c>
      <c r="F25" s="1043"/>
      <c r="G25" s="1043"/>
      <c r="H25" s="1043" t="s">
        <v>1694</v>
      </c>
      <c r="I25" s="1044" t="s">
        <v>1954</v>
      </c>
      <c r="J25" s="1045">
        <v>821596267</v>
      </c>
      <c r="K25" s="1043">
        <v>1</v>
      </c>
      <c r="L25" s="1045">
        <f>CAPEX_2025[[#This Row],[Đơn giá ( chưa bao gồm VAT)]]*CAPEX_2025[[#This Row],[Số lượng]]</f>
        <v>821596267</v>
      </c>
      <c r="M25" s="1047">
        <f>CAPEX_2025[[#This Row],[Tổng giá trị
(VND)]]/$M$5</f>
        <v>31003.632716981134</v>
      </c>
      <c r="N25" s="1046">
        <v>44866</v>
      </c>
      <c r="O25" s="1062">
        <v>144</v>
      </c>
      <c r="P25" s="1048" t="s">
        <v>1697</v>
      </c>
      <c r="Q25" s="1048" t="s">
        <v>1960</v>
      </c>
      <c r="R25" s="1048"/>
      <c r="S25" s="1048" t="s">
        <v>1729</v>
      </c>
      <c r="T25" s="1049"/>
      <c r="U25" s="1050"/>
      <c r="V25" s="1050"/>
      <c r="W25" s="1051"/>
      <c r="X25" s="1052" t="s">
        <v>1955</v>
      </c>
      <c r="Y25" s="1053"/>
      <c r="Z25" s="1054"/>
      <c r="AA25" s="1051" t="s">
        <v>668</v>
      </c>
      <c r="AB25" s="1051" t="s">
        <v>667</v>
      </c>
      <c r="AC25" s="1055">
        <v>821596267</v>
      </c>
      <c r="AD25" s="1055">
        <f t="shared" si="18"/>
        <v>549268695.35000002</v>
      </c>
      <c r="AE25" s="1055">
        <v>272327571.64999998</v>
      </c>
      <c r="AF25" s="1055">
        <v>5705529.631944444</v>
      </c>
      <c r="AG25" s="1055">
        <v>5705529.631944444</v>
      </c>
      <c r="AH25" s="1055">
        <v>5705529.631944444</v>
      </c>
      <c r="AI25" s="1055">
        <v>5705529.631944444</v>
      </c>
      <c r="AJ25" s="1055">
        <v>5705529.631944444</v>
      </c>
      <c r="AK25" s="1055">
        <v>5705529.631944444</v>
      </c>
      <c r="AL25" s="1055">
        <v>5705529.631944444</v>
      </c>
      <c r="AM25" s="1055">
        <v>5705529.631944444</v>
      </c>
      <c r="AN25" s="1055">
        <v>5705529.631944444</v>
      </c>
      <c r="AO25" s="1055">
        <v>5705529.631944444</v>
      </c>
      <c r="AP25" s="1055">
        <v>5705529.631944444</v>
      </c>
      <c r="AQ25" s="1055">
        <v>5705529.631944444</v>
      </c>
      <c r="AR25" s="1056">
        <f t="shared" si="20"/>
        <v>68466355.583333343</v>
      </c>
      <c r="AS25" s="1056">
        <f>CAPEX_2025[[#This Row],[Giá trị còn lại]]-CAPEX_2025[[#This Row],[Kế hoạch 2026]]</f>
        <v>203861216.06666663</v>
      </c>
    </row>
    <row r="26" spans="1:45" s="1057" customFormat="1" ht="27" customHeight="1" outlineLevel="2" x14ac:dyDescent="0.25">
      <c r="A26" s="1042" t="s">
        <v>1971</v>
      </c>
      <c r="B26" s="1043" t="s">
        <v>518</v>
      </c>
      <c r="C26" s="1043" t="s">
        <v>518</v>
      </c>
      <c r="D26" s="1043" t="s">
        <v>1697</v>
      </c>
      <c r="E26" s="1043" t="s">
        <v>1685</v>
      </c>
      <c r="F26" s="1043"/>
      <c r="G26" s="1043"/>
      <c r="H26" s="1043" t="s">
        <v>1694</v>
      </c>
      <c r="I26" s="1044" t="s">
        <v>1973</v>
      </c>
      <c r="J26" s="1045">
        <v>196650000</v>
      </c>
      <c r="K26" s="1043">
        <v>1</v>
      </c>
      <c r="L26" s="1045">
        <f>CAPEX_2025[[#This Row],[Đơn giá ( chưa bao gồm VAT)]]*CAPEX_2025[[#This Row],[Số lượng]]</f>
        <v>196650000</v>
      </c>
      <c r="M26" s="1047">
        <f>CAPEX_2025[[#This Row],[Tổng giá trị
(VND)]]/$M$5</f>
        <v>7420.7547169811323</v>
      </c>
      <c r="N26" s="1046">
        <v>44866</v>
      </c>
      <c r="O26" s="1062">
        <v>144</v>
      </c>
      <c r="P26" s="1048" t="s">
        <v>1697</v>
      </c>
      <c r="Q26" s="1048" t="s">
        <v>1960</v>
      </c>
      <c r="R26" s="1048"/>
      <c r="S26" s="1048" t="s">
        <v>1729</v>
      </c>
      <c r="T26" s="1049"/>
      <c r="U26" s="1050"/>
      <c r="V26" s="1050"/>
      <c r="W26" s="1051"/>
      <c r="X26" s="1052" t="s">
        <v>1976</v>
      </c>
      <c r="Y26" s="1053"/>
      <c r="Z26" s="1054"/>
      <c r="AA26" s="1051" t="s">
        <v>668</v>
      </c>
      <c r="AB26" s="1051" t="s">
        <v>667</v>
      </c>
      <c r="AC26" s="1055">
        <v>196650000</v>
      </c>
      <c r="AD26" s="1055">
        <f t="shared" si="18"/>
        <v>155135000</v>
      </c>
      <c r="AE26" s="1055">
        <v>41515000</v>
      </c>
      <c r="AF26" s="1055">
        <v>1365625</v>
      </c>
      <c r="AG26" s="1055">
        <v>1365625</v>
      </c>
      <c r="AH26" s="1055">
        <v>1365625</v>
      </c>
      <c r="AI26" s="1055">
        <v>1365625</v>
      </c>
      <c r="AJ26" s="1055">
        <v>1365625</v>
      </c>
      <c r="AK26" s="1055">
        <v>1365625</v>
      </c>
      <c r="AL26" s="1055">
        <v>1365625</v>
      </c>
      <c r="AM26" s="1055">
        <v>1365625</v>
      </c>
      <c r="AN26" s="1055">
        <v>1365625</v>
      </c>
      <c r="AO26" s="1055">
        <v>1365625</v>
      </c>
      <c r="AP26" s="1055">
        <v>1365625</v>
      </c>
      <c r="AQ26" s="1055">
        <v>1365625</v>
      </c>
      <c r="AR26" s="1056">
        <f t="shared" si="20"/>
        <v>16387500</v>
      </c>
      <c r="AS26" s="1056">
        <f>CAPEX_2025[[#This Row],[Giá trị còn lại]]-CAPEX_2025[[#This Row],[Kế hoạch 2026]]</f>
        <v>25127500</v>
      </c>
    </row>
    <row r="27" spans="1:45" s="1057" customFormat="1" ht="27" customHeight="1" outlineLevel="2" x14ac:dyDescent="0.25">
      <c r="A27" s="1042" t="s">
        <v>1972</v>
      </c>
      <c r="B27" s="1043" t="s">
        <v>518</v>
      </c>
      <c r="C27" s="1043" t="s">
        <v>518</v>
      </c>
      <c r="D27" s="1043" t="s">
        <v>1697</v>
      </c>
      <c r="E27" s="1043" t="s">
        <v>1685</v>
      </c>
      <c r="F27" s="1043"/>
      <c r="G27" s="1043"/>
      <c r="H27" s="1043" t="s">
        <v>1694</v>
      </c>
      <c r="I27" s="1044" t="s">
        <v>1973</v>
      </c>
      <c r="J27" s="1045">
        <v>791100000</v>
      </c>
      <c r="K27" s="1043">
        <v>1</v>
      </c>
      <c r="L27" s="1045">
        <f>CAPEX_2025[[#This Row],[Đơn giá ( chưa bao gồm VAT)]]*CAPEX_2025[[#This Row],[Số lượng]]</f>
        <v>791100000</v>
      </c>
      <c r="M27" s="1047">
        <f>CAPEX_2025[[#This Row],[Tổng giá trị
(VND)]]/$M$5</f>
        <v>29852.830188679247</v>
      </c>
      <c r="N27" s="1046">
        <v>44896</v>
      </c>
      <c r="O27" s="1062">
        <v>144</v>
      </c>
      <c r="P27" s="1048" t="s">
        <v>1697</v>
      </c>
      <c r="Q27" s="1048" t="s">
        <v>1960</v>
      </c>
      <c r="R27" s="1048"/>
      <c r="S27" s="1048" t="s">
        <v>1729</v>
      </c>
      <c r="T27" s="1049"/>
      <c r="U27" s="1050"/>
      <c r="V27" s="1050"/>
      <c r="W27" s="1051"/>
      <c r="X27" s="1052" t="s">
        <v>1977</v>
      </c>
      <c r="Y27" s="1053"/>
      <c r="Z27" s="1054"/>
      <c r="AA27" s="1051" t="s">
        <v>668</v>
      </c>
      <c r="AB27" s="1051" t="s">
        <v>667</v>
      </c>
      <c r="AC27" s="1055">
        <v>791100000</v>
      </c>
      <c r="AD27" s="1055">
        <f t="shared" si="15"/>
        <v>490304992</v>
      </c>
      <c r="AE27" s="1055">
        <v>300795008</v>
      </c>
      <c r="AF27" s="1055">
        <v>5493750</v>
      </c>
      <c r="AG27" s="1055">
        <v>5493750</v>
      </c>
      <c r="AH27" s="1055">
        <v>5493750</v>
      </c>
      <c r="AI27" s="1055">
        <v>5493750</v>
      </c>
      <c r="AJ27" s="1055">
        <v>5493750</v>
      </c>
      <c r="AK27" s="1055">
        <v>5493750</v>
      </c>
      <c r="AL27" s="1055">
        <v>5493750</v>
      </c>
      <c r="AM27" s="1055">
        <v>5493750</v>
      </c>
      <c r="AN27" s="1055">
        <v>5493750</v>
      </c>
      <c r="AO27" s="1055">
        <v>5493750</v>
      </c>
      <c r="AP27" s="1055">
        <v>5493750</v>
      </c>
      <c r="AQ27" s="1055">
        <v>5493750</v>
      </c>
      <c r="AR27" s="1056">
        <f t="shared" si="20"/>
        <v>65925000</v>
      </c>
      <c r="AS27" s="1056">
        <f>CAPEX_2025[[#This Row],[Giá trị còn lại]]-CAPEX_2025[[#This Row],[Kế hoạch 2026]]</f>
        <v>234870008</v>
      </c>
    </row>
    <row r="28" spans="1:45" s="1097" customFormat="1" ht="27" customHeight="1" outlineLevel="1" x14ac:dyDescent="0.25">
      <c r="A28" s="1084">
        <v>4</v>
      </c>
      <c r="B28" s="1084" t="s">
        <v>518</v>
      </c>
      <c r="C28" s="1084" t="s">
        <v>518</v>
      </c>
      <c r="D28" s="1084" t="s">
        <v>1691</v>
      </c>
      <c r="E28" s="1084" t="s">
        <v>1685</v>
      </c>
      <c r="F28" s="1084"/>
      <c r="G28" s="1084"/>
      <c r="H28" s="1084" t="s">
        <v>1694</v>
      </c>
      <c r="I28" s="1085" t="s">
        <v>1978</v>
      </c>
      <c r="J28" s="1086">
        <v>357160500</v>
      </c>
      <c r="K28" s="1084">
        <v>1</v>
      </c>
      <c r="L28" s="1086">
        <f>CAPEX_2025[[#This Row],[Đơn giá ( chưa bao gồm VAT)]]*CAPEX_2025[[#This Row],[Số lượng]]</f>
        <v>357160500</v>
      </c>
      <c r="M28" s="1088">
        <f>CAPEX_2025[[#This Row],[Tổng giá trị
(VND)]]/$M$5</f>
        <v>13477.754716981131</v>
      </c>
      <c r="N28" s="1098">
        <v>45597</v>
      </c>
      <c r="O28" s="1088">
        <v>120</v>
      </c>
      <c r="P28" s="1089" t="s">
        <v>1691</v>
      </c>
      <c r="Q28" s="1090" t="s">
        <v>1960</v>
      </c>
      <c r="R28" s="1089"/>
      <c r="S28" s="1091"/>
      <c r="T28" s="682"/>
      <c r="U28" s="1092"/>
      <c r="V28" s="1092"/>
      <c r="W28" s="1093"/>
      <c r="X28" s="1099" t="s">
        <v>1979</v>
      </c>
      <c r="Y28" s="1094">
        <v>642</v>
      </c>
      <c r="Z28" s="1095">
        <v>6424001904</v>
      </c>
      <c r="AA28" s="1096" t="s">
        <v>497</v>
      </c>
      <c r="AB28" s="1096" t="s">
        <v>669</v>
      </c>
      <c r="AC28" s="1025">
        <v>357160500</v>
      </c>
      <c r="AD28" s="1025">
        <f t="shared" si="15"/>
        <v>83337450</v>
      </c>
      <c r="AE28" s="1025">
        <v>273823050</v>
      </c>
      <c r="AF28" s="1025">
        <v>2976337.5</v>
      </c>
      <c r="AG28" s="1025">
        <v>2976337.5</v>
      </c>
      <c r="AH28" s="1025">
        <v>2976337.5</v>
      </c>
      <c r="AI28" s="1025">
        <v>2976337.5</v>
      </c>
      <c r="AJ28" s="1025">
        <v>2976337.5</v>
      </c>
      <c r="AK28" s="1025">
        <v>2976337.5</v>
      </c>
      <c r="AL28" s="1025">
        <v>2976337.5</v>
      </c>
      <c r="AM28" s="1025">
        <v>2976337.5</v>
      </c>
      <c r="AN28" s="1025">
        <v>2976337.5</v>
      </c>
      <c r="AO28" s="1025">
        <v>2976337.5</v>
      </c>
      <c r="AP28" s="1025">
        <v>2976337.5</v>
      </c>
      <c r="AQ28" s="1025">
        <v>2976337.5</v>
      </c>
      <c r="AR28" s="1025">
        <f t="shared" si="20"/>
        <v>35716050</v>
      </c>
      <c r="AS28" s="1025">
        <f>AE28-AR28</f>
        <v>238107000</v>
      </c>
    </row>
    <row r="29" spans="1:45" s="1097" customFormat="1" ht="27" customHeight="1" outlineLevel="1" x14ac:dyDescent="0.25">
      <c r="A29" s="1084">
        <v>5</v>
      </c>
      <c r="B29" s="1084" t="s">
        <v>518</v>
      </c>
      <c r="C29" s="1084" t="s">
        <v>518</v>
      </c>
      <c r="D29" s="1084" t="s">
        <v>1697</v>
      </c>
      <c r="E29" s="1084" t="s">
        <v>1685</v>
      </c>
      <c r="F29" s="1084"/>
      <c r="G29" s="1084"/>
      <c r="H29" s="1084" t="s">
        <v>1694</v>
      </c>
      <c r="I29" s="1085" t="s">
        <v>1980</v>
      </c>
      <c r="J29" s="1086">
        <v>280000000</v>
      </c>
      <c r="K29" s="1084">
        <v>1</v>
      </c>
      <c r="L29" s="1086">
        <f>CAPEX_2025[[#This Row],[Đơn giá ( chưa bao gồm VAT)]]*CAPEX_2025[[#This Row],[Số lượng]]</f>
        <v>280000000</v>
      </c>
      <c r="M29" s="1088">
        <f>CAPEX_2025[[#This Row],[Tổng giá trị
(VND)]]/$M$5</f>
        <v>10566.037735849057</v>
      </c>
      <c r="N29" s="1098">
        <v>45597</v>
      </c>
      <c r="O29" s="1088">
        <v>144</v>
      </c>
      <c r="P29" s="1089" t="s">
        <v>1697</v>
      </c>
      <c r="Q29" s="1090" t="s">
        <v>1960</v>
      </c>
      <c r="R29" s="1089"/>
      <c r="S29" s="1091"/>
      <c r="T29" s="682"/>
      <c r="U29" s="1092"/>
      <c r="V29" s="1092"/>
      <c r="W29" s="1093"/>
      <c r="X29" s="1099" t="s">
        <v>1981</v>
      </c>
      <c r="Y29" s="1094">
        <v>627</v>
      </c>
      <c r="Z29" s="1095">
        <v>6274001906</v>
      </c>
      <c r="AA29" s="1096" t="s">
        <v>671</v>
      </c>
      <c r="AB29" s="1096" t="s">
        <v>667</v>
      </c>
      <c r="AC29" s="1025">
        <v>280000000</v>
      </c>
      <c r="AD29" s="1025">
        <f t="shared" ref="AD29" si="21">AC29-AE29</f>
        <v>65333337</v>
      </c>
      <c r="AE29" s="1025">
        <v>214666663</v>
      </c>
      <c r="AF29" s="1025">
        <v>1944444.4444444445</v>
      </c>
      <c r="AG29" s="1025">
        <v>1944444.4444444445</v>
      </c>
      <c r="AH29" s="1025">
        <v>1944444.4444444445</v>
      </c>
      <c r="AI29" s="1025">
        <v>1944444.4444444445</v>
      </c>
      <c r="AJ29" s="1025">
        <v>1944444.4444444445</v>
      </c>
      <c r="AK29" s="1025">
        <v>1944444.4444444445</v>
      </c>
      <c r="AL29" s="1025">
        <v>1944444.4444444445</v>
      </c>
      <c r="AM29" s="1025">
        <v>1944444.4444444445</v>
      </c>
      <c r="AN29" s="1025">
        <v>1944444.4444444445</v>
      </c>
      <c r="AO29" s="1025">
        <v>1944444.4444444445</v>
      </c>
      <c r="AP29" s="1025">
        <v>1944444.4444444445</v>
      </c>
      <c r="AQ29" s="1025">
        <v>1944444.4444444445</v>
      </c>
      <c r="AR29" s="1025">
        <f t="shared" si="20"/>
        <v>23333333.333333332</v>
      </c>
      <c r="AS29" s="1025">
        <f>AE29-AR29</f>
        <v>191333329.66666666</v>
      </c>
    </row>
    <row r="30" spans="1:45" s="1097" customFormat="1" ht="27" customHeight="1" outlineLevel="1" x14ac:dyDescent="0.25">
      <c r="A30" s="1113">
        <v>6</v>
      </c>
      <c r="B30" s="1114" t="s">
        <v>516</v>
      </c>
      <c r="C30" s="1114" t="s">
        <v>516</v>
      </c>
      <c r="D30" s="1113" t="s">
        <v>1691</v>
      </c>
      <c r="E30" s="1113" t="s">
        <v>1685</v>
      </c>
      <c r="F30" s="1113"/>
      <c r="G30" s="1113"/>
      <c r="H30" s="1113" t="s">
        <v>1694</v>
      </c>
      <c r="I30" s="1115" t="s">
        <v>1982</v>
      </c>
      <c r="J30" s="1116">
        <v>30550000</v>
      </c>
      <c r="K30" s="1113">
        <v>1</v>
      </c>
      <c r="L30" s="1116">
        <f>CAPEX_2025[[#This Row],[Đơn giá ( chưa bao gồm VAT)]]*CAPEX_2025[[#This Row],[Số lượng]]</f>
        <v>30550000</v>
      </c>
      <c r="M30" s="1118">
        <f>CAPEX_2025[[#This Row],[Tổng giá trị
(VND)]]/$M$5</f>
        <v>1152.8301886792453</v>
      </c>
      <c r="N30" s="1117">
        <v>45658</v>
      </c>
      <c r="O30" s="1118">
        <v>60</v>
      </c>
      <c r="P30" s="1119" t="s">
        <v>1691</v>
      </c>
      <c r="Q30" s="1120" t="s">
        <v>1960</v>
      </c>
      <c r="R30" s="1119"/>
      <c r="S30" s="1121"/>
      <c r="T30" s="683"/>
      <c r="U30" s="1122"/>
      <c r="V30" s="1122"/>
      <c r="W30" s="1123"/>
      <c r="X30" s="1124" t="s">
        <v>1983</v>
      </c>
      <c r="Y30" s="1125">
        <v>627</v>
      </c>
      <c r="Z30" s="1126">
        <v>6274001904</v>
      </c>
      <c r="AA30" s="1127" t="s">
        <v>497</v>
      </c>
      <c r="AB30" s="1127" t="s">
        <v>669</v>
      </c>
      <c r="AC30" s="1101">
        <v>30550000</v>
      </c>
      <c r="AD30" s="1101">
        <f t="shared" ref="AD30" si="22">AC30-AE30</f>
        <v>6110003</v>
      </c>
      <c r="AE30" s="1101">
        <v>24439997</v>
      </c>
      <c r="AF30" s="1101">
        <v>509166.66666666669</v>
      </c>
      <c r="AG30" s="1101">
        <v>509166.66666666669</v>
      </c>
      <c r="AH30" s="1101">
        <v>509166.66666666669</v>
      </c>
      <c r="AI30" s="1101">
        <v>509166.66666666669</v>
      </c>
      <c r="AJ30" s="1101">
        <v>509166.66666666669</v>
      </c>
      <c r="AK30" s="1101">
        <v>509166.66666666669</v>
      </c>
      <c r="AL30" s="1101">
        <v>509166.66666666669</v>
      </c>
      <c r="AM30" s="1101">
        <v>509166.66666666669</v>
      </c>
      <c r="AN30" s="1101">
        <v>509166.66666666669</v>
      </c>
      <c r="AO30" s="1101">
        <v>509166.66666666669</v>
      </c>
      <c r="AP30" s="1101">
        <v>509166.66666666669</v>
      </c>
      <c r="AQ30" s="1101">
        <v>509166.66666666669</v>
      </c>
      <c r="AR30" s="1101">
        <f t="shared" si="16"/>
        <v>6110000.0000000009</v>
      </c>
      <c r="AS30" s="1101">
        <f>AE30-AR30</f>
        <v>18329997</v>
      </c>
    </row>
    <row r="31" spans="1:45" s="1097" customFormat="1" ht="27" customHeight="1" outlineLevel="1" x14ac:dyDescent="0.25">
      <c r="A31" s="1113">
        <v>7</v>
      </c>
      <c r="B31" s="1084" t="s">
        <v>518</v>
      </c>
      <c r="C31" s="1084" t="s">
        <v>518</v>
      </c>
      <c r="D31" s="1084" t="s">
        <v>1702</v>
      </c>
      <c r="E31" s="1084" t="s">
        <v>1685</v>
      </c>
      <c r="F31" s="1084"/>
      <c r="G31" s="1084"/>
      <c r="H31" s="1084" t="s">
        <v>1694</v>
      </c>
      <c r="I31" s="1085"/>
      <c r="J31" s="1086">
        <v>344100000</v>
      </c>
      <c r="K31" s="1084">
        <v>1</v>
      </c>
      <c r="L31" s="1086">
        <f>CAPEX_2025[[#This Row],[Đơn giá ( chưa bao gồm VAT)]]*CAPEX_2025[[#This Row],[Số lượng]]</f>
        <v>344100000</v>
      </c>
      <c r="M31" s="1088">
        <f>CAPEX_2025[[#This Row],[Tổng giá trị
(VND)]]/$M$5</f>
        <v>12984.905660377359</v>
      </c>
      <c r="N31" s="1098">
        <v>44866</v>
      </c>
      <c r="O31" s="1088">
        <v>120</v>
      </c>
      <c r="P31" s="1089" t="s">
        <v>1702</v>
      </c>
      <c r="Q31" s="1090" t="s">
        <v>1960</v>
      </c>
      <c r="R31" s="1089"/>
      <c r="S31" s="1091"/>
      <c r="T31" s="682"/>
      <c r="U31" s="1092"/>
      <c r="V31" s="1092"/>
      <c r="W31" s="1093"/>
      <c r="X31" s="1099" t="s">
        <v>2127</v>
      </c>
      <c r="Y31" s="1094">
        <v>627</v>
      </c>
      <c r="Z31" s="1095">
        <v>6274001905</v>
      </c>
      <c r="AA31" s="1096" t="s">
        <v>498</v>
      </c>
      <c r="AB31" s="1096" t="s">
        <v>670</v>
      </c>
      <c r="AC31" s="1025">
        <v>344100000</v>
      </c>
      <c r="AD31" s="1025">
        <f t="shared" ref="AD31" si="23">AC31-AE31</f>
        <v>245766106</v>
      </c>
      <c r="AE31" s="1025">
        <v>98333894</v>
      </c>
      <c r="AF31" s="1025">
        <v>2867500</v>
      </c>
      <c r="AG31" s="1025">
        <v>2867500</v>
      </c>
      <c r="AH31" s="1025">
        <v>2867500</v>
      </c>
      <c r="AI31" s="1025">
        <v>2867500</v>
      </c>
      <c r="AJ31" s="1025">
        <v>2867500</v>
      </c>
      <c r="AK31" s="1025">
        <v>2867500</v>
      </c>
      <c r="AL31" s="1025">
        <v>2867500</v>
      </c>
      <c r="AM31" s="1025">
        <v>2867500</v>
      </c>
      <c r="AN31" s="1025">
        <v>2867500</v>
      </c>
      <c r="AO31" s="1025">
        <v>2867500</v>
      </c>
      <c r="AP31" s="1025">
        <v>2867500</v>
      </c>
      <c r="AQ31" s="1025">
        <v>2867500</v>
      </c>
      <c r="AR31" s="1025">
        <f t="shared" ref="AR31" si="24">SUM(AF31:AQ31)</f>
        <v>34410000</v>
      </c>
      <c r="AS31" s="1101">
        <f t="shared" ref="AS31:AS41" si="25">AE31-AR31</f>
        <v>63923894</v>
      </c>
    </row>
    <row r="32" spans="1:45" s="1097" customFormat="1" ht="27" customHeight="1" outlineLevel="1" x14ac:dyDescent="0.25">
      <c r="A32" s="1113">
        <v>8</v>
      </c>
      <c r="B32" s="1114" t="s">
        <v>518</v>
      </c>
      <c r="C32" s="1114" t="s">
        <v>518</v>
      </c>
      <c r="D32" s="1113" t="s">
        <v>1702</v>
      </c>
      <c r="E32" s="1113" t="s">
        <v>1685</v>
      </c>
      <c r="F32" s="1113"/>
      <c r="G32" s="1113"/>
      <c r="H32" s="1113" t="s">
        <v>1694</v>
      </c>
      <c r="I32" s="1115"/>
      <c r="J32" s="1116">
        <v>234840741</v>
      </c>
      <c r="K32" s="1113">
        <v>1</v>
      </c>
      <c r="L32" s="1116">
        <f>CAPEX_2025[[#This Row],[Đơn giá ( chưa bao gồm VAT)]]*CAPEX_2025[[#This Row],[Số lượng]]</f>
        <v>234840741</v>
      </c>
      <c r="M32" s="1118">
        <f>CAPEX_2025[[#This Row],[Tổng giá trị
(VND)]]/$M$5</f>
        <v>8861.9147547169814</v>
      </c>
      <c r="N32" s="1117">
        <v>44866</v>
      </c>
      <c r="O32" s="1088">
        <v>120</v>
      </c>
      <c r="P32" s="1119" t="s">
        <v>1702</v>
      </c>
      <c r="Q32" s="1120" t="s">
        <v>1960</v>
      </c>
      <c r="R32" s="1119"/>
      <c r="S32" s="1121"/>
      <c r="T32" s="683"/>
      <c r="U32" s="1122"/>
      <c r="V32" s="1122"/>
      <c r="W32" s="1123"/>
      <c r="X32" s="1124" t="s">
        <v>2128</v>
      </c>
      <c r="Y32" s="1125">
        <v>627</v>
      </c>
      <c r="Z32" s="1126">
        <v>6274001905</v>
      </c>
      <c r="AA32" s="1127" t="s">
        <v>498</v>
      </c>
      <c r="AB32" s="1127" t="s">
        <v>670</v>
      </c>
      <c r="AC32" s="1101">
        <v>234840741</v>
      </c>
      <c r="AD32" s="1101">
        <f t="shared" ref="AD32:AD45" si="26">AC32-AE32</f>
        <v>167340190.05000001</v>
      </c>
      <c r="AE32" s="1101">
        <v>67500550.950000003</v>
      </c>
      <c r="AF32" s="1101">
        <v>1957006.175</v>
      </c>
      <c r="AG32" s="1101">
        <v>1957006.175</v>
      </c>
      <c r="AH32" s="1101">
        <v>1957006.175</v>
      </c>
      <c r="AI32" s="1101">
        <v>1957006.175</v>
      </c>
      <c r="AJ32" s="1101">
        <v>1957006.175</v>
      </c>
      <c r="AK32" s="1101">
        <v>1957006.175</v>
      </c>
      <c r="AL32" s="1101">
        <v>1957006.175</v>
      </c>
      <c r="AM32" s="1101">
        <v>1957006.175</v>
      </c>
      <c r="AN32" s="1101">
        <v>1957006.175</v>
      </c>
      <c r="AO32" s="1101">
        <v>1957006.175</v>
      </c>
      <c r="AP32" s="1101">
        <v>1957006.175</v>
      </c>
      <c r="AQ32" s="1101">
        <v>1957006.175</v>
      </c>
      <c r="AR32" s="1101">
        <f t="shared" ref="AR32:AR45" si="27">SUM(AF32:AQ32)</f>
        <v>23484074.100000005</v>
      </c>
      <c r="AS32" s="1101">
        <f t="shared" si="25"/>
        <v>44016476.849999994</v>
      </c>
    </row>
    <row r="33" spans="1:45" s="1097" customFormat="1" ht="27" customHeight="1" outlineLevel="1" x14ac:dyDescent="0.25">
      <c r="A33" s="1113">
        <v>9</v>
      </c>
      <c r="B33" s="1114" t="s">
        <v>518</v>
      </c>
      <c r="C33" s="1114" t="s">
        <v>518</v>
      </c>
      <c r="D33" s="1113" t="s">
        <v>1697</v>
      </c>
      <c r="E33" s="1113" t="s">
        <v>1685</v>
      </c>
      <c r="F33" s="1113"/>
      <c r="G33" s="1113"/>
      <c r="H33" s="1113" t="s">
        <v>1694</v>
      </c>
      <c r="I33" s="1115"/>
      <c r="J33" s="1116">
        <f>SUM(J34:J41)</f>
        <v>1106274590</v>
      </c>
      <c r="K33" s="1113">
        <v>1</v>
      </c>
      <c r="L33" s="1116">
        <f>CAPEX_2025[[#This Row],[Đơn giá ( chưa bao gồm VAT)]]*CAPEX_2025[[#This Row],[Số lượng]]</f>
        <v>1106274590</v>
      </c>
      <c r="M33" s="1118">
        <f>CAPEX_2025[[#This Row],[Tổng giá trị
(VND)]]/$M$5</f>
        <v>41746.210943396225</v>
      </c>
      <c r="N33" s="1117"/>
      <c r="O33" s="1118"/>
      <c r="P33" s="1119" t="s">
        <v>1697</v>
      </c>
      <c r="Q33" s="1120" t="s">
        <v>1960</v>
      </c>
      <c r="R33" s="1119"/>
      <c r="S33" s="1121"/>
      <c r="T33" s="683"/>
      <c r="U33" s="1122"/>
      <c r="V33" s="1122"/>
      <c r="W33" s="1123"/>
      <c r="X33" s="1124" t="s">
        <v>2142</v>
      </c>
      <c r="Y33" s="1125">
        <v>627</v>
      </c>
      <c r="Z33" s="1126">
        <v>6274001906</v>
      </c>
      <c r="AA33" s="1127" t="s">
        <v>671</v>
      </c>
      <c r="AB33" s="1127" t="s">
        <v>667</v>
      </c>
      <c r="AC33" s="1101">
        <f>SUM(AC34:AC41)</f>
        <v>1106274590</v>
      </c>
      <c r="AD33" s="1101">
        <f t="shared" si="26"/>
        <v>501752074.78571427</v>
      </c>
      <c r="AE33" s="1101">
        <f>SUM(AE34:AE41)</f>
        <v>604522515.21428573</v>
      </c>
      <c r="AF33" s="1101">
        <f t="shared" ref="AF33:AR33" si="28">SUM(AF34:AF41)</f>
        <v>7682462.430555556</v>
      </c>
      <c r="AG33" s="1101">
        <f t="shared" si="28"/>
        <v>7682462.430555556</v>
      </c>
      <c r="AH33" s="1101">
        <f t="shared" si="28"/>
        <v>7682462.430555556</v>
      </c>
      <c r="AI33" s="1101">
        <f t="shared" si="28"/>
        <v>7682462.430555556</v>
      </c>
      <c r="AJ33" s="1101">
        <f t="shared" si="28"/>
        <v>7682462.430555556</v>
      </c>
      <c r="AK33" s="1101">
        <f t="shared" si="28"/>
        <v>7682462.430555556</v>
      </c>
      <c r="AL33" s="1101">
        <f t="shared" si="28"/>
        <v>7682462.430555556</v>
      </c>
      <c r="AM33" s="1101">
        <f t="shared" si="28"/>
        <v>7682462.430555556</v>
      </c>
      <c r="AN33" s="1101">
        <f t="shared" si="28"/>
        <v>7682462.430555556</v>
      </c>
      <c r="AO33" s="1101">
        <f t="shared" si="28"/>
        <v>7682462.430555556</v>
      </c>
      <c r="AP33" s="1101">
        <f t="shared" si="28"/>
        <v>7682462.430555556</v>
      </c>
      <c r="AQ33" s="1101">
        <f t="shared" si="28"/>
        <v>7682462.430555556</v>
      </c>
      <c r="AR33" s="1101">
        <f t="shared" si="28"/>
        <v>92189549.166666672</v>
      </c>
      <c r="AS33" s="1101">
        <f t="shared" si="25"/>
        <v>512332966.04761904</v>
      </c>
    </row>
    <row r="34" spans="1:45" s="1057" customFormat="1" ht="27" customHeight="1" outlineLevel="2" x14ac:dyDescent="0.25">
      <c r="A34" s="1042" t="s">
        <v>548</v>
      </c>
      <c r="B34" s="1043" t="s">
        <v>518</v>
      </c>
      <c r="C34" s="1043" t="s">
        <v>518</v>
      </c>
      <c r="D34" s="1043" t="s">
        <v>1697</v>
      </c>
      <c r="E34" s="1113" t="s">
        <v>1685</v>
      </c>
      <c r="F34" s="1113"/>
      <c r="G34" s="1113"/>
      <c r="H34" s="1113" t="s">
        <v>1694</v>
      </c>
      <c r="I34" s="1043"/>
      <c r="J34" s="1045">
        <v>256303000</v>
      </c>
      <c r="K34" s="1176">
        <v>1</v>
      </c>
      <c r="L34" s="1045">
        <f>CAPEX_2025[[#This Row],[Đơn giá ( chưa bao gồm VAT)]]*CAPEX_2025[[#This Row],[Số lượng]]</f>
        <v>256303000</v>
      </c>
      <c r="M34" s="1047">
        <f>CAPEX_2025[[#This Row],[Tổng giá trị
(VND)]]/$M$5</f>
        <v>9671.8113207547176</v>
      </c>
      <c r="N34" s="1046">
        <v>44866</v>
      </c>
      <c r="O34" s="1047">
        <v>144</v>
      </c>
      <c r="P34" s="1048" t="s">
        <v>1697</v>
      </c>
      <c r="Q34" s="1048" t="s">
        <v>1960</v>
      </c>
      <c r="R34" s="1048"/>
      <c r="S34" s="1048"/>
      <c r="T34" s="1049"/>
      <c r="U34" s="1050"/>
      <c r="V34" s="1050"/>
      <c r="W34" s="1051"/>
      <c r="X34" s="1052" t="s">
        <v>2134</v>
      </c>
      <c r="Y34" s="1184"/>
      <c r="Z34" s="1054"/>
      <c r="AA34" s="1051" t="s">
        <v>671</v>
      </c>
      <c r="AB34" s="1051" t="s">
        <v>667</v>
      </c>
      <c r="AC34" s="1185">
        <v>256303000</v>
      </c>
      <c r="AD34" s="1101">
        <f t="shared" si="26"/>
        <v>171478912.57142857</v>
      </c>
      <c r="AE34" s="1185">
        <v>84824087.428571433</v>
      </c>
      <c r="AF34" s="1185">
        <v>1779881.9444444445</v>
      </c>
      <c r="AG34" s="1185">
        <v>1779881.9444444445</v>
      </c>
      <c r="AH34" s="1185">
        <v>1779881.9444444445</v>
      </c>
      <c r="AI34" s="1185">
        <v>1779881.9444444445</v>
      </c>
      <c r="AJ34" s="1185">
        <v>1779881.9444444445</v>
      </c>
      <c r="AK34" s="1185">
        <v>1779881.9444444445</v>
      </c>
      <c r="AL34" s="1185">
        <v>1779881.9444444445</v>
      </c>
      <c r="AM34" s="1185">
        <v>1779881.9444444445</v>
      </c>
      <c r="AN34" s="1185">
        <v>1779881.9444444445</v>
      </c>
      <c r="AO34" s="1185">
        <v>1779881.9444444445</v>
      </c>
      <c r="AP34" s="1185">
        <v>1779881.9444444445</v>
      </c>
      <c r="AQ34" s="1185">
        <v>1779881.9444444445</v>
      </c>
      <c r="AR34" s="1186">
        <f t="shared" ref="AR34:AR35" si="29">SUM(AF34:AQ34)</f>
        <v>21358583.333333332</v>
      </c>
      <c r="AS34" s="1185">
        <f t="shared" si="25"/>
        <v>63465504.095238104</v>
      </c>
    </row>
    <row r="35" spans="1:45" s="1057" customFormat="1" ht="27" customHeight="1" outlineLevel="2" x14ac:dyDescent="0.25">
      <c r="A35" s="1042" t="s">
        <v>1781</v>
      </c>
      <c r="B35" s="1043" t="s">
        <v>518</v>
      </c>
      <c r="C35" s="1043" t="s">
        <v>518</v>
      </c>
      <c r="D35" s="1043" t="s">
        <v>1697</v>
      </c>
      <c r="E35" s="1113" t="s">
        <v>1685</v>
      </c>
      <c r="F35" s="1113"/>
      <c r="G35" s="1113"/>
      <c r="H35" s="1113" t="s">
        <v>1694</v>
      </c>
      <c r="I35" s="1043"/>
      <c r="J35" s="1045">
        <v>24690500</v>
      </c>
      <c r="K35" s="1176">
        <v>1</v>
      </c>
      <c r="L35" s="1045">
        <f>CAPEX_2025[[#This Row],[Đơn giá ( chưa bao gồm VAT)]]*CAPEX_2025[[#This Row],[Số lượng]]</f>
        <v>24690500</v>
      </c>
      <c r="M35" s="1047">
        <f>CAPEX_2025[[#This Row],[Tổng giá trị
(VND)]]/$M$5</f>
        <v>931.71698113207549</v>
      </c>
      <c r="N35" s="1046">
        <v>44866</v>
      </c>
      <c r="O35" s="1047">
        <v>144</v>
      </c>
      <c r="P35" s="1048" t="s">
        <v>1697</v>
      </c>
      <c r="Q35" s="1048" t="s">
        <v>1960</v>
      </c>
      <c r="R35" s="1048"/>
      <c r="S35" s="1048"/>
      <c r="T35" s="1049"/>
      <c r="U35" s="1050"/>
      <c r="V35" s="1050"/>
      <c r="W35" s="1051"/>
      <c r="X35" s="1052" t="s">
        <v>2135</v>
      </c>
      <c r="Y35" s="1184"/>
      <c r="Z35" s="1054"/>
      <c r="AA35" s="1051" t="s">
        <v>671</v>
      </c>
      <c r="AB35" s="1051" t="s">
        <v>667</v>
      </c>
      <c r="AC35" s="1185">
        <v>24690500</v>
      </c>
      <c r="AD35" s="1101">
        <f t="shared" si="26"/>
        <v>16519125.571428571</v>
      </c>
      <c r="AE35" s="1185">
        <v>8171374.4285714291</v>
      </c>
      <c r="AF35" s="1185">
        <v>171461.80555555556</v>
      </c>
      <c r="AG35" s="1185">
        <v>171461.80555555556</v>
      </c>
      <c r="AH35" s="1185">
        <v>171461.80555555556</v>
      </c>
      <c r="AI35" s="1185">
        <v>171461.80555555556</v>
      </c>
      <c r="AJ35" s="1185">
        <v>171461.80555555556</v>
      </c>
      <c r="AK35" s="1185">
        <v>171461.80555555556</v>
      </c>
      <c r="AL35" s="1185">
        <v>171461.80555555556</v>
      </c>
      <c r="AM35" s="1185">
        <v>171461.80555555556</v>
      </c>
      <c r="AN35" s="1185">
        <v>171461.80555555556</v>
      </c>
      <c r="AO35" s="1185">
        <v>171461.80555555556</v>
      </c>
      <c r="AP35" s="1185">
        <v>171461.80555555556</v>
      </c>
      <c r="AQ35" s="1185">
        <v>171461.80555555556</v>
      </c>
      <c r="AR35" s="1186">
        <f t="shared" si="29"/>
        <v>2057541.6666666663</v>
      </c>
      <c r="AS35" s="1185">
        <f t="shared" si="25"/>
        <v>6113832.7619047631</v>
      </c>
    </row>
    <row r="36" spans="1:45" s="1057" customFormat="1" ht="27" customHeight="1" outlineLevel="2" x14ac:dyDescent="0.25">
      <c r="A36" s="1042" t="s">
        <v>1782</v>
      </c>
      <c r="B36" s="1043" t="s">
        <v>518</v>
      </c>
      <c r="C36" s="1043" t="s">
        <v>518</v>
      </c>
      <c r="D36" s="1043" t="s">
        <v>1697</v>
      </c>
      <c r="E36" s="1113" t="s">
        <v>1685</v>
      </c>
      <c r="F36" s="1113"/>
      <c r="G36" s="1113"/>
      <c r="H36" s="1113" t="s">
        <v>1694</v>
      </c>
      <c r="I36" s="1058" t="s">
        <v>2143</v>
      </c>
      <c r="J36" s="1177">
        <v>8897625</v>
      </c>
      <c r="K36" s="1176">
        <v>1</v>
      </c>
      <c r="L36" s="1177">
        <f>CAPEX_2025[[#This Row],[Đơn giá ( chưa bao gồm VAT)]]*CAPEX_2025[[#This Row],[Số lượng]]</f>
        <v>8897625</v>
      </c>
      <c r="M36" s="1047">
        <f>CAPEX_2025[[#This Row],[Tổng giá trị
(VND)]]/$M$5</f>
        <v>335.75943396226415</v>
      </c>
      <c r="N36" s="1046">
        <v>44866</v>
      </c>
      <c r="O36" s="1047">
        <v>144</v>
      </c>
      <c r="P36" s="1048" t="s">
        <v>1697</v>
      </c>
      <c r="Q36" s="1048" t="s">
        <v>1960</v>
      </c>
      <c r="R36" s="1048"/>
      <c r="S36" s="1048"/>
      <c r="T36" s="1049"/>
      <c r="U36" s="1050"/>
      <c r="V36" s="1050"/>
      <c r="W36" s="1051"/>
      <c r="X36" s="1052" t="s">
        <v>2136</v>
      </c>
      <c r="Y36" s="1184"/>
      <c r="Z36" s="1054"/>
      <c r="AA36" s="1051" t="s">
        <v>671</v>
      </c>
      <c r="AB36" s="1051" t="s">
        <v>667</v>
      </c>
      <c r="AC36" s="1185">
        <v>8897625</v>
      </c>
      <c r="AD36" s="1101">
        <f t="shared" si="26"/>
        <v>5952936.3214285709</v>
      </c>
      <c r="AE36" s="1185">
        <v>2944688.6785714286</v>
      </c>
      <c r="AF36" s="1185">
        <v>61789.0625</v>
      </c>
      <c r="AG36" s="1185">
        <v>61789.0625</v>
      </c>
      <c r="AH36" s="1185">
        <v>61789.0625</v>
      </c>
      <c r="AI36" s="1185">
        <v>61789.0625</v>
      </c>
      <c r="AJ36" s="1185">
        <v>61789.0625</v>
      </c>
      <c r="AK36" s="1185">
        <v>61789.0625</v>
      </c>
      <c r="AL36" s="1185">
        <v>61789.0625</v>
      </c>
      <c r="AM36" s="1185">
        <v>61789.0625</v>
      </c>
      <c r="AN36" s="1185">
        <v>61789.0625</v>
      </c>
      <c r="AO36" s="1185">
        <v>61789.0625</v>
      </c>
      <c r="AP36" s="1185">
        <v>61789.0625</v>
      </c>
      <c r="AQ36" s="1185">
        <v>61789.0625</v>
      </c>
      <c r="AR36" s="1186">
        <f t="shared" ref="AR36:AR38" si="30">SUM(AF36:AQ36)</f>
        <v>741468.75</v>
      </c>
      <c r="AS36" s="1185">
        <f t="shared" si="25"/>
        <v>2203219.9285714286</v>
      </c>
    </row>
    <row r="37" spans="1:45" s="1057" customFormat="1" ht="27" customHeight="1" outlineLevel="2" x14ac:dyDescent="0.25">
      <c r="A37" s="1042" t="s">
        <v>2129</v>
      </c>
      <c r="B37" s="1043" t="s">
        <v>518</v>
      </c>
      <c r="C37" s="1043" t="s">
        <v>518</v>
      </c>
      <c r="D37" s="1043" t="s">
        <v>1697</v>
      </c>
      <c r="E37" s="1113" t="s">
        <v>1685</v>
      </c>
      <c r="F37" s="1113"/>
      <c r="G37" s="1113"/>
      <c r="H37" s="1113" t="s">
        <v>1694</v>
      </c>
      <c r="I37" s="1058" t="s">
        <v>2143</v>
      </c>
      <c r="J37" s="1045">
        <v>99056275</v>
      </c>
      <c r="K37" s="1176">
        <v>1</v>
      </c>
      <c r="L37" s="1045">
        <f>CAPEX_2025[[#This Row],[Đơn giá ( chưa bao gồm VAT)]]*CAPEX_2025[[#This Row],[Số lượng]]</f>
        <v>99056275</v>
      </c>
      <c r="M37" s="1047">
        <f>CAPEX_2025[[#This Row],[Tổng giá trị
(VND)]]/$M$5</f>
        <v>3737.9726415094337</v>
      </c>
      <c r="N37" s="1046">
        <v>44866</v>
      </c>
      <c r="O37" s="1047">
        <v>144</v>
      </c>
      <c r="P37" s="1048" t="s">
        <v>1697</v>
      </c>
      <c r="Q37" s="1048" t="s">
        <v>1960</v>
      </c>
      <c r="R37" s="1048"/>
      <c r="S37" s="1048"/>
      <c r="T37" s="1049"/>
      <c r="U37" s="1050"/>
      <c r="V37" s="1050"/>
      <c r="W37" s="1051"/>
      <c r="X37" s="1052" t="s">
        <v>2137</v>
      </c>
      <c r="Y37" s="1184"/>
      <c r="Z37" s="1054"/>
      <c r="AA37" s="1051" t="s">
        <v>671</v>
      </c>
      <c r="AB37" s="1051" t="s">
        <v>667</v>
      </c>
      <c r="AC37" s="1185">
        <v>99056275</v>
      </c>
      <c r="AD37" s="1101">
        <f t="shared" si="26"/>
        <v>66273358.107142858</v>
      </c>
      <c r="AE37" s="1185">
        <v>32782916.892857142</v>
      </c>
      <c r="AF37" s="1185">
        <v>687890.79861111112</v>
      </c>
      <c r="AG37" s="1185">
        <v>687890.79861111112</v>
      </c>
      <c r="AH37" s="1185">
        <v>687890.79861111112</v>
      </c>
      <c r="AI37" s="1185">
        <v>687890.79861111112</v>
      </c>
      <c r="AJ37" s="1185">
        <v>687890.79861111112</v>
      </c>
      <c r="AK37" s="1185">
        <v>687890.79861111112</v>
      </c>
      <c r="AL37" s="1185">
        <v>687890.79861111112</v>
      </c>
      <c r="AM37" s="1185">
        <v>687890.79861111112</v>
      </c>
      <c r="AN37" s="1185">
        <v>687890.79861111112</v>
      </c>
      <c r="AO37" s="1185">
        <v>687890.79861111112</v>
      </c>
      <c r="AP37" s="1185">
        <v>687890.79861111112</v>
      </c>
      <c r="AQ37" s="1185">
        <v>687890.79861111112</v>
      </c>
      <c r="AR37" s="1186">
        <f t="shared" si="30"/>
        <v>8254689.583333333</v>
      </c>
      <c r="AS37" s="1185">
        <f t="shared" si="25"/>
        <v>24528227.30952381</v>
      </c>
    </row>
    <row r="38" spans="1:45" s="1057" customFormat="1" ht="27" customHeight="1" outlineLevel="2" x14ac:dyDescent="0.25">
      <c r="A38" s="1042" t="s">
        <v>2130</v>
      </c>
      <c r="B38" s="1043" t="s">
        <v>518</v>
      </c>
      <c r="C38" s="1043" t="s">
        <v>518</v>
      </c>
      <c r="D38" s="1043" t="s">
        <v>1697</v>
      </c>
      <c r="E38" s="1113" t="s">
        <v>1685</v>
      </c>
      <c r="F38" s="1113"/>
      <c r="G38" s="1113"/>
      <c r="H38" s="1113" t="s">
        <v>1694</v>
      </c>
      <c r="I38" s="1044" t="s">
        <v>2144</v>
      </c>
      <c r="J38" s="1177">
        <v>7410000</v>
      </c>
      <c r="K38" s="1176">
        <v>1</v>
      </c>
      <c r="L38" s="1177">
        <f>CAPEX_2025[[#This Row],[Đơn giá ( chưa bao gồm VAT)]]*CAPEX_2025[[#This Row],[Số lượng]]</f>
        <v>7410000</v>
      </c>
      <c r="M38" s="1047">
        <f>CAPEX_2025[[#This Row],[Tổng giá trị
(VND)]]/$M$5</f>
        <v>279.62264150943395</v>
      </c>
      <c r="N38" s="1046">
        <v>44866</v>
      </c>
      <c r="O38" s="1047">
        <v>144</v>
      </c>
      <c r="P38" s="1048" t="s">
        <v>1697</v>
      </c>
      <c r="Q38" s="1048" t="s">
        <v>1960</v>
      </c>
      <c r="R38" s="1048"/>
      <c r="S38" s="1048"/>
      <c r="T38" s="1049"/>
      <c r="U38" s="1050"/>
      <c r="V38" s="1050"/>
      <c r="W38" s="1051"/>
      <c r="X38" s="1052" t="s">
        <v>2138</v>
      </c>
      <c r="Y38" s="1184"/>
      <c r="Z38" s="1054"/>
      <c r="AA38" s="1051" t="s">
        <v>671</v>
      </c>
      <c r="AB38" s="1051" t="s">
        <v>667</v>
      </c>
      <c r="AC38" s="1185">
        <v>7410000</v>
      </c>
      <c r="AD38" s="1101">
        <f t="shared" si="26"/>
        <v>4957636.8571428573</v>
      </c>
      <c r="AE38" s="1185">
        <v>2452363.1428571427</v>
      </c>
      <c r="AF38" s="1185">
        <v>51458.333333333336</v>
      </c>
      <c r="AG38" s="1185">
        <v>51458.333333333336</v>
      </c>
      <c r="AH38" s="1185">
        <v>51458.333333333336</v>
      </c>
      <c r="AI38" s="1185">
        <v>51458.333333333336</v>
      </c>
      <c r="AJ38" s="1185">
        <v>51458.333333333336</v>
      </c>
      <c r="AK38" s="1185">
        <v>51458.333333333336</v>
      </c>
      <c r="AL38" s="1185">
        <v>51458.333333333336</v>
      </c>
      <c r="AM38" s="1185">
        <v>51458.333333333336</v>
      </c>
      <c r="AN38" s="1185">
        <v>51458.333333333336</v>
      </c>
      <c r="AO38" s="1185">
        <v>51458.333333333336</v>
      </c>
      <c r="AP38" s="1185">
        <v>51458.333333333336</v>
      </c>
      <c r="AQ38" s="1185">
        <v>51458.333333333336</v>
      </c>
      <c r="AR38" s="1186">
        <f t="shared" si="30"/>
        <v>617500</v>
      </c>
      <c r="AS38" s="1185">
        <f t="shared" si="25"/>
        <v>1834863.1428571427</v>
      </c>
    </row>
    <row r="39" spans="1:45" s="1057" customFormat="1" ht="27" customHeight="1" outlineLevel="2" x14ac:dyDescent="0.25">
      <c r="A39" s="1042" t="s">
        <v>2131</v>
      </c>
      <c r="B39" s="1043" t="s">
        <v>518</v>
      </c>
      <c r="C39" s="1043" t="s">
        <v>518</v>
      </c>
      <c r="D39" s="1043" t="s">
        <v>1697</v>
      </c>
      <c r="E39" s="1113" t="s">
        <v>1685</v>
      </c>
      <c r="F39" s="1113"/>
      <c r="G39" s="1113"/>
      <c r="H39" s="1113" t="s">
        <v>1694</v>
      </c>
      <c r="I39" s="1058" t="s">
        <v>2145</v>
      </c>
      <c r="J39" s="1045">
        <v>92494500</v>
      </c>
      <c r="K39" s="1176">
        <v>1</v>
      </c>
      <c r="L39" s="1045">
        <f>CAPEX_2025[[#This Row],[Đơn giá ( chưa bao gồm VAT)]]*CAPEX_2025[[#This Row],[Số lượng]]</f>
        <v>92494500</v>
      </c>
      <c r="M39" s="1047">
        <f>CAPEX_2025[[#This Row],[Tổng giá trị
(VND)]]/$M$5</f>
        <v>3490.3584905660377</v>
      </c>
      <c r="N39" s="1046">
        <v>44866</v>
      </c>
      <c r="O39" s="1047">
        <v>144</v>
      </c>
      <c r="P39" s="1048" t="s">
        <v>1697</v>
      </c>
      <c r="Q39" s="1048" t="s">
        <v>1960</v>
      </c>
      <c r="R39" s="1048"/>
      <c r="S39" s="1048"/>
      <c r="T39" s="1049"/>
      <c r="U39" s="1050"/>
      <c r="V39" s="1050"/>
      <c r="W39" s="1051"/>
      <c r="X39" s="1052" t="s">
        <v>2139</v>
      </c>
      <c r="Y39" s="1184"/>
      <c r="Z39" s="1054"/>
      <c r="AA39" s="1051" t="s">
        <v>671</v>
      </c>
      <c r="AB39" s="1051" t="s">
        <v>667</v>
      </c>
      <c r="AC39" s="1185">
        <v>92494500</v>
      </c>
      <c r="AD39" s="1101">
        <f t="shared" si="26"/>
        <v>61883225</v>
      </c>
      <c r="AE39" s="1185">
        <v>30611275</v>
      </c>
      <c r="AF39" s="1185">
        <v>642322.91666666663</v>
      </c>
      <c r="AG39" s="1185">
        <v>642322.91666666663</v>
      </c>
      <c r="AH39" s="1185">
        <v>642322.91666666663</v>
      </c>
      <c r="AI39" s="1185">
        <v>642322.91666666663</v>
      </c>
      <c r="AJ39" s="1185">
        <v>642322.91666666663</v>
      </c>
      <c r="AK39" s="1185">
        <v>642322.91666666663</v>
      </c>
      <c r="AL39" s="1185">
        <v>642322.91666666663</v>
      </c>
      <c r="AM39" s="1185">
        <v>642322.91666666663</v>
      </c>
      <c r="AN39" s="1185">
        <v>642322.91666666663</v>
      </c>
      <c r="AO39" s="1185">
        <v>642322.91666666663</v>
      </c>
      <c r="AP39" s="1185">
        <v>642322.91666666663</v>
      </c>
      <c r="AQ39" s="1185">
        <v>642322.91666666663</v>
      </c>
      <c r="AR39" s="1186">
        <f t="shared" ref="AR39:AR41" si="31">SUM(AF39:AQ39)</f>
        <v>7707875.0000000009</v>
      </c>
      <c r="AS39" s="1185">
        <f t="shared" si="25"/>
        <v>22903400</v>
      </c>
    </row>
    <row r="40" spans="1:45" s="1057" customFormat="1" ht="27" customHeight="1" outlineLevel="2" x14ac:dyDescent="0.25">
      <c r="A40" s="1042" t="s">
        <v>2132</v>
      </c>
      <c r="B40" s="1043" t="s">
        <v>518</v>
      </c>
      <c r="C40" s="1043" t="s">
        <v>518</v>
      </c>
      <c r="D40" s="1043" t="s">
        <v>1697</v>
      </c>
      <c r="E40" s="1113" t="s">
        <v>1685</v>
      </c>
      <c r="F40" s="1113"/>
      <c r="G40" s="1113"/>
      <c r="H40" s="1113" t="s">
        <v>1694</v>
      </c>
      <c r="I40" s="1044" t="s">
        <v>2080</v>
      </c>
      <c r="J40" s="1045">
        <v>301489000</v>
      </c>
      <c r="K40" s="1176">
        <v>1</v>
      </c>
      <c r="L40" s="1045">
        <f>CAPEX_2025[[#This Row],[Đơn giá ( chưa bao gồm VAT)]]*CAPEX_2025[[#This Row],[Số lượng]]</f>
        <v>301489000</v>
      </c>
      <c r="M40" s="1047">
        <f>CAPEX_2025[[#This Row],[Tổng giá trị
(VND)]]/$M$5</f>
        <v>11376.943396226416</v>
      </c>
      <c r="N40" s="1046">
        <v>44958</v>
      </c>
      <c r="O40" s="1047">
        <v>144</v>
      </c>
      <c r="P40" s="1048" t="s">
        <v>1697</v>
      </c>
      <c r="Q40" s="1048" t="s">
        <v>1960</v>
      </c>
      <c r="R40" s="1048"/>
      <c r="S40" s="1048"/>
      <c r="T40" s="1049"/>
      <c r="U40" s="1050"/>
      <c r="V40" s="1050"/>
      <c r="W40" s="1051"/>
      <c r="X40" s="1052" t="s">
        <v>2140</v>
      </c>
      <c r="Y40" s="1184"/>
      <c r="Z40" s="1054"/>
      <c r="AA40" s="1051" t="s">
        <v>671</v>
      </c>
      <c r="AB40" s="1051" t="s">
        <v>667</v>
      </c>
      <c r="AC40" s="1185">
        <v>301489000</v>
      </c>
      <c r="AD40" s="1101">
        <f t="shared" si="26"/>
        <v>122031269.2857143</v>
      </c>
      <c r="AE40" s="1185">
        <v>179457730.7142857</v>
      </c>
      <c r="AF40" s="1185">
        <v>2093673.611111111</v>
      </c>
      <c r="AG40" s="1185">
        <v>2093673.611111111</v>
      </c>
      <c r="AH40" s="1185">
        <v>2093673.611111111</v>
      </c>
      <c r="AI40" s="1185">
        <v>2093673.611111111</v>
      </c>
      <c r="AJ40" s="1185">
        <v>2093673.611111111</v>
      </c>
      <c r="AK40" s="1185">
        <v>2093673.611111111</v>
      </c>
      <c r="AL40" s="1185">
        <v>2093673.611111111</v>
      </c>
      <c r="AM40" s="1185">
        <v>2093673.611111111</v>
      </c>
      <c r="AN40" s="1185">
        <v>2093673.611111111</v>
      </c>
      <c r="AO40" s="1185">
        <v>2093673.611111111</v>
      </c>
      <c r="AP40" s="1185">
        <v>2093673.611111111</v>
      </c>
      <c r="AQ40" s="1185">
        <v>2093673.611111111</v>
      </c>
      <c r="AR40" s="1186">
        <f t="shared" si="31"/>
        <v>25124083.33333334</v>
      </c>
      <c r="AS40" s="1185">
        <f t="shared" si="25"/>
        <v>154333647.38095236</v>
      </c>
    </row>
    <row r="41" spans="1:45" s="1057" customFormat="1" ht="27" customHeight="1" outlineLevel="2" x14ac:dyDescent="0.25">
      <c r="A41" s="1042" t="s">
        <v>2133</v>
      </c>
      <c r="B41" s="1043" t="s">
        <v>518</v>
      </c>
      <c r="C41" s="1043" t="s">
        <v>518</v>
      </c>
      <c r="D41" s="1043" t="s">
        <v>1697</v>
      </c>
      <c r="E41" s="1113" t="s">
        <v>1685</v>
      </c>
      <c r="F41" s="1113"/>
      <c r="G41" s="1113"/>
      <c r="H41" s="1113" t="s">
        <v>1694</v>
      </c>
      <c r="I41" s="1044" t="s">
        <v>2080</v>
      </c>
      <c r="J41" s="1177">
        <v>315933690</v>
      </c>
      <c r="K41" s="1176">
        <v>1</v>
      </c>
      <c r="L41" s="1177">
        <f>CAPEX_2025[[#This Row],[Đơn giá ( chưa bao gồm VAT)]]*CAPEX_2025[[#This Row],[Số lượng]]</f>
        <v>315933690</v>
      </c>
      <c r="M41" s="1047">
        <f>CAPEX_2025[[#This Row],[Tổng giá trị
(VND)]]/$M$5</f>
        <v>11922.026037735848</v>
      </c>
      <c r="N41" s="1046">
        <v>45597</v>
      </c>
      <c r="O41" s="1047">
        <v>144</v>
      </c>
      <c r="P41" s="1048" t="s">
        <v>1697</v>
      </c>
      <c r="Q41" s="1048" t="s">
        <v>1960</v>
      </c>
      <c r="R41" s="1048"/>
      <c r="S41" s="1048"/>
      <c r="T41" s="1049"/>
      <c r="U41" s="1050"/>
      <c r="V41" s="1050"/>
      <c r="W41" s="1051"/>
      <c r="X41" s="1052" t="s">
        <v>2141</v>
      </c>
      <c r="Y41" s="1184"/>
      <c r="Z41" s="1054"/>
      <c r="AA41" s="1051" t="s">
        <v>671</v>
      </c>
      <c r="AB41" s="1051" t="s">
        <v>667</v>
      </c>
      <c r="AC41" s="1185">
        <v>315933690</v>
      </c>
      <c r="AD41" s="1101">
        <f t="shared" si="26"/>
        <v>52655611.071428567</v>
      </c>
      <c r="AE41" s="1185">
        <v>263278078.92857143</v>
      </c>
      <c r="AF41" s="1185">
        <v>2193983.9583333335</v>
      </c>
      <c r="AG41" s="1185">
        <v>2193983.9583333335</v>
      </c>
      <c r="AH41" s="1185">
        <v>2193983.9583333335</v>
      </c>
      <c r="AI41" s="1185">
        <v>2193983.9583333335</v>
      </c>
      <c r="AJ41" s="1185">
        <v>2193983.9583333335</v>
      </c>
      <c r="AK41" s="1185">
        <v>2193983.9583333335</v>
      </c>
      <c r="AL41" s="1185">
        <v>2193983.9583333335</v>
      </c>
      <c r="AM41" s="1185">
        <v>2193983.9583333335</v>
      </c>
      <c r="AN41" s="1185">
        <v>2193983.9583333335</v>
      </c>
      <c r="AO41" s="1185">
        <v>2193983.9583333335</v>
      </c>
      <c r="AP41" s="1185">
        <v>2193983.9583333335</v>
      </c>
      <c r="AQ41" s="1185">
        <v>2193983.9583333335</v>
      </c>
      <c r="AR41" s="1186">
        <f t="shared" si="31"/>
        <v>26327807.499999996</v>
      </c>
      <c r="AS41" s="1185">
        <f t="shared" si="25"/>
        <v>236950271.42857143</v>
      </c>
    </row>
    <row r="42" spans="1:45" s="1097" customFormat="1" ht="27" customHeight="1" outlineLevel="1" x14ac:dyDescent="0.25">
      <c r="A42" s="1113">
        <v>10</v>
      </c>
      <c r="B42" s="1114" t="s">
        <v>518</v>
      </c>
      <c r="C42" s="1114" t="s">
        <v>518</v>
      </c>
      <c r="D42" s="1113" t="s">
        <v>1683</v>
      </c>
      <c r="E42" s="1113" t="s">
        <v>1685</v>
      </c>
      <c r="F42" s="1113"/>
      <c r="G42" s="1113"/>
      <c r="H42" s="1113" t="s">
        <v>1694</v>
      </c>
      <c r="I42" s="1115"/>
      <c r="J42" s="1116">
        <f>SUM(J43:J45)</f>
        <v>1616501584</v>
      </c>
      <c r="K42" s="1113">
        <v>1</v>
      </c>
      <c r="L42" s="1116">
        <f>CAPEX_2025[[#This Row],[Đơn giá ( chưa bao gồm VAT)]]*CAPEX_2025[[#This Row],[Số lượng]]</f>
        <v>1616501584</v>
      </c>
      <c r="M42" s="1118">
        <f>CAPEX_2025[[#This Row],[Tổng giá trị
(VND)]]/$M$5</f>
        <v>61000.059773584908</v>
      </c>
      <c r="N42" s="1117"/>
      <c r="O42" s="1118"/>
      <c r="P42" s="1119" t="s">
        <v>1683</v>
      </c>
      <c r="Q42" s="1120" t="s">
        <v>1960</v>
      </c>
      <c r="R42" s="1119"/>
      <c r="S42" s="1121" t="s">
        <v>1723</v>
      </c>
      <c r="T42" s="683"/>
      <c r="U42" s="1122"/>
      <c r="V42" s="1122"/>
      <c r="W42" s="1123"/>
      <c r="X42" s="1124" t="s">
        <v>2148</v>
      </c>
      <c r="Y42" s="1125">
        <v>627</v>
      </c>
      <c r="Z42" s="1126">
        <v>6274001901</v>
      </c>
      <c r="AA42" s="1127" t="s">
        <v>495</v>
      </c>
      <c r="AB42" s="1127" t="s">
        <v>665</v>
      </c>
      <c r="AC42" s="1101">
        <f>SUM(AC43:AC45)</f>
        <v>1616501584</v>
      </c>
      <c r="AD42" s="1101">
        <f t="shared" si="26"/>
        <v>420469138.20000005</v>
      </c>
      <c r="AE42" s="1101">
        <f>SUM(AE43:AE45)</f>
        <v>1196032445.8</v>
      </c>
      <c r="AF42" s="1101">
        <f t="shared" ref="AF42:AR42" si="32">SUM(AF43:AF45)</f>
        <v>13470846.533333333</v>
      </c>
      <c r="AG42" s="1101">
        <f>SUM(AG43:AG45)</f>
        <v>13470846.533333333</v>
      </c>
      <c r="AH42" s="1101">
        <f t="shared" si="32"/>
        <v>13470846.533333333</v>
      </c>
      <c r="AI42" s="1101">
        <f t="shared" si="32"/>
        <v>13470846.533333333</v>
      </c>
      <c r="AJ42" s="1101">
        <f t="shared" si="32"/>
        <v>13470846.533333333</v>
      </c>
      <c r="AK42" s="1101">
        <f t="shared" si="32"/>
        <v>13470846.533333333</v>
      </c>
      <c r="AL42" s="1101">
        <f t="shared" si="32"/>
        <v>13470846.533333333</v>
      </c>
      <c r="AM42" s="1101">
        <f t="shared" si="32"/>
        <v>13470846.533333333</v>
      </c>
      <c r="AN42" s="1101">
        <f t="shared" si="32"/>
        <v>13470846.533333333</v>
      </c>
      <c r="AO42" s="1101">
        <f t="shared" si="32"/>
        <v>13470846.533333333</v>
      </c>
      <c r="AP42" s="1101">
        <f t="shared" si="32"/>
        <v>13470846.533333333</v>
      </c>
      <c r="AQ42" s="1101">
        <f t="shared" si="32"/>
        <v>13470846.533333333</v>
      </c>
      <c r="AR42" s="1101">
        <f t="shared" si="32"/>
        <v>161650158.40000001</v>
      </c>
      <c r="AS42" s="1101">
        <f>CAPEX_2025[[#This Row],[Giá trị còn lại]]-CAPEX_2025[[#This Row],[Kế hoạch 2026]]</f>
        <v>1034382287.4</v>
      </c>
    </row>
    <row r="43" spans="1:45" s="1057" customFormat="1" ht="27" customHeight="1" outlineLevel="2" x14ac:dyDescent="0.25">
      <c r="A43" s="1042" t="s">
        <v>549</v>
      </c>
      <c r="B43" s="1043" t="s">
        <v>518</v>
      </c>
      <c r="C43" s="1043" t="s">
        <v>518</v>
      </c>
      <c r="D43" s="1043" t="s">
        <v>1683</v>
      </c>
      <c r="E43" s="1043" t="s">
        <v>1685</v>
      </c>
      <c r="F43" s="1043"/>
      <c r="G43" s="1043"/>
      <c r="H43" s="1043" t="s">
        <v>1694</v>
      </c>
      <c r="I43" s="1043"/>
      <c r="J43" s="1045">
        <v>104500000</v>
      </c>
      <c r="K43" s="1176">
        <v>1</v>
      </c>
      <c r="L43" s="1045">
        <f>CAPEX_2025[[#This Row],[Đơn giá ( chưa bao gồm VAT)]]*CAPEX_2025[[#This Row],[Số lượng]]</f>
        <v>104500000</v>
      </c>
      <c r="M43" s="1047">
        <f>CAPEX_2025[[#This Row],[Tổng giá trị
(VND)]]/$M$5</f>
        <v>3943.3962264150941</v>
      </c>
      <c r="N43" s="1046">
        <v>44866</v>
      </c>
      <c r="O43" s="1047">
        <v>120</v>
      </c>
      <c r="P43" s="1048" t="s">
        <v>1683</v>
      </c>
      <c r="Q43" s="1048" t="s">
        <v>1960</v>
      </c>
      <c r="R43" s="1048"/>
      <c r="S43" s="1048" t="s">
        <v>1723</v>
      </c>
      <c r="T43" s="1049"/>
      <c r="U43" s="1050"/>
      <c r="V43" s="1050"/>
      <c r="W43" s="1051"/>
      <c r="X43" s="1052" t="s">
        <v>2243</v>
      </c>
      <c r="Y43" s="1184"/>
      <c r="Z43" s="1054"/>
      <c r="AA43" s="1051" t="s">
        <v>495</v>
      </c>
      <c r="AB43" s="1051" t="s">
        <v>665</v>
      </c>
      <c r="AC43" s="1185">
        <v>104500000</v>
      </c>
      <c r="AD43" s="1185">
        <f t="shared" ref="AD43:AD44" si="33">AC43-AE43</f>
        <v>71408345</v>
      </c>
      <c r="AE43" s="1185">
        <v>33091655</v>
      </c>
      <c r="AF43" s="1185">
        <v>870833.33333333337</v>
      </c>
      <c r="AG43" s="1185">
        <v>870833.33333333337</v>
      </c>
      <c r="AH43" s="1185">
        <v>870833.33333333337</v>
      </c>
      <c r="AI43" s="1185">
        <v>870833.33333333337</v>
      </c>
      <c r="AJ43" s="1185">
        <v>870833.33333333337</v>
      </c>
      <c r="AK43" s="1185">
        <v>870833.33333333337</v>
      </c>
      <c r="AL43" s="1185">
        <v>870833.33333333337</v>
      </c>
      <c r="AM43" s="1185">
        <v>870833.33333333337</v>
      </c>
      <c r="AN43" s="1185">
        <v>870833.33333333337</v>
      </c>
      <c r="AO43" s="1185">
        <v>870833.33333333337</v>
      </c>
      <c r="AP43" s="1185">
        <v>870833.33333333337</v>
      </c>
      <c r="AQ43" s="1185">
        <v>870833.33333333337</v>
      </c>
      <c r="AR43" s="1186">
        <f t="shared" ref="AR43:AR44" si="34">SUM(AF43:AQ43)</f>
        <v>10450000</v>
      </c>
      <c r="AS43" s="1101">
        <f>CAPEX_2025[[#This Row],[Giá trị còn lại]]-CAPEX_2025[[#This Row],[Kế hoạch 2026]]</f>
        <v>22641655</v>
      </c>
    </row>
    <row r="44" spans="1:45" s="1057" customFormat="1" ht="27" customHeight="1" outlineLevel="2" x14ac:dyDescent="0.25">
      <c r="A44" s="1042" t="s">
        <v>2146</v>
      </c>
      <c r="B44" s="1043" t="s">
        <v>518</v>
      </c>
      <c r="C44" s="1043" t="s">
        <v>518</v>
      </c>
      <c r="D44" s="1043" t="s">
        <v>1683</v>
      </c>
      <c r="E44" s="1043" t="s">
        <v>1685</v>
      </c>
      <c r="F44" s="1043"/>
      <c r="G44" s="1043"/>
      <c r="H44" s="1043" t="s">
        <v>1694</v>
      </c>
      <c r="I44" s="1043" t="s">
        <v>2149</v>
      </c>
      <c r="J44" s="1177">
        <v>964455912</v>
      </c>
      <c r="K44" s="1176">
        <v>1</v>
      </c>
      <c r="L44" s="1177">
        <f>CAPEX_2025[[#This Row],[Đơn giá ( chưa bao gồm VAT)]]*CAPEX_2025[[#This Row],[Số lượng]]</f>
        <v>964455912</v>
      </c>
      <c r="M44" s="1047">
        <f>CAPEX_2025[[#This Row],[Tổng giá trị
(VND)]]/$M$5</f>
        <v>36394.562716981134</v>
      </c>
      <c r="N44" s="1046">
        <v>45567</v>
      </c>
      <c r="O44" s="1047">
        <v>120</v>
      </c>
      <c r="P44" s="1048" t="s">
        <v>1683</v>
      </c>
      <c r="Q44" s="1048" t="s">
        <v>1960</v>
      </c>
      <c r="R44" s="1048"/>
      <c r="S44" s="1048" t="s">
        <v>1723</v>
      </c>
      <c r="T44" s="1049"/>
      <c r="U44" s="1050"/>
      <c r="V44" s="1050"/>
      <c r="W44" s="1051"/>
      <c r="X44" s="1052" t="s">
        <v>2244</v>
      </c>
      <c r="Y44" s="1184"/>
      <c r="Z44" s="1054"/>
      <c r="AA44" s="1051" t="s">
        <v>495</v>
      </c>
      <c r="AB44" s="1051" t="s">
        <v>665</v>
      </c>
      <c r="AC44" s="1185">
        <v>964455912</v>
      </c>
      <c r="AD44" s="1185">
        <f t="shared" si="33"/>
        <v>239551660.60000002</v>
      </c>
      <c r="AE44" s="1185">
        <v>724904251.39999998</v>
      </c>
      <c r="AF44" s="1185">
        <v>8037132.5999999996</v>
      </c>
      <c r="AG44" s="1185">
        <v>8037132.5999999996</v>
      </c>
      <c r="AH44" s="1185">
        <v>8037132.5999999996</v>
      </c>
      <c r="AI44" s="1185">
        <v>8037132.5999999996</v>
      </c>
      <c r="AJ44" s="1185">
        <v>8037132.5999999996</v>
      </c>
      <c r="AK44" s="1185">
        <v>8037132.5999999996</v>
      </c>
      <c r="AL44" s="1185">
        <v>8037132.5999999996</v>
      </c>
      <c r="AM44" s="1185">
        <v>8037132.5999999996</v>
      </c>
      <c r="AN44" s="1185">
        <v>8037132.5999999996</v>
      </c>
      <c r="AO44" s="1185">
        <v>8037132.5999999996</v>
      </c>
      <c r="AP44" s="1185">
        <v>8037132.5999999996</v>
      </c>
      <c r="AQ44" s="1185">
        <v>8037132.5999999996</v>
      </c>
      <c r="AR44" s="1186">
        <f t="shared" si="34"/>
        <v>96445591.199999988</v>
      </c>
      <c r="AS44" s="1101">
        <f>CAPEX_2025[[#This Row],[Giá trị còn lại]]-CAPEX_2025[[#This Row],[Kế hoạch 2026]]</f>
        <v>628458660.20000005</v>
      </c>
    </row>
    <row r="45" spans="1:45" s="1057" customFormat="1" ht="27" customHeight="1" outlineLevel="2" x14ac:dyDescent="0.25">
      <c r="A45" s="1042" t="s">
        <v>2147</v>
      </c>
      <c r="B45" s="1043" t="s">
        <v>518</v>
      </c>
      <c r="C45" s="1043" t="s">
        <v>518</v>
      </c>
      <c r="D45" s="1043" t="s">
        <v>1683</v>
      </c>
      <c r="E45" s="1043" t="s">
        <v>1685</v>
      </c>
      <c r="F45" s="1043"/>
      <c r="G45" s="1043"/>
      <c r="H45" s="1043" t="s">
        <v>1694</v>
      </c>
      <c r="I45" s="1043" t="s">
        <v>2149</v>
      </c>
      <c r="J45" s="1045">
        <v>547545672</v>
      </c>
      <c r="K45" s="1176">
        <v>1</v>
      </c>
      <c r="L45" s="1045">
        <f>CAPEX_2025[[#This Row],[Đơn giá ( chưa bao gồm VAT)]]*CAPEX_2025[[#This Row],[Số lượng]]</f>
        <v>547545672</v>
      </c>
      <c r="M45" s="1358">
        <f>CAPEX_2025[[#This Row],[Tổng giá trị
(VND)]]/$M$5</f>
        <v>20662.10083018868</v>
      </c>
      <c r="N45" s="1178">
        <v>45658</v>
      </c>
      <c r="O45" s="1047">
        <v>120</v>
      </c>
      <c r="P45" s="1048" t="s">
        <v>1683</v>
      </c>
      <c r="Q45" s="1180" t="s">
        <v>1960</v>
      </c>
      <c r="R45" s="1179"/>
      <c r="S45" s="1048" t="s">
        <v>1723</v>
      </c>
      <c r="T45" s="1181"/>
      <c r="U45" s="1182"/>
      <c r="V45" s="1182"/>
      <c r="W45" s="1183"/>
      <c r="X45" s="1052" t="s">
        <v>2245</v>
      </c>
      <c r="Y45" s="1184"/>
      <c r="Z45" s="1054"/>
      <c r="AA45" s="1051" t="s">
        <v>495</v>
      </c>
      <c r="AB45" s="1051" t="s">
        <v>665</v>
      </c>
      <c r="AC45" s="1185">
        <v>547545672</v>
      </c>
      <c r="AD45" s="1185">
        <f t="shared" si="26"/>
        <v>109509132.60000002</v>
      </c>
      <c r="AE45" s="1185">
        <v>438036539.39999998</v>
      </c>
      <c r="AF45" s="1185">
        <v>4562880.5999999996</v>
      </c>
      <c r="AG45" s="1185">
        <v>4562880.5999999996</v>
      </c>
      <c r="AH45" s="1185">
        <v>4562880.5999999996</v>
      </c>
      <c r="AI45" s="1185">
        <v>4562880.5999999996</v>
      </c>
      <c r="AJ45" s="1185">
        <v>4562880.5999999996</v>
      </c>
      <c r="AK45" s="1185">
        <v>4562880.5999999996</v>
      </c>
      <c r="AL45" s="1185">
        <v>4562880.5999999996</v>
      </c>
      <c r="AM45" s="1185">
        <v>4562880.5999999996</v>
      </c>
      <c r="AN45" s="1185">
        <v>4562880.5999999996</v>
      </c>
      <c r="AO45" s="1185">
        <v>4562880.5999999996</v>
      </c>
      <c r="AP45" s="1185">
        <v>4562880.5999999996</v>
      </c>
      <c r="AQ45" s="1185">
        <v>4562880.5999999996</v>
      </c>
      <c r="AR45" s="1185">
        <f t="shared" si="27"/>
        <v>54754567.20000001</v>
      </c>
      <c r="AS45" s="1101">
        <f>CAPEX_2025[[#This Row],[Giá trị còn lại]]-CAPEX_2025[[#This Row],[Kế hoạch 2026]]</f>
        <v>383281972.19999999</v>
      </c>
    </row>
    <row r="46" spans="1:45" s="1097" customFormat="1" ht="27" customHeight="1" outlineLevel="1" x14ac:dyDescent="0.25">
      <c r="A46" s="1113">
        <v>11</v>
      </c>
      <c r="B46" s="1114" t="s">
        <v>526</v>
      </c>
      <c r="C46" s="1114" t="s">
        <v>526</v>
      </c>
      <c r="D46" s="1113" t="s">
        <v>1697</v>
      </c>
      <c r="E46" s="1113" t="s">
        <v>1685</v>
      </c>
      <c r="F46" s="1113"/>
      <c r="G46" s="1113"/>
      <c r="H46" s="1113" t="s">
        <v>1694</v>
      </c>
      <c r="I46" s="1115" t="s">
        <v>2126</v>
      </c>
      <c r="J46" s="1116">
        <v>83893000</v>
      </c>
      <c r="K46" s="1113">
        <v>1</v>
      </c>
      <c r="L46" s="1116">
        <f>CAPEX_2025[[#This Row],[Đơn giá ( chưa bao gồm VAT)]]*CAPEX_2025[[#This Row],[Số lượng]]</f>
        <v>83893000</v>
      </c>
      <c r="M46" s="1118">
        <f>CAPEX_2025[[#This Row],[Tổng giá trị
(VND)]]/$M$5</f>
        <v>3165.7735849056603</v>
      </c>
      <c r="N46" s="1117">
        <v>45597</v>
      </c>
      <c r="O46" s="1118">
        <v>48</v>
      </c>
      <c r="P46" s="1119" t="s">
        <v>1697</v>
      </c>
      <c r="Q46" s="1120" t="s">
        <v>1960</v>
      </c>
      <c r="R46" s="1119"/>
      <c r="S46" s="1121"/>
      <c r="T46" s="683"/>
      <c r="U46" s="1122"/>
      <c r="V46" s="1122"/>
      <c r="W46" s="1123"/>
      <c r="X46" s="1124" t="s">
        <v>2150</v>
      </c>
      <c r="Y46" s="1125">
        <v>627</v>
      </c>
      <c r="Z46" s="1126">
        <v>6274001906</v>
      </c>
      <c r="AA46" s="1127" t="s">
        <v>671</v>
      </c>
      <c r="AB46" s="1127" t="s">
        <v>667</v>
      </c>
      <c r="AC46" s="1101">
        <v>83893000</v>
      </c>
      <c r="AD46" s="1101">
        <f>AC46-AE46</f>
        <v>24468793.5</v>
      </c>
      <c r="AE46" s="1101">
        <v>59424206.5</v>
      </c>
      <c r="AF46" s="1101">
        <v>699108.33333333337</v>
      </c>
      <c r="AG46" s="1101">
        <v>699108.33333333337</v>
      </c>
      <c r="AH46" s="1101">
        <v>699108.33333333337</v>
      </c>
      <c r="AI46" s="1101">
        <v>699108.33333333337</v>
      </c>
      <c r="AJ46" s="1101">
        <v>699108.33333333337</v>
      </c>
      <c r="AK46" s="1101">
        <v>699108.33333333337</v>
      </c>
      <c r="AL46" s="1101">
        <v>699108.33333333337</v>
      </c>
      <c r="AM46" s="1101">
        <v>699108.33333333337</v>
      </c>
      <c r="AN46" s="1101">
        <v>699108.33333333337</v>
      </c>
      <c r="AO46" s="1101">
        <v>699108.33333333337</v>
      </c>
      <c r="AP46" s="1101">
        <v>699108.33333333337</v>
      </c>
      <c r="AQ46" s="1101">
        <v>699108.33333333337</v>
      </c>
      <c r="AR46" s="1101">
        <f>SUM(AF46:AQ46)</f>
        <v>8389299.9999999981</v>
      </c>
      <c r="AS46" s="1101">
        <f>CAPEX_2025[[#This Row],[Giá trị còn lại]]-CAPEX_2025[[#This Row],[Kế hoạch 2026]]</f>
        <v>51034906.5</v>
      </c>
    </row>
    <row r="47" spans="1:45" s="1356" customFormat="1" ht="27" customHeight="1" outlineLevel="1" x14ac:dyDescent="0.25">
      <c r="A47" s="1084">
        <v>12</v>
      </c>
      <c r="B47" s="1362" t="s">
        <v>522</v>
      </c>
      <c r="C47" s="1362" t="s">
        <v>522</v>
      </c>
      <c r="D47" s="1084" t="s">
        <v>1691</v>
      </c>
      <c r="E47" s="1084" t="s">
        <v>1685</v>
      </c>
      <c r="F47" s="1084"/>
      <c r="G47" s="1084"/>
      <c r="H47" s="1084" t="s">
        <v>1694</v>
      </c>
      <c r="I47" s="1085"/>
      <c r="J47" s="1086">
        <f>55640/2*26500</f>
        <v>737230000</v>
      </c>
      <c r="K47" s="1084">
        <v>1</v>
      </c>
      <c r="L47" s="1086">
        <f>CAPEX_2025[[#This Row],[Đơn giá ( chưa bao gồm VAT)]]*CAPEX_2025[[#This Row],[Số lượng]]</f>
        <v>737230000</v>
      </c>
      <c r="M47" s="1088">
        <f>CAPEX_2025[[#This Row],[Tổng giá trị
(VND)]]/$M$5</f>
        <v>27820</v>
      </c>
      <c r="N47" s="1098">
        <v>46023</v>
      </c>
      <c r="O47" s="1088">
        <f>12*8</f>
        <v>96</v>
      </c>
      <c r="P47" s="1084" t="s">
        <v>1691</v>
      </c>
      <c r="Q47" s="1363" t="s">
        <v>2241</v>
      </c>
      <c r="R47" s="1089"/>
      <c r="S47" s="1091"/>
      <c r="T47" s="682"/>
      <c r="U47" s="1092"/>
      <c r="V47" s="1092"/>
      <c r="W47" s="1093"/>
      <c r="X47" s="1099" t="s">
        <v>2242</v>
      </c>
      <c r="Y47" s="1094">
        <v>642</v>
      </c>
      <c r="Z47" s="1095">
        <v>6424001907</v>
      </c>
      <c r="AA47" s="1096" t="s">
        <v>500</v>
      </c>
      <c r="AB47" s="1096" t="s">
        <v>673</v>
      </c>
      <c r="AC47" s="1025">
        <f>CAPEX_2025[[#This Row],[Tổng giá trị
(VND)]]</f>
        <v>737230000</v>
      </c>
      <c r="AD47" s="1025">
        <f t="shared" ref="AD47:AD48" si="35">AC47-AE47</f>
        <v>0</v>
      </c>
      <c r="AE47" s="1025">
        <f>CAPEX_2025[[#This Row],[Tổng giá trị
(VND)]]</f>
        <v>737230000</v>
      </c>
      <c r="AF47" s="1025">
        <v>7679479.166666667</v>
      </c>
      <c r="AG47" s="1025">
        <v>7679479.166666667</v>
      </c>
      <c r="AH47" s="1025">
        <v>7679479.166666667</v>
      </c>
      <c r="AI47" s="1025">
        <v>7679479.166666667</v>
      </c>
      <c r="AJ47" s="1025">
        <v>7679479.166666667</v>
      </c>
      <c r="AK47" s="1025">
        <v>7679479.166666667</v>
      </c>
      <c r="AL47" s="1025">
        <v>7679479.166666667</v>
      </c>
      <c r="AM47" s="1025">
        <v>7679479.166666667</v>
      </c>
      <c r="AN47" s="1025">
        <v>7679479.166666667</v>
      </c>
      <c r="AO47" s="1025">
        <v>7679479.166666667</v>
      </c>
      <c r="AP47" s="1025">
        <v>7679479.166666667</v>
      </c>
      <c r="AQ47" s="1025">
        <v>7679479.166666667</v>
      </c>
      <c r="AR47" s="1025">
        <f t="shared" ref="AR47:AR48" si="36">SUM(AF47:AQ47)</f>
        <v>92153750.000000015</v>
      </c>
      <c r="AS47" s="1025">
        <f>AE47-AR47</f>
        <v>645076250</v>
      </c>
    </row>
    <row r="48" spans="1:45" s="1097" customFormat="1" ht="27" customHeight="1" outlineLevel="1" x14ac:dyDescent="0.25">
      <c r="A48" s="1128">
        <v>13</v>
      </c>
      <c r="B48" s="1129" t="s">
        <v>526</v>
      </c>
      <c r="C48" s="1129" t="s">
        <v>526</v>
      </c>
      <c r="D48" s="1128" t="s">
        <v>1697</v>
      </c>
      <c r="E48" s="1128" t="s">
        <v>1685</v>
      </c>
      <c r="F48" s="1128"/>
      <c r="G48" s="1128"/>
      <c r="H48" s="1128" t="s">
        <v>1694</v>
      </c>
      <c r="I48" s="1130" t="s">
        <v>1985</v>
      </c>
      <c r="J48" s="1131">
        <v>280000000</v>
      </c>
      <c r="K48" s="1128">
        <v>3</v>
      </c>
      <c r="L48" s="1131">
        <f>CAPEX_2025[[#This Row],[Đơn giá ( chưa bao gồm VAT)]]*CAPEX_2025[[#This Row],[Số lượng]]</f>
        <v>840000000</v>
      </c>
      <c r="M48" s="1133">
        <f>CAPEX_2025[[#This Row],[Tổng giá trị
(VND)]]/$M$5</f>
        <v>31698.113207547169</v>
      </c>
      <c r="N48" s="1132">
        <v>46023</v>
      </c>
      <c r="O48" s="1133">
        <f>12*10</f>
        <v>120</v>
      </c>
      <c r="P48" s="1134" t="s">
        <v>1697</v>
      </c>
      <c r="Q48" s="1134" t="s">
        <v>1960</v>
      </c>
      <c r="R48" s="1134"/>
      <c r="S48" s="1135"/>
      <c r="T48" s="685"/>
      <c r="U48" s="1136"/>
      <c r="V48" s="1136"/>
      <c r="W48" s="1137"/>
      <c r="X48" s="1138" t="s">
        <v>1987</v>
      </c>
      <c r="Y48" s="1139">
        <v>627</v>
      </c>
      <c r="Z48" s="1140">
        <v>6274001903</v>
      </c>
      <c r="AA48" s="1141" t="s">
        <v>668</v>
      </c>
      <c r="AB48" s="1141" t="s">
        <v>667</v>
      </c>
      <c r="AC48" s="1142">
        <v>840000000</v>
      </c>
      <c r="AD48" s="1142">
        <f t="shared" si="35"/>
        <v>0</v>
      </c>
      <c r="AE48" s="1142">
        <v>840000000</v>
      </c>
      <c r="AF48" s="1142">
        <v>7000000</v>
      </c>
      <c r="AG48" s="1142">
        <v>7000000</v>
      </c>
      <c r="AH48" s="1142">
        <v>7000000</v>
      </c>
      <c r="AI48" s="1142">
        <v>7000000</v>
      </c>
      <c r="AJ48" s="1142">
        <v>7000000</v>
      </c>
      <c r="AK48" s="1142">
        <v>7000000</v>
      </c>
      <c r="AL48" s="1142">
        <v>7000000</v>
      </c>
      <c r="AM48" s="1142">
        <v>7000000</v>
      </c>
      <c r="AN48" s="1142">
        <v>7000000</v>
      </c>
      <c r="AO48" s="1142">
        <v>7000000</v>
      </c>
      <c r="AP48" s="1142">
        <v>7000000</v>
      </c>
      <c r="AQ48" s="1142">
        <v>7000000</v>
      </c>
      <c r="AR48" s="1142">
        <f t="shared" si="36"/>
        <v>84000000</v>
      </c>
      <c r="AS48" s="1142">
        <f>AE48-AR48</f>
        <v>756000000</v>
      </c>
    </row>
    <row r="49" spans="1:45" s="1097" customFormat="1" ht="27" customHeight="1" outlineLevel="1" x14ac:dyDescent="0.25">
      <c r="A49" s="1113"/>
      <c r="B49" s="1114"/>
      <c r="C49" s="1114"/>
      <c r="D49" s="1113"/>
      <c r="E49" s="1113"/>
      <c r="F49" s="1113"/>
      <c r="G49" s="1113"/>
      <c r="H49" s="1113"/>
      <c r="I49" s="1115"/>
      <c r="J49" s="1177"/>
      <c r="K49" s="1177"/>
      <c r="L49" s="1177">
        <f>CAPEX_2025[[#This Row],[Đơn giá ( chưa bao gồm VAT)]]*CAPEX_2025[[#This Row],[Số lượng]]</f>
        <v>0</v>
      </c>
      <c r="M49" s="1118">
        <f>CAPEX_2025[[#This Row],[Tổng giá trị
(VND)]]/$M$5</f>
        <v>0</v>
      </c>
      <c r="N49" s="1117"/>
      <c r="O49" s="1118"/>
      <c r="P49" s="1119"/>
      <c r="Q49" s="1120"/>
      <c r="R49" s="1119"/>
      <c r="S49" s="1121"/>
      <c r="T49" s="683"/>
      <c r="U49" s="1122"/>
      <c r="V49" s="1122"/>
      <c r="W49" s="1123"/>
      <c r="X49" s="1124"/>
      <c r="Y49" s="1125"/>
      <c r="Z49" s="1126"/>
      <c r="AA49" s="1127"/>
      <c r="AB49" s="1127"/>
      <c r="AC49" s="1101"/>
      <c r="AD49" s="1101">
        <f>AC49-AE49</f>
        <v>0</v>
      </c>
      <c r="AE49" s="1101"/>
      <c r="AF49" s="1101"/>
      <c r="AG49" s="1101"/>
      <c r="AH49" s="1101"/>
      <c r="AI49" s="1101"/>
      <c r="AJ49" s="1101"/>
      <c r="AK49" s="1101"/>
      <c r="AL49" s="1101"/>
      <c r="AM49" s="1101"/>
      <c r="AN49" s="1101"/>
      <c r="AO49" s="1101"/>
      <c r="AP49" s="1101"/>
      <c r="AQ49" s="1101"/>
      <c r="AR49" s="1101">
        <f>SUM(AF49:AQ49)</f>
        <v>0</v>
      </c>
      <c r="AS49" s="1101"/>
    </row>
    <row r="50" spans="1:45" s="698" customFormat="1" ht="25.75" customHeight="1" x14ac:dyDescent="0.3">
      <c r="A50" s="1102" t="s">
        <v>1665</v>
      </c>
      <c r="B50" s="1103"/>
      <c r="C50" s="1103"/>
      <c r="D50" s="1103"/>
      <c r="E50" s="1103"/>
      <c r="F50" s="1103"/>
      <c r="G50" s="1103"/>
      <c r="H50" s="1103"/>
      <c r="I50" s="1103"/>
      <c r="J50" s="1103"/>
      <c r="K50" s="1103"/>
      <c r="L50" s="1112">
        <f>SUM(L51)</f>
        <v>0</v>
      </c>
      <c r="M50" s="1359">
        <f>CAPEX_2025[[#This Row],[Tổng giá trị
(VND)]]/$M$5</f>
        <v>0</v>
      </c>
      <c r="N50" s="1103"/>
      <c r="O50" s="1103"/>
      <c r="P50" s="1106"/>
      <c r="Q50" s="1107"/>
      <c r="R50" s="1107"/>
      <c r="S50" s="1107"/>
      <c r="T50" s="1106"/>
      <c r="U50" s="1107"/>
      <c r="V50" s="1107"/>
      <c r="W50" s="1107"/>
      <c r="X50" s="1108"/>
      <c r="Y50" s="1109"/>
      <c r="Z50" s="1110"/>
      <c r="AA50" s="1111"/>
      <c r="AB50" s="1111"/>
      <c r="AC50" s="1105">
        <f t="shared" ref="AC50:AS50" si="37">SUM(AC51:AC52)</f>
        <v>0</v>
      </c>
      <c r="AD50" s="1105">
        <f t="shared" si="37"/>
        <v>0</v>
      </c>
      <c r="AE50" s="1105">
        <f t="shared" si="37"/>
        <v>0</v>
      </c>
      <c r="AF50" s="1105">
        <f t="shared" si="37"/>
        <v>0</v>
      </c>
      <c r="AG50" s="1105">
        <f t="shared" si="37"/>
        <v>0</v>
      </c>
      <c r="AH50" s="1105">
        <f t="shared" si="37"/>
        <v>0</v>
      </c>
      <c r="AI50" s="1105">
        <f t="shared" si="37"/>
        <v>0</v>
      </c>
      <c r="AJ50" s="1105">
        <f t="shared" si="37"/>
        <v>0</v>
      </c>
      <c r="AK50" s="1105">
        <f t="shared" si="37"/>
        <v>0</v>
      </c>
      <c r="AL50" s="1105">
        <f t="shared" si="37"/>
        <v>0</v>
      </c>
      <c r="AM50" s="1105">
        <f t="shared" si="37"/>
        <v>0</v>
      </c>
      <c r="AN50" s="1105">
        <f t="shared" si="37"/>
        <v>0</v>
      </c>
      <c r="AO50" s="1105">
        <f t="shared" si="37"/>
        <v>0</v>
      </c>
      <c r="AP50" s="1105">
        <f t="shared" si="37"/>
        <v>0</v>
      </c>
      <c r="AQ50" s="1105">
        <f t="shared" si="37"/>
        <v>0</v>
      </c>
      <c r="AR50" s="1105">
        <f t="shared" si="37"/>
        <v>0</v>
      </c>
      <c r="AS50" s="1105">
        <f t="shared" si="37"/>
        <v>0</v>
      </c>
    </row>
    <row r="51" spans="1:45" s="1356" customFormat="1" ht="27" customHeight="1" outlineLevel="1" x14ac:dyDescent="0.25">
      <c r="A51" s="1128"/>
      <c r="B51" s="1129"/>
      <c r="C51" s="1129"/>
      <c r="D51" s="1128"/>
      <c r="E51" s="1128"/>
      <c r="F51" s="1128"/>
      <c r="G51" s="1128"/>
      <c r="H51" s="1128"/>
      <c r="I51" s="1130"/>
      <c r="J51" s="1131"/>
      <c r="K51" s="1128"/>
      <c r="L51" s="1131"/>
      <c r="M51" s="1133"/>
      <c r="N51" s="1132"/>
      <c r="O51" s="1133"/>
      <c r="P51" s="1134"/>
      <c r="Q51" s="1134"/>
      <c r="R51" s="1134"/>
      <c r="S51" s="1135"/>
      <c r="T51" s="685"/>
      <c r="U51" s="1136"/>
      <c r="V51" s="1136"/>
      <c r="W51" s="1137"/>
      <c r="X51" s="1138"/>
      <c r="Y51" s="1139"/>
      <c r="Z51" s="1140"/>
      <c r="AA51" s="1141"/>
      <c r="AB51" s="1141"/>
      <c r="AC51" s="1142"/>
      <c r="AD51" s="1142"/>
      <c r="AE51" s="1142"/>
      <c r="AF51" s="1142"/>
      <c r="AG51" s="1142"/>
      <c r="AH51" s="1142"/>
      <c r="AI51" s="1142"/>
      <c r="AJ51" s="1142"/>
      <c r="AK51" s="1142"/>
      <c r="AL51" s="1142"/>
      <c r="AM51" s="1142"/>
      <c r="AN51" s="1142"/>
      <c r="AO51" s="1142"/>
      <c r="AP51" s="1142"/>
      <c r="AQ51" s="1142"/>
      <c r="AR51" s="1142"/>
      <c r="AS51" s="1142"/>
    </row>
    <row r="52" spans="1:45" ht="16.399999999999999" customHeight="1" outlineLevel="1" x14ac:dyDescent="0.25">
      <c r="A52" s="453"/>
      <c r="B52" s="453"/>
      <c r="C52" s="453"/>
      <c r="D52" s="453"/>
      <c r="E52" s="453"/>
      <c r="F52" s="453"/>
      <c r="G52" s="453"/>
      <c r="H52" s="453"/>
      <c r="I52" s="453"/>
      <c r="J52" s="453"/>
      <c r="K52" s="453"/>
      <c r="L52" s="1027"/>
      <c r="M52" s="1027">
        <f>CAPEX_2025[[#This Row],[Tổng giá trị
(VND)]]/$M$5</f>
        <v>0</v>
      </c>
      <c r="N52" s="453"/>
      <c r="O52" s="453"/>
      <c r="P52" s="683"/>
      <c r="Q52" s="454"/>
      <c r="R52" s="454"/>
      <c r="S52" s="454"/>
      <c r="T52" s="683"/>
      <c r="U52" s="454"/>
      <c r="V52" s="454"/>
      <c r="W52" s="454"/>
      <c r="X52" s="1032"/>
      <c r="Y52" s="455"/>
      <c r="Z52" s="1037"/>
      <c r="AA52" s="456"/>
      <c r="AB52" s="456"/>
      <c r="AC52" s="412"/>
      <c r="AD52" s="412"/>
      <c r="AE52" s="412"/>
      <c r="AF52" s="412"/>
      <c r="AG52" s="412"/>
      <c r="AH52" s="412"/>
      <c r="AI52" s="412"/>
      <c r="AJ52" s="412"/>
      <c r="AK52" s="412"/>
      <c r="AL52" s="412"/>
      <c r="AM52" s="412"/>
      <c r="AN52" s="412"/>
      <c r="AO52" s="412"/>
      <c r="AP52" s="412"/>
      <c r="AQ52" s="412"/>
      <c r="AR52" s="412">
        <f t="shared" ref="AR52" si="38">SUM(AF52:AQ52)</f>
        <v>0</v>
      </c>
      <c r="AS52" s="412">
        <f t="shared" ref="AS52:AS54" si="39">AE52-AR52</f>
        <v>0</v>
      </c>
    </row>
    <row r="53" spans="1:45" ht="13" x14ac:dyDescent="0.3">
      <c r="A53" s="457"/>
      <c r="B53" s="457"/>
      <c r="C53" s="458" t="s">
        <v>688</v>
      </c>
      <c r="D53" s="457"/>
      <c r="E53" s="457"/>
      <c r="F53" s="457"/>
      <c r="G53" s="457"/>
      <c r="H53" s="457"/>
      <c r="I53" s="457"/>
      <c r="J53" s="457"/>
      <c r="K53" s="457"/>
      <c r="L53" s="457"/>
      <c r="M53" s="457"/>
      <c r="N53" s="457"/>
      <c r="O53" s="457"/>
      <c r="P53" s="457"/>
      <c r="Q53" s="457"/>
      <c r="R53" s="457"/>
      <c r="S53" s="457"/>
      <c r="T53" s="457"/>
      <c r="U53" s="420"/>
      <c r="V53" s="457"/>
      <c r="W53" s="457"/>
      <c r="X53" s="1033"/>
      <c r="Y53" s="564">
        <v>627</v>
      </c>
      <c r="Z53" s="1038"/>
      <c r="AA53" s="457"/>
      <c r="AB53" s="457"/>
      <c r="AC53" s="697">
        <f>SUMIFS($AC$8:$AC$52,$Y$8:$Y$52,$Y53)</f>
        <v>11044527221</v>
      </c>
      <c r="AD53" s="697">
        <f t="shared" ref="AD53:AR54" si="40">SUMIFS(AD$8:AD$52,$Y$8:$Y$52,$Y53)</f>
        <v>4660222124.8357143</v>
      </c>
      <c r="AE53" s="697">
        <f t="shared" si="40"/>
        <v>6384305096.1642857</v>
      </c>
      <c r="AF53" s="697">
        <f t="shared" si="40"/>
        <v>81327529.763888881</v>
      </c>
      <c r="AG53" s="697">
        <f t="shared" si="40"/>
        <v>81327529.763888881</v>
      </c>
      <c r="AH53" s="697">
        <f t="shared" si="40"/>
        <v>81327529.763888881</v>
      </c>
      <c r="AI53" s="697">
        <f t="shared" si="40"/>
        <v>81327529.763888881</v>
      </c>
      <c r="AJ53" s="697">
        <f t="shared" si="40"/>
        <v>81327529.763888881</v>
      </c>
      <c r="AK53" s="697">
        <f t="shared" si="40"/>
        <v>81327529.763888881</v>
      </c>
      <c r="AL53" s="697">
        <f t="shared" si="40"/>
        <v>81327529.763888881</v>
      </c>
      <c r="AM53" s="697">
        <f t="shared" si="40"/>
        <v>81327529.763888881</v>
      </c>
      <c r="AN53" s="697">
        <f t="shared" si="40"/>
        <v>81327529.763888881</v>
      </c>
      <c r="AO53" s="697">
        <f t="shared" si="40"/>
        <v>81327529.763888881</v>
      </c>
      <c r="AP53" s="697">
        <f t="shared" si="40"/>
        <v>81327529.763888881</v>
      </c>
      <c r="AQ53" s="697">
        <f t="shared" si="40"/>
        <v>81327529.763888881</v>
      </c>
      <c r="AR53" s="697">
        <f t="shared" si="40"/>
        <v>975930357.16666675</v>
      </c>
      <c r="AS53" s="392">
        <f t="shared" si="39"/>
        <v>5408374738.9976187</v>
      </c>
    </row>
    <row r="54" spans="1:45" ht="13" x14ac:dyDescent="0.3">
      <c r="A54" s="457"/>
      <c r="B54" s="457"/>
      <c r="C54" s="458" t="s">
        <v>689</v>
      </c>
      <c r="D54" s="457"/>
      <c r="E54" s="457"/>
      <c r="F54" s="457"/>
      <c r="G54" s="457"/>
      <c r="H54" s="457"/>
      <c r="I54" s="457"/>
      <c r="J54" s="457"/>
      <c r="K54" s="457"/>
      <c r="L54" s="457"/>
      <c r="M54" s="457"/>
      <c r="N54" s="457"/>
      <c r="O54" s="457"/>
      <c r="P54" s="457"/>
      <c r="Q54" s="457"/>
      <c r="R54" s="457"/>
      <c r="S54" s="457"/>
      <c r="T54" s="457"/>
      <c r="U54" s="420"/>
      <c r="V54" s="457"/>
      <c r="W54" s="457"/>
      <c r="X54" s="1033"/>
      <c r="Y54" s="564">
        <v>642</v>
      </c>
      <c r="Z54" s="1038"/>
      <c r="AA54" s="457"/>
      <c r="AB54" s="457"/>
      <c r="AC54" s="697">
        <f>SUMIFS($AC$8:$AC$52,$Y$8:$Y$52,$Y54)</f>
        <v>1094390500</v>
      </c>
      <c r="AD54" s="697">
        <f t="shared" si="40"/>
        <v>83337450</v>
      </c>
      <c r="AE54" s="697">
        <f t="shared" si="40"/>
        <v>1011053050</v>
      </c>
      <c r="AF54" s="697">
        <f t="shared" si="40"/>
        <v>10655816.666666668</v>
      </c>
      <c r="AG54" s="697">
        <f t="shared" si="40"/>
        <v>10655816.666666668</v>
      </c>
      <c r="AH54" s="697">
        <f t="shared" si="40"/>
        <v>10655816.666666668</v>
      </c>
      <c r="AI54" s="697">
        <f t="shared" si="40"/>
        <v>10655816.666666668</v>
      </c>
      <c r="AJ54" s="697">
        <f t="shared" si="40"/>
        <v>10655816.666666668</v>
      </c>
      <c r="AK54" s="697">
        <f t="shared" si="40"/>
        <v>10655816.666666668</v>
      </c>
      <c r="AL54" s="697">
        <f t="shared" si="40"/>
        <v>10655816.666666668</v>
      </c>
      <c r="AM54" s="697">
        <f t="shared" si="40"/>
        <v>10655816.666666668</v>
      </c>
      <c r="AN54" s="697">
        <f t="shared" si="40"/>
        <v>10655816.666666668</v>
      </c>
      <c r="AO54" s="697">
        <f t="shared" si="40"/>
        <v>10655816.666666668</v>
      </c>
      <c r="AP54" s="697">
        <f t="shared" si="40"/>
        <v>10655816.666666668</v>
      </c>
      <c r="AQ54" s="697">
        <f t="shared" si="40"/>
        <v>10655816.666666668</v>
      </c>
      <c r="AR54" s="697">
        <f t="shared" si="40"/>
        <v>127869800.00000001</v>
      </c>
      <c r="AS54" s="392">
        <f t="shared" si="39"/>
        <v>883183250</v>
      </c>
    </row>
    <row r="55" spans="1:45" ht="13" x14ac:dyDescent="0.3">
      <c r="A55" s="457"/>
      <c r="B55" s="457"/>
      <c r="C55" s="458" t="s">
        <v>1769</v>
      </c>
      <c r="D55" s="457"/>
      <c r="E55" s="457"/>
      <c r="F55" s="457"/>
      <c r="G55" s="457"/>
      <c r="H55" s="457"/>
      <c r="I55" s="457"/>
      <c r="J55" s="457"/>
      <c r="K55" s="457"/>
      <c r="L55" s="457"/>
      <c r="M55" s="457"/>
      <c r="N55" s="457"/>
      <c r="O55" s="457"/>
      <c r="P55" s="457"/>
      <c r="Q55" s="457"/>
      <c r="R55" s="457"/>
      <c r="S55" s="457"/>
      <c r="T55" s="457"/>
      <c r="U55" s="420"/>
      <c r="V55" s="457"/>
      <c r="W55" s="457"/>
      <c r="X55" s="1033"/>
      <c r="Y55" s="564"/>
      <c r="Z55" s="1038"/>
      <c r="AA55" s="457"/>
      <c r="AB55" s="457"/>
      <c r="AC55" s="392">
        <f>AC53+AC54</f>
        <v>12138917721</v>
      </c>
      <c r="AD55" s="392">
        <f t="shared" ref="AD55:AS55" si="41">AD53+AD54</f>
        <v>4743559574.8357143</v>
      </c>
      <c r="AE55" s="392">
        <f t="shared" si="41"/>
        <v>7395358146.1642857</v>
      </c>
      <c r="AF55" s="392">
        <f t="shared" si="41"/>
        <v>91983346.430555552</v>
      </c>
      <c r="AG55" s="392">
        <f t="shared" si="41"/>
        <v>91983346.430555552</v>
      </c>
      <c r="AH55" s="392">
        <f t="shared" si="41"/>
        <v>91983346.430555552</v>
      </c>
      <c r="AI55" s="392">
        <f t="shared" si="41"/>
        <v>91983346.430555552</v>
      </c>
      <c r="AJ55" s="392">
        <f t="shared" si="41"/>
        <v>91983346.430555552</v>
      </c>
      <c r="AK55" s="392">
        <f t="shared" si="41"/>
        <v>91983346.430555552</v>
      </c>
      <c r="AL55" s="392">
        <f t="shared" si="41"/>
        <v>91983346.430555552</v>
      </c>
      <c r="AM55" s="392">
        <f t="shared" si="41"/>
        <v>91983346.430555552</v>
      </c>
      <c r="AN55" s="392">
        <f t="shared" si="41"/>
        <v>91983346.430555552</v>
      </c>
      <c r="AO55" s="392">
        <f t="shared" si="41"/>
        <v>91983346.430555552</v>
      </c>
      <c r="AP55" s="392">
        <f t="shared" si="41"/>
        <v>91983346.430555552</v>
      </c>
      <c r="AQ55" s="392">
        <f t="shared" si="41"/>
        <v>91983346.430555552</v>
      </c>
      <c r="AR55" s="392">
        <f t="shared" si="41"/>
        <v>1103800157.1666667</v>
      </c>
      <c r="AS55" s="392">
        <f t="shared" si="41"/>
        <v>6291557988.9976187</v>
      </c>
    </row>
    <row r="57" spans="1:45" x14ac:dyDescent="0.25">
      <c r="AF57" s="437"/>
      <c r="AG57" s="437"/>
      <c r="AH57" s="437"/>
      <c r="AI57" s="437"/>
      <c r="AJ57" s="437"/>
      <c r="AK57" s="437"/>
      <c r="AL57" s="437"/>
      <c r="AM57" s="437"/>
      <c r="AN57" s="437"/>
      <c r="AO57" s="437"/>
      <c r="AP57" s="437"/>
      <c r="AQ57" s="437"/>
      <c r="AS57" s="437">
        <f>AS8+AS50-AS55</f>
        <v>0</v>
      </c>
    </row>
  </sheetData>
  <phoneticPr fontId="8" type="noConversion"/>
  <conditionalFormatting sqref="D1">
    <cfRule type="duplicateValues" dxfId="18" priority="7"/>
  </conditionalFormatting>
  <conditionalFormatting sqref="D1:D3">
    <cfRule type="containsText" dxfId="17" priority="8" operator="containsText" text="xxx">
      <formula>NOT(ISERROR(SEARCH("xxx",D1)))</formula>
    </cfRule>
  </conditionalFormatting>
  <conditionalFormatting sqref="D2">
    <cfRule type="duplicateValues" dxfId="16" priority="9"/>
  </conditionalFormatting>
  <conditionalFormatting sqref="D3">
    <cfRule type="duplicateValues" dxfId="15" priority="6"/>
  </conditionalFormatting>
  <conditionalFormatting sqref="Z7">
    <cfRule type="containsText" dxfId="14" priority="2" operator="containsText" text="xxx">
      <formula>NOT(ISERROR(SEARCH("xxx",Z7)))</formula>
    </cfRule>
  </conditionalFormatting>
  <conditionalFormatting sqref="AA7">
    <cfRule type="containsText" dxfId="13" priority="1" operator="containsText" text="xxx">
      <formula>NOT(ISERROR(SEARCH("xxx",AA7)))</formula>
    </cfRule>
  </conditionalFormatting>
  <dataValidations count="1">
    <dataValidation type="list" allowBlank="1" showInputMessage="1" showErrorMessage="1" sqref="V8:V52" xr:uid="{9F7E2775-A2FC-4D7A-91FE-9F017F6929DA}">
      <formula1>INDIRECT("MD_Possible_CAPEX[Khả năng đầu tư]")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46F8-77E4-4358-8FA1-630C490A6DB1}">
  <sheetPr>
    <tabColor theme="7" tint="0.39997558519241921"/>
  </sheetPr>
  <dimension ref="A1:AS118"/>
  <sheetViews>
    <sheetView showGridLines="0" zoomScale="85" zoomScaleNormal="85" workbookViewId="0">
      <pane xSplit="1" ySplit="7" topLeftCell="B67" activePane="bottomRight" state="frozen"/>
      <selection pane="topRight" activeCell="B1" sqref="B1"/>
      <selection pane="bottomLeft" activeCell="A8" sqref="A8"/>
      <selection pane="bottomRight" activeCell="H69" sqref="H69"/>
    </sheetView>
  </sheetViews>
  <sheetFormatPr defaultColWidth="8.81640625" defaultRowHeight="12.5" outlineLevelRow="1" outlineLevelCol="1" x14ac:dyDescent="0.25"/>
  <cols>
    <col min="1" max="1" width="5.54296875" style="433" customWidth="1"/>
    <col min="2" max="2" width="13.453125" style="433" customWidth="1"/>
    <col min="3" max="3" width="19.26953125" style="433" customWidth="1"/>
    <col min="4" max="4" width="28.54296875" style="433" customWidth="1"/>
    <col min="5" max="5" width="10.1796875" style="433" customWidth="1"/>
    <col min="6" max="6" width="18.81640625" style="433" hidden="1" customWidth="1" outlineLevel="1"/>
    <col min="7" max="7" width="28.1796875" style="433" hidden="1" customWidth="1" outlineLevel="1"/>
    <col min="8" max="8" width="16.1796875" style="433" customWidth="1" collapsed="1"/>
    <col min="9" max="9" width="16.1796875" style="433" customWidth="1"/>
    <col min="10" max="10" width="14.81640625" style="433" customWidth="1"/>
    <col min="11" max="11" width="9.81640625" style="433" customWidth="1"/>
    <col min="12" max="12" width="13.54296875" style="433" customWidth="1"/>
    <col min="13" max="13" width="11.1796875" style="433" customWidth="1"/>
    <col min="14" max="14" width="12.1796875" style="433" customWidth="1"/>
    <col min="15" max="15" width="12.453125" style="433" customWidth="1"/>
    <col min="16" max="16" width="17.453125" style="433" customWidth="1"/>
    <col min="17" max="17" width="14" style="433" customWidth="1"/>
    <col min="18" max="18" width="12.453125" style="433" hidden="1" customWidth="1"/>
    <col min="19" max="19" width="29" style="433" hidden="1" customWidth="1"/>
    <col min="20" max="20" width="24.81640625" style="433" hidden="1" customWidth="1" outlineLevel="1"/>
    <col min="21" max="21" width="13.81640625" style="4" hidden="1" customWidth="1" outlineLevel="1"/>
    <col min="22" max="23" width="13.81640625" style="433" hidden="1" customWidth="1" outlineLevel="1"/>
    <col min="24" max="24" width="29" style="433" bestFit="1" customWidth="1" collapsed="1"/>
    <col min="25" max="25" width="13.81640625" style="436" customWidth="1"/>
    <col min="26" max="26" width="13.81640625" style="452" customWidth="1"/>
    <col min="27" max="27" width="32" style="433" bestFit="1" customWidth="1"/>
    <col min="28" max="28" width="39.1796875" style="433" customWidth="1"/>
    <col min="29" max="29" width="13.1796875" style="437" customWidth="1"/>
    <col min="30" max="30" width="12.7265625" style="437" customWidth="1"/>
    <col min="31" max="31" width="10.54296875" style="437" customWidth="1"/>
    <col min="32" max="32" width="7.54296875" style="433" customWidth="1"/>
    <col min="33" max="40" width="5.81640625" style="4" customWidth="1"/>
    <col min="41" max="43" width="5.81640625" style="433" customWidth="1"/>
    <col min="44" max="44" width="9.1796875" style="437" customWidth="1"/>
    <col min="45" max="45" width="12.1796875" style="437" customWidth="1"/>
    <col min="46" max="16384" width="8.81640625" style="433"/>
  </cols>
  <sheetData>
    <row r="1" spans="1:45" ht="13" x14ac:dyDescent="0.25">
      <c r="D1" s="434" t="s">
        <v>1953</v>
      </c>
      <c r="E1" s="435"/>
      <c r="U1" s="433"/>
      <c r="AG1" s="433"/>
      <c r="AH1" s="433"/>
      <c r="AI1" s="433"/>
      <c r="AJ1" s="433"/>
      <c r="AK1" s="433"/>
      <c r="AL1" s="433"/>
      <c r="AM1" s="433"/>
      <c r="AN1" s="433"/>
    </row>
    <row r="2" spans="1:45" ht="13" x14ac:dyDescent="0.25">
      <c r="D2" s="438" t="s">
        <v>640</v>
      </c>
      <c r="E2" s="435"/>
      <c r="U2" s="433"/>
      <c r="AG2" s="433"/>
      <c r="AH2" s="433"/>
      <c r="AI2" s="433"/>
      <c r="AJ2" s="433"/>
      <c r="AK2" s="433"/>
      <c r="AL2" s="433"/>
      <c r="AM2" s="433"/>
      <c r="AN2" s="433"/>
    </row>
    <row r="3" spans="1:45" ht="21.65" customHeight="1" x14ac:dyDescent="0.25">
      <c r="D3" s="439" t="s">
        <v>1765</v>
      </c>
      <c r="E3" s="435"/>
      <c r="U3" s="433"/>
      <c r="AG3" s="433"/>
      <c r="AH3" s="433"/>
      <c r="AI3" s="433"/>
      <c r="AJ3" s="433"/>
      <c r="AK3" s="433"/>
      <c r="AL3" s="433"/>
      <c r="AM3" s="433"/>
      <c r="AN3" s="433"/>
    </row>
    <row r="4" spans="1:45" ht="13" x14ac:dyDescent="0.3">
      <c r="D4" s="440"/>
      <c r="E4" s="440"/>
      <c r="U4" s="433"/>
      <c r="AG4" s="433"/>
      <c r="AH4" s="433"/>
      <c r="AI4" s="433"/>
      <c r="AJ4" s="433"/>
      <c r="AK4" s="433"/>
      <c r="AL4" s="433"/>
      <c r="AM4" s="433"/>
      <c r="AN4" s="433"/>
    </row>
    <row r="5" spans="1:45" ht="13" x14ac:dyDescent="0.3">
      <c r="L5" s="441" t="s">
        <v>642</v>
      </c>
      <c r="M5" s="442">
        <v>26500</v>
      </c>
      <c r="U5" s="433"/>
      <c r="AG5" s="433"/>
      <c r="AH5" s="433"/>
      <c r="AI5" s="433"/>
      <c r="AJ5" s="433"/>
      <c r="AK5" s="433"/>
      <c r="AL5" s="433"/>
      <c r="AM5" s="433"/>
      <c r="AN5" s="433"/>
    </row>
    <row r="6" spans="1:45" s="443" customFormat="1" ht="26" x14ac:dyDescent="0.3">
      <c r="B6" s="444" t="s">
        <v>1761</v>
      </c>
      <c r="C6" s="444"/>
      <c r="D6" s="444" t="s">
        <v>1761</v>
      </c>
      <c r="E6" s="444"/>
      <c r="F6" s="444"/>
      <c r="G6" s="444"/>
      <c r="H6" s="444" t="s">
        <v>1761</v>
      </c>
      <c r="I6" s="444"/>
      <c r="J6" s="444"/>
      <c r="K6" s="444"/>
      <c r="L6" s="444"/>
      <c r="M6" s="444"/>
      <c r="N6" s="444"/>
      <c r="O6" s="444"/>
      <c r="P6" s="444"/>
      <c r="Q6" s="444"/>
      <c r="R6" s="444"/>
      <c r="S6" s="444" t="s">
        <v>1761</v>
      </c>
      <c r="T6" s="444"/>
      <c r="U6" s="444"/>
      <c r="V6" s="444"/>
      <c r="W6" s="444"/>
      <c r="X6" s="444"/>
      <c r="Y6" s="445"/>
      <c r="Z6" s="705" t="s">
        <v>1762</v>
      </c>
      <c r="AA6" s="705" t="s">
        <v>1762</v>
      </c>
      <c r="AB6" s="705" t="s">
        <v>1762</v>
      </c>
      <c r="AC6" s="446"/>
      <c r="AD6" s="446"/>
      <c r="AE6" s="446"/>
      <c r="AR6" s="447"/>
      <c r="AS6" s="446"/>
    </row>
    <row r="7" spans="1:45" ht="47.5" customHeight="1" x14ac:dyDescent="0.25">
      <c r="A7" s="689" t="s">
        <v>0</v>
      </c>
      <c r="B7" s="689" t="s">
        <v>643</v>
      </c>
      <c r="C7" s="689" t="s">
        <v>644</v>
      </c>
      <c r="D7" s="695" t="s">
        <v>645</v>
      </c>
      <c r="E7" s="695" t="s">
        <v>646</v>
      </c>
      <c r="F7" s="696" t="s">
        <v>647</v>
      </c>
      <c r="G7" s="696" t="s">
        <v>648</v>
      </c>
      <c r="H7" s="689" t="s">
        <v>649</v>
      </c>
      <c r="I7" s="689" t="s">
        <v>650</v>
      </c>
      <c r="J7" s="689" t="s">
        <v>651</v>
      </c>
      <c r="K7" s="689" t="s">
        <v>652</v>
      </c>
      <c r="L7" s="689" t="s">
        <v>653</v>
      </c>
      <c r="M7" s="689" t="s">
        <v>654</v>
      </c>
      <c r="N7" s="689" t="s">
        <v>655</v>
      </c>
      <c r="O7" s="690" t="s">
        <v>656</v>
      </c>
      <c r="P7" s="690" t="s">
        <v>657</v>
      </c>
      <c r="Q7" s="690" t="s">
        <v>658</v>
      </c>
      <c r="R7" s="690" t="s">
        <v>659</v>
      </c>
      <c r="S7" s="690" t="s">
        <v>660</v>
      </c>
      <c r="T7" s="689" t="s">
        <v>661</v>
      </c>
      <c r="U7" s="689" t="s">
        <v>662</v>
      </c>
      <c r="V7" s="689" t="s">
        <v>663</v>
      </c>
      <c r="W7" s="689" t="s">
        <v>664</v>
      </c>
      <c r="X7" s="689" t="s">
        <v>1646</v>
      </c>
      <c r="Y7" s="691" t="s">
        <v>1645</v>
      </c>
      <c r="Z7" s="692" t="s">
        <v>568</v>
      </c>
      <c r="AA7" s="692" t="s">
        <v>470</v>
      </c>
      <c r="AB7" s="566" t="s">
        <v>701</v>
      </c>
      <c r="AC7" s="694" t="s">
        <v>685</v>
      </c>
      <c r="AD7" s="694" t="s">
        <v>682</v>
      </c>
      <c r="AE7" s="694" t="s">
        <v>683</v>
      </c>
      <c r="AF7" s="567" t="s">
        <v>56</v>
      </c>
      <c r="AG7" s="567" t="s">
        <v>57</v>
      </c>
      <c r="AH7" s="567" t="s">
        <v>58</v>
      </c>
      <c r="AI7" s="567" t="s">
        <v>59</v>
      </c>
      <c r="AJ7" s="567" t="s">
        <v>60</v>
      </c>
      <c r="AK7" s="567" t="s">
        <v>61</v>
      </c>
      <c r="AL7" s="567" t="s">
        <v>62</v>
      </c>
      <c r="AM7" s="567" t="s">
        <v>63</v>
      </c>
      <c r="AN7" s="567" t="s">
        <v>64</v>
      </c>
      <c r="AO7" s="567" t="s">
        <v>65</v>
      </c>
      <c r="AP7" s="567" t="s">
        <v>66</v>
      </c>
      <c r="AQ7" s="567" t="s">
        <v>67</v>
      </c>
      <c r="AR7" s="693" t="s">
        <v>399</v>
      </c>
      <c r="AS7" s="694" t="s">
        <v>686</v>
      </c>
    </row>
    <row r="8" spans="1:45" s="698" customFormat="1" ht="28.4" customHeight="1" x14ac:dyDescent="0.3">
      <c r="A8" s="1147" t="s">
        <v>1763</v>
      </c>
      <c r="B8" s="1148"/>
      <c r="C8" s="1148"/>
      <c r="D8" s="1148"/>
      <c r="E8" s="1148"/>
      <c r="F8" s="1148"/>
      <c r="G8" s="1148"/>
      <c r="H8" s="1148"/>
      <c r="I8" s="1148"/>
      <c r="J8" s="1148"/>
      <c r="K8" s="1148"/>
      <c r="L8" s="1157">
        <f>SUM(L9:L56)</f>
        <v>2388488083</v>
      </c>
      <c r="M8" s="1148"/>
      <c r="N8" s="1149"/>
      <c r="O8" s="1148"/>
      <c r="P8" s="1150"/>
      <c r="Q8" s="1151"/>
      <c r="R8" s="1151" t="str">
        <f>LEFT(CAPEX_202510[[#This Row],[Tài khoản COA chi phí khấu hao]],3)</f>
        <v/>
      </c>
      <c r="S8" s="1151"/>
      <c r="T8" s="1150"/>
      <c r="U8" s="1151"/>
      <c r="V8" s="1151"/>
      <c r="W8" s="1151"/>
      <c r="X8" s="1150"/>
      <c r="Y8" s="1152"/>
      <c r="Z8" s="1153"/>
      <c r="AA8" s="1154"/>
      <c r="AB8" s="1154"/>
      <c r="AC8" s="1155">
        <f>SUM(AC9:AC56)</f>
        <v>2388488083</v>
      </c>
      <c r="AD8" s="1155">
        <f>AC8-AE8</f>
        <v>834897682</v>
      </c>
      <c r="AE8" s="1155">
        <f t="shared" ref="AE8:AQ8" si="0">SUM(AE9:AE56)</f>
        <v>1553590401</v>
      </c>
      <c r="AF8" s="1155">
        <f>SUM(AF9:AF56)</f>
        <v>77785219</v>
      </c>
      <c r="AG8" s="1155">
        <f t="shared" si="0"/>
        <v>76600217</v>
      </c>
      <c r="AH8" s="1155">
        <f t="shared" si="0"/>
        <v>74415640</v>
      </c>
      <c r="AI8" s="1155">
        <f t="shared" si="0"/>
        <v>69631436</v>
      </c>
      <c r="AJ8" s="1155">
        <f t="shared" si="0"/>
        <v>69118762</v>
      </c>
      <c r="AK8" s="1155">
        <f t="shared" si="0"/>
        <v>65644494</v>
      </c>
      <c r="AL8" s="1155">
        <f t="shared" si="0"/>
        <v>64746992</v>
      </c>
      <c r="AM8" s="1155">
        <f t="shared" si="0"/>
        <v>63978634</v>
      </c>
      <c r="AN8" s="1155">
        <f t="shared" si="0"/>
        <v>62178801</v>
      </c>
      <c r="AO8" s="1155">
        <f t="shared" si="0"/>
        <v>62178801</v>
      </c>
      <c r="AP8" s="1155">
        <f t="shared" si="0"/>
        <v>62178801</v>
      </c>
      <c r="AQ8" s="1155">
        <f t="shared" si="0"/>
        <v>62178801</v>
      </c>
      <c r="AR8" s="1155">
        <f>SUM(AF8:AQ8)</f>
        <v>810636598</v>
      </c>
      <c r="AS8" s="1155">
        <f>CAPEX_202510[[#This Row],[Giá trị còn lại]]-CAPEX_202510[[#This Row],[Mục tiêu 2026]]</f>
        <v>742953803</v>
      </c>
    </row>
    <row r="9" spans="1:45" ht="40.5" customHeight="1" outlineLevel="1" x14ac:dyDescent="0.25">
      <c r="A9" s="450" t="s">
        <v>209</v>
      </c>
      <c r="B9" s="684" t="s">
        <v>516</v>
      </c>
      <c r="C9" s="684" t="s">
        <v>516</v>
      </c>
      <c r="D9" s="684" t="s">
        <v>1697</v>
      </c>
      <c r="E9" s="684" t="s">
        <v>1685</v>
      </c>
      <c r="F9" s="684"/>
      <c r="G9" s="684"/>
      <c r="H9" s="684" t="s">
        <v>1694</v>
      </c>
      <c r="I9" s="1026" t="s">
        <v>2076</v>
      </c>
      <c r="J9" s="1156">
        <v>16842783</v>
      </c>
      <c r="K9" s="684">
        <v>1</v>
      </c>
      <c r="L9" s="1156">
        <f>CAPEX_202510[[#This Row],[Đơn giá ( chưa bao gồm VAT)]]*CAPEX_202510[[#This Row],[Số lượng]]</f>
        <v>16842783</v>
      </c>
      <c r="M9" s="684"/>
      <c r="N9" s="684"/>
      <c r="O9" s="684">
        <v>39</v>
      </c>
      <c r="P9" s="1198" t="str">
        <f>CAPEX_202510[[#This Row],[Loại tài sản]]</f>
        <v>Máy móc, thiết bị</v>
      </c>
      <c r="Q9" s="686" t="s">
        <v>2018</v>
      </c>
      <c r="R9" s="686"/>
      <c r="S9" s="685"/>
      <c r="T9" s="685"/>
      <c r="U9" s="686"/>
      <c r="V9" s="686"/>
      <c r="W9" s="686"/>
      <c r="X9" s="1031" t="s">
        <v>2028</v>
      </c>
      <c r="Y9" s="687" t="str">
        <f>LEFT(CAPEX_202510[[#This Row],[Mã tài khoản (Mã Chi phí_L4)]],3)</f>
        <v>627</v>
      </c>
      <c r="Z9" s="688">
        <v>6277006501</v>
      </c>
      <c r="AA9" s="565" t="s">
        <v>469</v>
      </c>
      <c r="AB9" s="565" t="s">
        <v>579</v>
      </c>
      <c r="AC9" s="1158">
        <v>16842783</v>
      </c>
      <c r="AD9" s="1158">
        <f>CAPEX_202510[[#This Row],[Giá trị nguyên giá]]-CAPEX_202510[[#This Row],[Giá trị còn lại]]</f>
        <v>5614258</v>
      </c>
      <c r="AE9" s="1158">
        <v>11228525</v>
      </c>
      <c r="AF9" s="1158">
        <v>431866</v>
      </c>
      <c r="AG9" s="1158">
        <v>431866</v>
      </c>
      <c r="AH9" s="1158">
        <v>431866</v>
      </c>
      <c r="AI9" s="1158">
        <v>431866</v>
      </c>
      <c r="AJ9" s="1158">
        <v>431866</v>
      </c>
      <c r="AK9" s="1158">
        <v>431866</v>
      </c>
      <c r="AL9" s="1158">
        <v>431866</v>
      </c>
      <c r="AM9" s="1158">
        <v>431866</v>
      </c>
      <c r="AN9" s="1158">
        <v>431866</v>
      </c>
      <c r="AO9" s="1158">
        <v>431866</v>
      </c>
      <c r="AP9" s="1158">
        <v>431866</v>
      </c>
      <c r="AQ9" s="1158">
        <v>431866</v>
      </c>
      <c r="AR9" s="412">
        <f t="shared" ref="AR9:AR103" si="1">SUM(AF9:AQ9)</f>
        <v>5182392</v>
      </c>
      <c r="AS9" s="412">
        <f>AE9-AR9</f>
        <v>6046133</v>
      </c>
    </row>
    <row r="10" spans="1:45" ht="40.5" customHeight="1" outlineLevel="1" x14ac:dyDescent="0.25">
      <c r="A10" s="450" t="s">
        <v>210</v>
      </c>
      <c r="B10" s="684" t="s">
        <v>516</v>
      </c>
      <c r="C10" s="450" t="s">
        <v>516</v>
      </c>
      <c r="D10" s="684" t="s">
        <v>1697</v>
      </c>
      <c r="E10" s="684" t="s">
        <v>1685</v>
      </c>
      <c r="F10" s="450"/>
      <c r="G10" s="450"/>
      <c r="H10" s="684" t="s">
        <v>1694</v>
      </c>
      <c r="I10" s="1026" t="s">
        <v>2076</v>
      </c>
      <c r="J10" s="1156">
        <v>22433530</v>
      </c>
      <c r="K10" s="684">
        <v>1</v>
      </c>
      <c r="L10" s="1156">
        <f>CAPEX_202510[[#This Row],[Đơn giá ( chưa bao gồm VAT)]]*CAPEX_202510[[#This Row],[Số lượng]]</f>
        <v>22433530</v>
      </c>
      <c r="M10" s="450"/>
      <c r="N10" s="684"/>
      <c r="O10" s="450">
        <v>60</v>
      </c>
      <c r="P10" s="1198" t="str">
        <f>CAPEX_202510[[#This Row],[Loại tài sản]]</f>
        <v>Máy móc, thiết bị</v>
      </c>
      <c r="Q10" s="448" t="s">
        <v>2019</v>
      </c>
      <c r="R10" s="448"/>
      <c r="S10" s="685"/>
      <c r="T10" s="682"/>
      <c r="U10" s="448"/>
      <c r="V10" s="448"/>
      <c r="W10" s="448"/>
      <c r="X10" s="1031" t="s">
        <v>2029</v>
      </c>
      <c r="Y10" s="687" t="str">
        <f>LEFT(CAPEX_202510[[#This Row],[Mã tài khoản (Mã Chi phí_L4)]],3)</f>
        <v>627</v>
      </c>
      <c r="Z10" s="451">
        <v>6277006501</v>
      </c>
      <c r="AA10" s="449" t="s">
        <v>469</v>
      </c>
      <c r="AB10" s="449" t="s">
        <v>579</v>
      </c>
      <c r="AC10" s="1159">
        <v>22433530</v>
      </c>
      <c r="AD10" s="1158">
        <f>CAPEX_202510[[#This Row],[Giá trị nguyên giá]]-CAPEX_202510[[#This Row],[Giá trị còn lại]]</f>
        <v>4860596</v>
      </c>
      <c r="AE10" s="1159">
        <v>17572934</v>
      </c>
      <c r="AF10" s="1159">
        <v>373892</v>
      </c>
      <c r="AG10" s="1159">
        <v>373892</v>
      </c>
      <c r="AH10" s="1159">
        <v>373892</v>
      </c>
      <c r="AI10" s="1159">
        <v>373892</v>
      </c>
      <c r="AJ10" s="1159">
        <v>373892</v>
      </c>
      <c r="AK10" s="1159">
        <v>373892</v>
      </c>
      <c r="AL10" s="1159">
        <v>373892</v>
      </c>
      <c r="AM10" s="1159">
        <v>373892</v>
      </c>
      <c r="AN10" s="1159">
        <v>373892</v>
      </c>
      <c r="AO10" s="1159">
        <v>373892</v>
      </c>
      <c r="AP10" s="1159">
        <v>373892</v>
      </c>
      <c r="AQ10" s="1159">
        <v>373892</v>
      </c>
      <c r="AR10" s="412">
        <f t="shared" si="1"/>
        <v>4486704</v>
      </c>
      <c r="AS10" s="412">
        <f t="shared" ref="AS10:AS73" si="2">AE10-AR10</f>
        <v>13086230</v>
      </c>
    </row>
    <row r="11" spans="1:45" ht="40.5" customHeight="1" outlineLevel="1" x14ac:dyDescent="0.25">
      <c r="A11" s="450" t="s">
        <v>211</v>
      </c>
      <c r="B11" s="684" t="s">
        <v>516</v>
      </c>
      <c r="C11" s="450" t="s">
        <v>516</v>
      </c>
      <c r="D11" s="450" t="s">
        <v>1691</v>
      </c>
      <c r="E11" s="684" t="s">
        <v>1685</v>
      </c>
      <c r="F11" s="450"/>
      <c r="G11" s="450"/>
      <c r="H11" s="684" t="s">
        <v>1694</v>
      </c>
      <c r="I11" s="1039" t="s">
        <v>1982</v>
      </c>
      <c r="J11" s="1156">
        <v>21348167</v>
      </c>
      <c r="K11" s="684">
        <v>1</v>
      </c>
      <c r="L11" s="1156">
        <f>CAPEX_202510[[#This Row],[Đơn giá ( chưa bao gồm VAT)]]*CAPEX_202510[[#This Row],[Số lượng]]</f>
        <v>21348167</v>
      </c>
      <c r="M11" s="450"/>
      <c r="N11" s="684"/>
      <c r="O11" s="450">
        <v>59</v>
      </c>
      <c r="P11" s="1198" t="str">
        <f>CAPEX_202510[[#This Row],[Loại tài sản]]</f>
        <v>Dụng cụ quản lý</v>
      </c>
      <c r="Q11" s="448" t="s">
        <v>2018</v>
      </c>
      <c r="R11" s="448"/>
      <c r="S11" s="448"/>
      <c r="T11" s="682"/>
      <c r="U11" s="448"/>
      <c r="V11" s="448"/>
      <c r="W11" s="448"/>
      <c r="X11" s="1030" t="s">
        <v>2030</v>
      </c>
      <c r="Y11" s="687" t="str">
        <f>LEFT(CAPEX_202510[[#This Row],[Mã tài khoản (Mã Chi phí_L4)]],3)</f>
        <v>627</v>
      </c>
      <c r="Z11" s="451">
        <v>6273001908</v>
      </c>
      <c r="AA11" s="449" t="s">
        <v>435</v>
      </c>
      <c r="AB11" s="449" t="s">
        <v>580</v>
      </c>
      <c r="AC11" s="1159">
        <v>21348167</v>
      </c>
      <c r="AD11" s="1158">
        <f>CAPEX_202510[[#This Row],[Giá trị nguyên giá]]-CAPEX_202510[[#This Row],[Giá trị còn lại]]</f>
        <v>4703829</v>
      </c>
      <c r="AE11" s="1159">
        <v>16644338</v>
      </c>
      <c r="AF11" s="1159">
        <v>361833</v>
      </c>
      <c r="AG11" s="1159">
        <v>361833</v>
      </c>
      <c r="AH11" s="1159">
        <v>361833</v>
      </c>
      <c r="AI11" s="1159">
        <v>361833</v>
      </c>
      <c r="AJ11" s="1159">
        <v>361833</v>
      </c>
      <c r="AK11" s="1159">
        <v>361833</v>
      </c>
      <c r="AL11" s="1159">
        <v>361833</v>
      </c>
      <c r="AM11" s="1159">
        <v>361833</v>
      </c>
      <c r="AN11" s="1159">
        <v>361833</v>
      </c>
      <c r="AO11" s="1159">
        <v>361833</v>
      </c>
      <c r="AP11" s="1159">
        <v>361833</v>
      </c>
      <c r="AQ11" s="1159">
        <v>361833</v>
      </c>
      <c r="AR11" s="412">
        <f t="shared" si="1"/>
        <v>4341996</v>
      </c>
      <c r="AS11" s="412">
        <f t="shared" si="2"/>
        <v>12302342</v>
      </c>
    </row>
    <row r="12" spans="1:45" ht="40.5" customHeight="1" outlineLevel="1" x14ac:dyDescent="0.25">
      <c r="A12" s="450" t="s">
        <v>1648</v>
      </c>
      <c r="B12" s="684" t="s">
        <v>516</v>
      </c>
      <c r="C12" s="450" t="s">
        <v>516</v>
      </c>
      <c r="D12" s="450" t="s">
        <v>1691</v>
      </c>
      <c r="E12" s="684" t="s">
        <v>1685</v>
      </c>
      <c r="F12" s="450"/>
      <c r="G12" s="450"/>
      <c r="H12" s="684" t="s">
        <v>1694</v>
      </c>
      <c r="I12" s="1039" t="s">
        <v>1982</v>
      </c>
      <c r="J12" s="1156">
        <v>19207667</v>
      </c>
      <c r="K12" s="684">
        <v>1</v>
      </c>
      <c r="L12" s="1156">
        <f>CAPEX_202510[[#This Row],[Đơn giá ( chưa bao gồm VAT)]]*CAPEX_202510[[#This Row],[Số lượng]]</f>
        <v>19207667</v>
      </c>
      <c r="M12" s="450"/>
      <c r="N12" s="684"/>
      <c r="O12" s="450">
        <v>36</v>
      </c>
      <c r="P12" s="1198" t="str">
        <f>CAPEX_202510[[#This Row],[Loại tài sản]]</f>
        <v>Dụng cụ quản lý</v>
      </c>
      <c r="Q12" s="448" t="s">
        <v>2020</v>
      </c>
      <c r="R12" s="448"/>
      <c r="S12" s="448"/>
      <c r="T12" s="682"/>
      <c r="U12" s="448"/>
      <c r="V12" s="448"/>
      <c r="W12" s="448"/>
      <c r="X12" s="1030" t="s">
        <v>2031</v>
      </c>
      <c r="Y12" s="687" t="str">
        <f>LEFT(CAPEX_202510[[#This Row],[Mã tài khoản (Mã Chi phí_L4)]],3)</f>
        <v>642</v>
      </c>
      <c r="Z12" s="451">
        <v>6423002402</v>
      </c>
      <c r="AA12" s="449" t="s">
        <v>436</v>
      </c>
      <c r="AB12" s="449" t="s">
        <v>580</v>
      </c>
      <c r="AC12" s="1159">
        <v>19207667</v>
      </c>
      <c r="AD12" s="1158">
        <f>CAPEX_202510[[#This Row],[Giá trị nguyên giá]]-CAPEX_202510[[#This Row],[Giá trị còn lại]]</f>
        <v>17441442</v>
      </c>
      <c r="AE12" s="1159">
        <v>1766225</v>
      </c>
      <c r="AF12" s="1159">
        <v>533546</v>
      </c>
      <c r="AG12" s="1159">
        <v>533546</v>
      </c>
      <c r="AH12" s="1159">
        <v>533546</v>
      </c>
      <c r="AI12" s="1159">
        <v>165587</v>
      </c>
      <c r="AJ12" s="1159"/>
      <c r="AK12" s="1159"/>
      <c r="AL12" s="1159"/>
      <c r="AM12" s="1159"/>
      <c r="AN12" s="1159"/>
      <c r="AO12" s="1159"/>
      <c r="AP12" s="1159"/>
      <c r="AQ12" s="1159"/>
      <c r="AR12" s="412">
        <f t="shared" si="1"/>
        <v>1766225</v>
      </c>
      <c r="AS12" s="412">
        <f t="shared" si="2"/>
        <v>0</v>
      </c>
    </row>
    <row r="13" spans="1:45" ht="40.5" customHeight="1" outlineLevel="1" x14ac:dyDescent="0.25">
      <c r="A13" s="450" t="s">
        <v>1649</v>
      </c>
      <c r="B13" s="684" t="s">
        <v>516</v>
      </c>
      <c r="C13" s="450" t="s">
        <v>516</v>
      </c>
      <c r="D13" s="450" t="s">
        <v>1691</v>
      </c>
      <c r="E13" s="684" t="s">
        <v>1685</v>
      </c>
      <c r="F13" s="450"/>
      <c r="G13" s="450"/>
      <c r="H13" s="684" t="s">
        <v>1694</v>
      </c>
      <c r="I13" s="1039" t="s">
        <v>1982</v>
      </c>
      <c r="J13" s="1156">
        <v>15312000</v>
      </c>
      <c r="K13" s="684">
        <v>1</v>
      </c>
      <c r="L13" s="1156">
        <f>CAPEX_202510[[#This Row],[Đơn giá ( chưa bao gồm VAT)]]*CAPEX_202510[[#This Row],[Số lượng]]</f>
        <v>15312000</v>
      </c>
      <c r="M13" s="450"/>
      <c r="N13" s="684"/>
      <c r="O13" s="450">
        <v>36</v>
      </c>
      <c r="P13" s="1198" t="str">
        <f>CAPEX_202510[[#This Row],[Loại tài sản]]</f>
        <v>Dụng cụ quản lý</v>
      </c>
      <c r="Q13" s="448" t="s">
        <v>2020</v>
      </c>
      <c r="R13" s="448"/>
      <c r="S13" s="448"/>
      <c r="T13" s="682"/>
      <c r="U13" s="448"/>
      <c r="V13" s="448"/>
      <c r="W13" s="448"/>
      <c r="X13" s="1030" t="s">
        <v>2032</v>
      </c>
      <c r="Y13" s="687" t="str">
        <f>LEFT(CAPEX_202510[[#This Row],[Mã tài khoản (Mã Chi phí_L4)]],3)</f>
        <v>642</v>
      </c>
      <c r="Z13" s="451">
        <v>6423002402</v>
      </c>
      <c r="AA13" s="449" t="s">
        <v>436</v>
      </c>
      <c r="AB13" s="449" t="s">
        <v>580</v>
      </c>
      <c r="AC13" s="1159">
        <v>15312000</v>
      </c>
      <c r="AD13" s="1158">
        <f>CAPEX_202510[[#This Row],[Giá trị nguyên giá]]-CAPEX_202510[[#This Row],[Giá trị còn lại]]</f>
        <v>13903992</v>
      </c>
      <c r="AE13" s="1159">
        <v>1408008</v>
      </c>
      <c r="AF13" s="1159">
        <v>425333</v>
      </c>
      <c r="AG13" s="1159">
        <v>425333</v>
      </c>
      <c r="AH13" s="1159">
        <v>425333</v>
      </c>
      <c r="AI13" s="1159">
        <v>132009</v>
      </c>
      <c r="AJ13" s="1159"/>
      <c r="AK13" s="1159"/>
      <c r="AL13" s="1159"/>
      <c r="AM13" s="1159"/>
      <c r="AN13" s="1159"/>
      <c r="AO13" s="1159"/>
      <c r="AP13" s="1159"/>
      <c r="AQ13" s="1159"/>
      <c r="AR13" s="412">
        <f t="shared" si="1"/>
        <v>1408008</v>
      </c>
      <c r="AS13" s="412">
        <f t="shared" si="2"/>
        <v>0</v>
      </c>
    </row>
    <row r="14" spans="1:45" ht="40.5" customHeight="1" outlineLevel="1" x14ac:dyDescent="0.25">
      <c r="A14" s="450" t="s">
        <v>1650</v>
      </c>
      <c r="B14" s="684" t="s">
        <v>516</v>
      </c>
      <c r="C14" s="450" t="s">
        <v>516</v>
      </c>
      <c r="D14" s="450" t="s">
        <v>1691</v>
      </c>
      <c r="E14" s="684" t="s">
        <v>1685</v>
      </c>
      <c r="F14" s="450"/>
      <c r="G14" s="450"/>
      <c r="H14" s="684" t="s">
        <v>1694</v>
      </c>
      <c r="I14" s="1039" t="s">
        <v>2077</v>
      </c>
      <c r="J14" s="1156">
        <v>5759000</v>
      </c>
      <c r="K14" s="684">
        <v>1</v>
      </c>
      <c r="L14" s="1156">
        <f>CAPEX_202510[[#This Row],[Đơn giá ( chưa bao gồm VAT)]]*CAPEX_202510[[#This Row],[Số lượng]]</f>
        <v>5759000</v>
      </c>
      <c r="M14" s="450"/>
      <c r="N14" s="684"/>
      <c r="O14" s="450">
        <v>36</v>
      </c>
      <c r="P14" s="1198" t="str">
        <f>CAPEX_202510[[#This Row],[Loại tài sản]]</f>
        <v>Dụng cụ quản lý</v>
      </c>
      <c r="Q14" s="448" t="s">
        <v>2020</v>
      </c>
      <c r="R14" s="448"/>
      <c r="S14" s="682"/>
      <c r="T14" s="682"/>
      <c r="U14" s="448"/>
      <c r="V14" s="448"/>
      <c r="W14" s="448"/>
      <c r="X14" s="1030" t="s">
        <v>2033</v>
      </c>
      <c r="Y14" s="687" t="str">
        <f>LEFT(CAPEX_202510[[#This Row],[Mã tài khoản (Mã Chi phí_L4)]],3)</f>
        <v>642</v>
      </c>
      <c r="Z14" s="451">
        <v>6427005801</v>
      </c>
      <c r="AA14" s="449" t="s">
        <v>434</v>
      </c>
      <c r="AB14" s="449" t="s">
        <v>590</v>
      </c>
      <c r="AC14" s="1159">
        <v>5759000</v>
      </c>
      <c r="AD14" s="1158">
        <f>CAPEX_202510[[#This Row],[Giá trị nguyên giá]]-CAPEX_202510[[#This Row],[Giá trị còn lại]]</f>
        <v>4623707</v>
      </c>
      <c r="AE14" s="1159">
        <v>1135293</v>
      </c>
      <c r="AF14" s="1159">
        <v>159972</v>
      </c>
      <c r="AG14" s="1159">
        <v>159972</v>
      </c>
      <c r="AH14" s="1159">
        <v>159972</v>
      </c>
      <c r="AI14" s="1159">
        <v>159972</v>
      </c>
      <c r="AJ14" s="1159">
        <v>159972</v>
      </c>
      <c r="AK14" s="1159">
        <v>159972</v>
      </c>
      <c r="AL14" s="1159">
        <v>159972</v>
      </c>
      <c r="AM14" s="1159">
        <v>15489</v>
      </c>
      <c r="AN14" s="1159"/>
      <c r="AO14" s="1159"/>
      <c r="AP14" s="1159"/>
      <c r="AQ14" s="1159"/>
      <c r="AR14" s="412">
        <f t="shared" si="1"/>
        <v>1135293</v>
      </c>
      <c r="AS14" s="412">
        <f t="shared" si="2"/>
        <v>0</v>
      </c>
    </row>
    <row r="15" spans="1:45" ht="40.5" customHeight="1" outlineLevel="1" x14ac:dyDescent="0.25">
      <c r="A15" s="450" t="s">
        <v>1651</v>
      </c>
      <c r="B15" s="684" t="s">
        <v>516</v>
      </c>
      <c r="C15" s="450" t="s">
        <v>516</v>
      </c>
      <c r="D15" s="450" t="s">
        <v>1691</v>
      </c>
      <c r="E15" s="684" t="s">
        <v>1685</v>
      </c>
      <c r="F15" s="450"/>
      <c r="G15" s="450"/>
      <c r="H15" s="684" t="s">
        <v>1694</v>
      </c>
      <c r="I15" s="1039" t="s">
        <v>2078</v>
      </c>
      <c r="J15" s="1156">
        <v>4898000</v>
      </c>
      <c r="K15" s="684">
        <v>1</v>
      </c>
      <c r="L15" s="1156">
        <f>CAPEX_202510[[#This Row],[Đơn giá ( chưa bao gồm VAT)]]*CAPEX_202510[[#This Row],[Số lượng]]</f>
        <v>4898000</v>
      </c>
      <c r="M15" s="450"/>
      <c r="N15" s="684"/>
      <c r="O15" s="450">
        <v>39</v>
      </c>
      <c r="P15" s="1198" t="str">
        <f>CAPEX_202510[[#This Row],[Loại tài sản]]</f>
        <v>Dụng cụ quản lý</v>
      </c>
      <c r="Q15" s="448" t="s">
        <v>2020</v>
      </c>
      <c r="R15" s="448"/>
      <c r="S15" s="682"/>
      <c r="T15" s="682"/>
      <c r="U15" s="448"/>
      <c r="V15" s="448"/>
      <c r="W15" s="448"/>
      <c r="X15" s="1030" t="s">
        <v>2034</v>
      </c>
      <c r="Y15" s="687" t="str">
        <f>LEFT(CAPEX_202510[[#This Row],[Mã tài khoản (Mã Chi phí_L4)]],3)</f>
        <v>642</v>
      </c>
      <c r="Z15" s="451">
        <v>6427005801</v>
      </c>
      <c r="AA15" s="449" t="s">
        <v>434</v>
      </c>
      <c r="AB15" s="449" t="s">
        <v>590</v>
      </c>
      <c r="AC15" s="1159">
        <v>4898000</v>
      </c>
      <c r="AD15" s="1158">
        <f>CAPEX_202510[[#This Row],[Giá trị nguyên giá]]-CAPEX_202510[[#This Row],[Giá trị còn lại]]</f>
        <v>3629956</v>
      </c>
      <c r="AE15" s="1159">
        <v>1268044</v>
      </c>
      <c r="AF15" s="1159">
        <v>125590</v>
      </c>
      <c r="AG15" s="1159">
        <v>125590</v>
      </c>
      <c r="AH15" s="1159">
        <v>125590</v>
      </c>
      <c r="AI15" s="1159">
        <v>125590</v>
      </c>
      <c r="AJ15" s="1159">
        <v>125590</v>
      </c>
      <c r="AK15" s="1159">
        <v>125590</v>
      </c>
      <c r="AL15" s="1159">
        <v>125590</v>
      </c>
      <c r="AM15" s="1159">
        <v>125590</v>
      </c>
      <c r="AN15" s="1159">
        <v>125590</v>
      </c>
      <c r="AO15" s="1159">
        <v>125590</v>
      </c>
      <c r="AP15" s="1159">
        <v>125590</v>
      </c>
      <c r="AQ15" s="1159">
        <v>125590</v>
      </c>
      <c r="AR15" s="412">
        <f t="shared" si="1"/>
        <v>1507080</v>
      </c>
      <c r="AS15" s="412">
        <f t="shared" si="2"/>
        <v>-239036</v>
      </c>
    </row>
    <row r="16" spans="1:45" ht="40.5" customHeight="1" outlineLevel="1" x14ac:dyDescent="0.25">
      <c r="A16" s="450" t="s">
        <v>1652</v>
      </c>
      <c r="B16" s="684" t="s">
        <v>516</v>
      </c>
      <c r="C16" s="450" t="s">
        <v>516</v>
      </c>
      <c r="D16" s="450" t="s">
        <v>1691</v>
      </c>
      <c r="E16" s="684" t="s">
        <v>1685</v>
      </c>
      <c r="F16" s="450"/>
      <c r="G16" s="450"/>
      <c r="H16" s="684" t="s">
        <v>1694</v>
      </c>
      <c r="I16" s="1039" t="s">
        <v>1982</v>
      </c>
      <c r="J16" s="1156">
        <v>17500000</v>
      </c>
      <c r="K16" s="684">
        <v>1</v>
      </c>
      <c r="L16" s="1156">
        <f>CAPEX_202510[[#This Row],[Đơn giá ( chưa bao gồm VAT)]]*CAPEX_202510[[#This Row],[Số lượng]]</f>
        <v>17500000</v>
      </c>
      <c r="M16" s="450"/>
      <c r="N16" s="684"/>
      <c r="O16" s="450">
        <v>24</v>
      </c>
      <c r="P16" s="1198" t="str">
        <f>CAPEX_202510[[#This Row],[Loại tài sản]]</f>
        <v>Dụng cụ quản lý</v>
      </c>
      <c r="Q16" s="448" t="s">
        <v>2018</v>
      </c>
      <c r="R16" s="448"/>
      <c r="S16" s="682"/>
      <c r="T16" s="682"/>
      <c r="U16" s="448"/>
      <c r="V16" s="448"/>
      <c r="W16" s="448"/>
      <c r="X16" s="1030" t="s">
        <v>2035</v>
      </c>
      <c r="Y16" s="687" t="str">
        <f>LEFT(CAPEX_202510[[#This Row],[Mã tài khoản (Mã Chi phí_L4)]],3)</f>
        <v>627</v>
      </c>
      <c r="Z16" s="451">
        <v>6273001908</v>
      </c>
      <c r="AA16" s="449" t="s">
        <v>435</v>
      </c>
      <c r="AB16" s="449" t="s">
        <v>580</v>
      </c>
      <c r="AC16" s="1159">
        <v>17500000</v>
      </c>
      <c r="AD16" s="1158">
        <f>CAPEX_202510[[#This Row],[Giá trị nguyên giá]]-CAPEX_202510[[#This Row],[Giá trị còn lại]]</f>
        <v>12066538</v>
      </c>
      <c r="AE16" s="1159">
        <v>5433462</v>
      </c>
      <c r="AF16" s="1159">
        <v>729167</v>
      </c>
      <c r="AG16" s="1159">
        <v>729167</v>
      </c>
      <c r="AH16" s="1159">
        <v>729167</v>
      </c>
      <c r="AI16" s="1159">
        <v>729167</v>
      </c>
      <c r="AJ16" s="1159">
        <v>729167</v>
      </c>
      <c r="AK16" s="1159">
        <v>729167</v>
      </c>
      <c r="AL16" s="1159">
        <v>729167</v>
      </c>
      <c r="AM16" s="1159">
        <v>329293</v>
      </c>
      <c r="AN16" s="1159"/>
      <c r="AO16" s="1159"/>
      <c r="AP16" s="1159"/>
      <c r="AQ16" s="1159"/>
      <c r="AR16" s="412">
        <f t="shared" si="1"/>
        <v>5433462</v>
      </c>
      <c r="AS16" s="412">
        <f t="shared" si="2"/>
        <v>0</v>
      </c>
    </row>
    <row r="17" spans="1:45" ht="40.5" customHeight="1" outlineLevel="1" x14ac:dyDescent="0.25">
      <c r="A17" s="450" t="s">
        <v>1653</v>
      </c>
      <c r="B17" s="684" t="s">
        <v>516</v>
      </c>
      <c r="C17" s="450" t="s">
        <v>516</v>
      </c>
      <c r="D17" s="450" t="s">
        <v>1697</v>
      </c>
      <c r="E17" s="684" t="s">
        <v>1685</v>
      </c>
      <c r="F17" s="450"/>
      <c r="G17" s="450"/>
      <c r="H17" s="684" t="s">
        <v>1694</v>
      </c>
      <c r="I17" s="1039" t="s">
        <v>2079</v>
      </c>
      <c r="J17" s="1156">
        <v>91200000</v>
      </c>
      <c r="K17" s="684">
        <v>1</v>
      </c>
      <c r="L17" s="1156">
        <f>CAPEX_202510[[#This Row],[Đơn giá ( chưa bao gồm VAT)]]*CAPEX_202510[[#This Row],[Số lượng]]</f>
        <v>91200000</v>
      </c>
      <c r="M17" s="450"/>
      <c r="N17" s="684"/>
      <c r="O17" s="450">
        <v>36</v>
      </c>
      <c r="P17" s="1198" t="str">
        <f>CAPEX_202510[[#This Row],[Loại tài sản]]</f>
        <v>Máy móc, thiết bị</v>
      </c>
      <c r="Q17" s="448" t="s">
        <v>2018</v>
      </c>
      <c r="R17" s="448"/>
      <c r="S17" s="682"/>
      <c r="T17" s="682"/>
      <c r="U17" s="448"/>
      <c r="V17" s="448"/>
      <c r="W17" s="448"/>
      <c r="X17" s="1030" t="s">
        <v>2036</v>
      </c>
      <c r="Y17" s="687" t="str">
        <f>LEFT(CAPEX_202510[[#This Row],[Mã tài khoản (Mã Chi phí_L4)]],3)</f>
        <v>627</v>
      </c>
      <c r="Z17" s="451">
        <v>6273006501</v>
      </c>
      <c r="AA17" s="449" t="s">
        <v>469</v>
      </c>
      <c r="AB17" s="449" t="s">
        <v>579</v>
      </c>
      <c r="AC17" s="1159">
        <v>91200000</v>
      </c>
      <c r="AD17" s="1158">
        <f>CAPEX_202510[[#This Row],[Giá trị nguyên giá]]-CAPEX_202510[[#This Row],[Giá trị còn lại]]</f>
        <v>41268812</v>
      </c>
      <c r="AE17" s="1159">
        <v>49931188</v>
      </c>
      <c r="AF17" s="1159">
        <v>2533333</v>
      </c>
      <c r="AG17" s="1159">
        <v>2533333</v>
      </c>
      <c r="AH17" s="1159">
        <v>2533333</v>
      </c>
      <c r="AI17" s="1159">
        <v>2533333</v>
      </c>
      <c r="AJ17" s="1159">
        <v>2533333</v>
      </c>
      <c r="AK17" s="1159">
        <v>2533333</v>
      </c>
      <c r="AL17" s="1159">
        <v>2533333</v>
      </c>
      <c r="AM17" s="1159">
        <v>2533333</v>
      </c>
      <c r="AN17" s="1159">
        <v>2533333</v>
      </c>
      <c r="AO17" s="1159">
        <v>2533333</v>
      </c>
      <c r="AP17" s="1159">
        <v>2533333</v>
      </c>
      <c r="AQ17" s="1159">
        <v>2533333</v>
      </c>
      <c r="AR17" s="412">
        <f t="shared" si="1"/>
        <v>30399996</v>
      </c>
      <c r="AS17" s="412">
        <f t="shared" si="2"/>
        <v>19531192</v>
      </c>
    </row>
    <row r="18" spans="1:45" ht="40.5" customHeight="1" outlineLevel="1" x14ac:dyDescent="0.25">
      <c r="A18" s="450" t="s">
        <v>1654</v>
      </c>
      <c r="B18" s="684" t="s">
        <v>516</v>
      </c>
      <c r="C18" s="450" t="s">
        <v>516</v>
      </c>
      <c r="D18" s="450" t="s">
        <v>1697</v>
      </c>
      <c r="E18" s="684" t="s">
        <v>1685</v>
      </c>
      <c r="F18" s="450"/>
      <c r="G18" s="450"/>
      <c r="H18" s="684" t="s">
        <v>1694</v>
      </c>
      <c r="I18" s="1039" t="s">
        <v>2079</v>
      </c>
      <c r="J18" s="1156">
        <v>111700000</v>
      </c>
      <c r="K18" s="684">
        <v>1</v>
      </c>
      <c r="L18" s="1156">
        <f>CAPEX_202510[[#This Row],[Đơn giá ( chưa bao gồm VAT)]]*CAPEX_202510[[#This Row],[Số lượng]]</f>
        <v>111700000</v>
      </c>
      <c r="M18" s="450"/>
      <c r="N18" s="684"/>
      <c r="O18" s="450">
        <v>36</v>
      </c>
      <c r="P18" s="1198" t="str">
        <f>CAPEX_202510[[#This Row],[Loại tài sản]]</f>
        <v>Máy móc, thiết bị</v>
      </c>
      <c r="Q18" s="448" t="s">
        <v>2018</v>
      </c>
      <c r="R18" s="448"/>
      <c r="S18" s="448"/>
      <c r="T18" s="682"/>
      <c r="U18" s="448"/>
      <c r="V18" s="448"/>
      <c r="W18" s="448"/>
      <c r="X18" s="1030" t="s">
        <v>2037</v>
      </c>
      <c r="Y18" s="687" t="str">
        <f>LEFT(CAPEX_202510[[#This Row],[Mã tài khoản (Mã Chi phí_L4)]],3)</f>
        <v>627</v>
      </c>
      <c r="Z18" s="451">
        <v>6273006501</v>
      </c>
      <c r="AA18" s="449" t="s">
        <v>469</v>
      </c>
      <c r="AB18" s="449" t="s">
        <v>579</v>
      </c>
      <c r="AC18" s="1159">
        <v>111700000</v>
      </c>
      <c r="AD18" s="1158">
        <f>CAPEX_202510[[#This Row],[Giá trị nguyên giá]]-CAPEX_202510[[#This Row],[Giá trị còn lại]]</f>
        <v>50545254</v>
      </c>
      <c r="AE18" s="1159">
        <v>61154746</v>
      </c>
      <c r="AF18" s="1159">
        <v>3102778</v>
      </c>
      <c r="AG18" s="1159">
        <v>3102778</v>
      </c>
      <c r="AH18" s="1159">
        <v>3102778</v>
      </c>
      <c r="AI18" s="1159">
        <v>3102778</v>
      </c>
      <c r="AJ18" s="1159">
        <v>3102778</v>
      </c>
      <c r="AK18" s="1159">
        <v>3102778</v>
      </c>
      <c r="AL18" s="1159">
        <v>3102778</v>
      </c>
      <c r="AM18" s="1159">
        <v>3102778</v>
      </c>
      <c r="AN18" s="1159">
        <v>3102778</v>
      </c>
      <c r="AO18" s="1159">
        <v>3102778</v>
      </c>
      <c r="AP18" s="1159">
        <v>3102778</v>
      </c>
      <c r="AQ18" s="1159">
        <v>3102778</v>
      </c>
      <c r="AR18" s="412">
        <f t="shared" si="1"/>
        <v>37233336</v>
      </c>
      <c r="AS18" s="412">
        <f t="shared" si="2"/>
        <v>23921410</v>
      </c>
    </row>
    <row r="19" spans="1:45" ht="40.5" customHeight="1" outlineLevel="1" x14ac:dyDescent="0.25">
      <c r="A19" s="450" t="s">
        <v>1655</v>
      </c>
      <c r="B19" s="684" t="s">
        <v>516</v>
      </c>
      <c r="C19" s="450" t="s">
        <v>516</v>
      </c>
      <c r="D19" s="450" t="s">
        <v>1697</v>
      </c>
      <c r="E19" s="684" t="s">
        <v>1685</v>
      </c>
      <c r="F19" s="450"/>
      <c r="G19" s="450"/>
      <c r="H19" s="684" t="s">
        <v>1694</v>
      </c>
      <c r="I19" s="1039" t="s">
        <v>2080</v>
      </c>
      <c r="J19" s="1156">
        <v>603868148</v>
      </c>
      <c r="K19" s="684">
        <v>1</v>
      </c>
      <c r="L19" s="1156">
        <f>CAPEX_202510[[#This Row],[Đơn giá ( chưa bao gồm VAT)]]*CAPEX_202510[[#This Row],[Số lượng]]</f>
        <v>603868148</v>
      </c>
      <c r="M19" s="450"/>
      <c r="N19" s="684"/>
      <c r="O19" s="450">
        <v>36</v>
      </c>
      <c r="P19" s="1198" t="str">
        <f>CAPEX_202510[[#This Row],[Loại tài sản]]</f>
        <v>Máy móc, thiết bị</v>
      </c>
      <c r="Q19" s="448" t="s">
        <v>2018</v>
      </c>
      <c r="R19" s="448"/>
      <c r="S19" s="448"/>
      <c r="T19" s="682"/>
      <c r="U19" s="448"/>
      <c r="V19" s="448"/>
      <c r="W19" s="448"/>
      <c r="X19" s="1030" t="s">
        <v>2038</v>
      </c>
      <c r="Y19" s="687" t="str">
        <f>LEFT(CAPEX_202510[[#This Row],[Mã tài khoản (Mã Chi phí_L4)]],3)</f>
        <v>627</v>
      </c>
      <c r="Z19" s="451">
        <v>6273006501</v>
      </c>
      <c r="AA19" s="449" t="s">
        <v>469</v>
      </c>
      <c r="AB19" s="449" t="s">
        <v>579</v>
      </c>
      <c r="AC19" s="1159">
        <v>603868148</v>
      </c>
      <c r="AD19" s="1158">
        <f>CAPEX_202510[[#This Row],[Giá trị nguyên giá]]-CAPEX_202510[[#This Row],[Giá trị còn lại]]</f>
        <v>218063495</v>
      </c>
      <c r="AE19" s="1159">
        <v>385804653</v>
      </c>
      <c r="AF19" s="1159">
        <v>16774115</v>
      </c>
      <c r="AG19" s="1159">
        <v>16774115</v>
      </c>
      <c r="AH19" s="1159">
        <v>16774115</v>
      </c>
      <c r="AI19" s="1159">
        <v>16774115</v>
      </c>
      <c r="AJ19" s="1159">
        <v>16774115</v>
      </c>
      <c r="AK19" s="1159">
        <v>16774115</v>
      </c>
      <c r="AL19" s="1159">
        <v>16774115</v>
      </c>
      <c r="AM19" s="1159">
        <v>16774115</v>
      </c>
      <c r="AN19" s="1159">
        <v>16774115</v>
      </c>
      <c r="AO19" s="1159">
        <v>16774115</v>
      </c>
      <c r="AP19" s="1159">
        <v>16774115</v>
      </c>
      <c r="AQ19" s="1159">
        <v>16774115</v>
      </c>
      <c r="AR19" s="412">
        <f t="shared" si="1"/>
        <v>201289380</v>
      </c>
      <c r="AS19" s="412">
        <f t="shared" si="2"/>
        <v>184515273</v>
      </c>
    </row>
    <row r="20" spans="1:45" ht="40.5" customHeight="1" outlineLevel="1" x14ac:dyDescent="0.25">
      <c r="A20" s="450" t="s">
        <v>1656</v>
      </c>
      <c r="B20" s="684" t="s">
        <v>516</v>
      </c>
      <c r="C20" s="450" t="s">
        <v>516</v>
      </c>
      <c r="D20" s="450" t="s">
        <v>1697</v>
      </c>
      <c r="E20" s="684" t="s">
        <v>1685</v>
      </c>
      <c r="F20" s="450"/>
      <c r="G20" s="450"/>
      <c r="H20" s="684" t="s">
        <v>1694</v>
      </c>
      <c r="I20" s="1039" t="s">
        <v>1985</v>
      </c>
      <c r="J20" s="1156">
        <v>638356320</v>
      </c>
      <c r="K20" s="684">
        <v>1</v>
      </c>
      <c r="L20" s="1156">
        <f>CAPEX_202510[[#This Row],[Đơn giá ( chưa bao gồm VAT)]]*CAPEX_202510[[#This Row],[Số lượng]]</f>
        <v>638356320</v>
      </c>
      <c r="M20" s="450"/>
      <c r="N20" s="684"/>
      <c r="O20" s="450">
        <v>36</v>
      </c>
      <c r="P20" s="1198" t="str">
        <f>CAPEX_202510[[#This Row],[Loại tài sản]]</f>
        <v>Máy móc, thiết bị</v>
      </c>
      <c r="Q20" s="448" t="s">
        <v>2018</v>
      </c>
      <c r="R20" s="448"/>
      <c r="S20" s="448"/>
      <c r="T20" s="682"/>
      <c r="U20" s="448"/>
      <c r="V20" s="448"/>
      <c r="W20" s="448"/>
      <c r="X20" s="1030" t="s">
        <v>2039</v>
      </c>
      <c r="Y20" s="687" t="str">
        <f>LEFT(CAPEX_202510[[#This Row],[Mã tài khoản (Mã Chi phí_L4)]],3)</f>
        <v>627</v>
      </c>
      <c r="Z20" s="451">
        <v>6273006501</v>
      </c>
      <c r="AA20" s="449" t="s">
        <v>469</v>
      </c>
      <c r="AB20" s="449" t="s">
        <v>579</v>
      </c>
      <c r="AC20" s="1159">
        <v>638356320</v>
      </c>
      <c r="AD20" s="1158">
        <f>CAPEX_202510[[#This Row],[Giá trị nguyên giá]]-CAPEX_202510[[#This Row],[Giá trị còn lại]]</f>
        <v>230517560</v>
      </c>
      <c r="AE20" s="1159">
        <v>407838760</v>
      </c>
      <c r="AF20" s="1159">
        <v>17732120</v>
      </c>
      <c r="AG20" s="1159">
        <v>17732120</v>
      </c>
      <c r="AH20" s="1159">
        <v>17732120</v>
      </c>
      <c r="AI20" s="1159">
        <v>17732120</v>
      </c>
      <c r="AJ20" s="1159">
        <v>17732120</v>
      </c>
      <c r="AK20" s="1159">
        <v>17732120</v>
      </c>
      <c r="AL20" s="1159">
        <v>17732120</v>
      </c>
      <c r="AM20" s="1159">
        <v>17732120</v>
      </c>
      <c r="AN20" s="1159">
        <v>17732120</v>
      </c>
      <c r="AO20" s="1159">
        <v>17732120</v>
      </c>
      <c r="AP20" s="1159">
        <v>17732120</v>
      </c>
      <c r="AQ20" s="1159">
        <v>17732120</v>
      </c>
      <c r="AR20" s="412">
        <f t="shared" si="1"/>
        <v>212785440</v>
      </c>
      <c r="AS20" s="412">
        <f t="shared" si="2"/>
        <v>195053320</v>
      </c>
    </row>
    <row r="21" spans="1:45" ht="40.5" customHeight="1" outlineLevel="1" x14ac:dyDescent="0.25">
      <c r="A21" s="450" t="s">
        <v>1657</v>
      </c>
      <c r="B21" s="684" t="s">
        <v>516</v>
      </c>
      <c r="C21" s="450" t="s">
        <v>516</v>
      </c>
      <c r="D21" s="450" t="s">
        <v>1697</v>
      </c>
      <c r="E21" s="684" t="s">
        <v>1685</v>
      </c>
      <c r="F21" s="450"/>
      <c r="G21" s="450"/>
      <c r="H21" s="684" t="s">
        <v>1694</v>
      </c>
      <c r="I21" s="1039" t="s">
        <v>2080</v>
      </c>
      <c r="J21" s="1156">
        <v>74000000</v>
      </c>
      <c r="K21" s="684">
        <v>1</v>
      </c>
      <c r="L21" s="1156">
        <f>CAPEX_202510[[#This Row],[Đơn giá ( chưa bao gồm VAT)]]*CAPEX_202510[[#This Row],[Số lượng]]</f>
        <v>74000000</v>
      </c>
      <c r="M21" s="450"/>
      <c r="N21" s="684"/>
      <c r="O21" s="450">
        <v>36</v>
      </c>
      <c r="P21" s="1198" t="str">
        <f>CAPEX_202510[[#This Row],[Loại tài sản]]</f>
        <v>Máy móc, thiết bị</v>
      </c>
      <c r="Q21" s="448" t="s">
        <v>2020</v>
      </c>
      <c r="R21" s="448"/>
      <c r="S21" s="448"/>
      <c r="T21" s="682"/>
      <c r="U21" s="448"/>
      <c r="V21" s="448"/>
      <c r="W21" s="448"/>
      <c r="X21" s="1030" t="s">
        <v>2040</v>
      </c>
      <c r="Y21" s="687" t="str">
        <f>LEFT(CAPEX_202510[[#This Row],[Mã tài khoản (Mã Chi phí_L4)]],3)</f>
        <v>627</v>
      </c>
      <c r="Z21" s="451">
        <v>6273006501</v>
      </c>
      <c r="AA21" s="449" t="s">
        <v>469</v>
      </c>
      <c r="AB21" s="449" t="s">
        <v>579</v>
      </c>
      <c r="AC21" s="1159">
        <v>74000000</v>
      </c>
      <c r="AD21" s="1158">
        <f>CAPEX_202510[[#This Row],[Giá trị nguyên giá]]-CAPEX_202510[[#This Row],[Giá trị còn lại]]</f>
        <v>23207890</v>
      </c>
      <c r="AE21" s="1159">
        <v>50792110</v>
      </c>
      <c r="AF21" s="1159">
        <v>2055556</v>
      </c>
      <c r="AG21" s="1159">
        <v>2055556</v>
      </c>
      <c r="AH21" s="1159">
        <v>2055556</v>
      </c>
      <c r="AI21" s="1159">
        <v>2055556</v>
      </c>
      <c r="AJ21" s="1159">
        <v>2055556</v>
      </c>
      <c r="AK21" s="1159">
        <v>2055556</v>
      </c>
      <c r="AL21" s="1159">
        <v>2055556</v>
      </c>
      <c r="AM21" s="1159">
        <v>2055556</v>
      </c>
      <c r="AN21" s="1159">
        <v>2055556</v>
      </c>
      <c r="AO21" s="1159">
        <v>2055556</v>
      </c>
      <c r="AP21" s="1159">
        <v>2055556</v>
      </c>
      <c r="AQ21" s="1159">
        <v>2055556</v>
      </c>
      <c r="AR21" s="412">
        <f t="shared" si="1"/>
        <v>24666672</v>
      </c>
      <c r="AS21" s="412">
        <f t="shared" si="2"/>
        <v>26125438</v>
      </c>
    </row>
    <row r="22" spans="1:45" ht="40.5" customHeight="1" outlineLevel="1" x14ac:dyDescent="0.25">
      <c r="A22" s="450" t="s">
        <v>1658</v>
      </c>
      <c r="B22" s="684" t="s">
        <v>516</v>
      </c>
      <c r="C22" s="450" t="s">
        <v>516</v>
      </c>
      <c r="D22" s="450" t="s">
        <v>1691</v>
      </c>
      <c r="E22" s="684" t="s">
        <v>1685</v>
      </c>
      <c r="F22" s="450"/>
      <c r="G22" s="450"/>
      <c r="H22" s="684" t="s">
        <v>1694</v>
      </c>
      <c r="I22" s="1039" t="s">
        <v>1982</v>
      </c>
      <c r="J22" s="1156">
        <v>8866000</v>
      </c>
      <c r="K22" s="684">
        <v>1</v>
      </c>
      <c r="L22" s="1156">
        <f>CAPEX_202510[[#This Row],[Đơn giá ( chưa bao gồm VAT)]]*CAPEX_202510[[#This Row],[Số lượng]]</f>
        <v>8866000</v>
      </c>
      <c r="M22" s="450"/>
      <c r="N22" s="450"/>
      <c r="O22" s="450">
        <v>12</v>
      </c>
      <c r="P22" s="1198" t="str">
        <f>CAPEX_202510[[#This Row],[Loại tài sản]]</f>
        <v>Dụng cụ quản lý</v>
      </c>
      <c r="Q22" s="448" t="s">
        <v>2021</v>
      </c>
      <c r="R22" s="448"/>
      <c r="S22" s="448"/>
      <c r="T22" s="682"/>
      <c r="U22" s="448"/>
      <c r="V22" s="448"/>
      <c r="W22" s="448"/>
      <c r="X22" s="1030" t="s">
        <v>2041</v>
      </c>
      <c r="Y22" s="687" t="str">
        <f>LEFT(CAPEX_202510[[#This Row],[Mã tài khoản (Mã Chi phí_L4)]],3)</f>
        <v>642</v>
      </c>
      <c r="Z22" s="451">
        <v>6427005801</v>
      </c>
      <c r="AA22" s="449" t="s">
        <v>434</v>
      </c>
      <c r="AB22" s="449" t="s">
        <v>590</v>
      </c>
      <c r="AC22" s="1159">
        <v>8866000</v>
      </c>
      <c r="AD22" s="1158">
        <f>CAPEX_202510[[#This Row],[Giá trị nguyên giá]]-CAPEX_202510[[#This Row],[Giá trị còn lại]]</f>
        <v>7388330</v>
      </c>
      <c r="AE22" s="1159">
        <v>1477670</v>
      </c>
      <c r="AF22" s="1159">
        <v>738833</v>
      </c>
      <c r="AG22" s="1159">
        <v>738833</v>
      </c>
      <c r="AH22" s="1159">
        <v>4</v>
      </c>
      <c r="AI22" s="1159"/>
      <c r="AJ22" s="1159"/>
      <c r="AK22" s="1159"/>
      <c r="AL22" s="1159"/>
      <c r="AM22" s="1159"/>
      <c r="AN22" s="1159"/>
      <c r="AO22" s="1159"/>
      <c r="AP22" s="1159"/>
      <c r="AQ22" s="1159"/>
      <c r="AR22" s="412">
        <f>SUM(AF22:AQ22)</f>
        <v>1477670</v>
      </c>
      <c r="AS22" s="412">
        <f t="shared" si="2"/>
        <v>0</v>
      </c>
    </row>
    <row r="23" spans="1:45" ht="40.5" customHeight="1" outlineLevel="1" x14ac:dyDescent="0.25">
      <c r="A23" s="450" t="s">
        <v>1659</v>
      </c>
      <c r="B23" s="684" t="s">
        <v>516</v>
      </c>
      <c r="C23" s="450" t="s">
        <v>516</v>
      </c>
      <c r="D23" s="450" t="s">
        <v>1691</v>
      </c>
      <c r="E23" s="684" t="s">
        <v>1685</v>
      </c>
      <c r="F23" s="450"/>
      <c r="G23" s="450"/>
      <c r="H23" s="684" t="s">
        <v>1694</v>
      </c>
      <c r="I23" s="1039" t="s">
        <v>1984</v>
      </c>
      <c r="J23" s="1156">
        <v>14000000</v>
      </c>
      <c r="K23" s="684">
        <v>1</v>
      </c>
      <c r="L23" s="1156">
        <f>CAPEX_202510[[#This Row],[Đơn giá ( chưa bao gồm VAT)]]*CAPEX_202510[[#This Row],[Số lượng]]</f>
        <v>14000000</v>
      </c>
      <c r="M23" s="450"/>
      <c r="N23" s="450"/>
      <c r="O23" s="450">
        <v>12</v>
      </c>
      <c r="P23" s="1198" t="str">
        <f>CAPEX_202510[[#This Row],[Loại tài sản]]</f>
        <v>Dụng cụ quản lý</v>
      </c>
      <c r="Q23" s="448">
        <v>6423100003</v>
      </c>
      <c r="R23" s="448"/>
      <c r="S23" s="448"/>
      <c r="T23" s="682"/>
      <c r="U23" s="448"/>
      <c r="V23" s="448"/>
      <c r="W23" s="448"/>
      <c r="X23" s="1030" t="s">
        <v>2042</v>
      </c>
      <c r="Y23" s="687" t="str">
        <f>LEFT(CAPEX_202510[[#This Row],[Mã tài khoản (Mã Chi phí_L4)]],3)</f>
        <v>642</v>
      </c>
      <c r="Z23" s="451" t="s">
        <v>1494</v>
      </c>
      <c r="AA23" s="449" t="s">
        <v>1018</v>
      </c>
      <c r="AB23" s="449" t="s">
        <v>1019</v>
      </c>
      <c r="AC23" s="1159">
        <v>14000000</v>
      </c>
      <c r="AD23" s="1158">
        <f>CAPEX_202510[[#This Row],[Giá trị nguyên giá]]-CAPEX_202510[[#This Row],[Giá trị còn lại]]</f>
        <v>10500003</v>
      </c>
      <c r="AE23" s="1159">
        <v>3499997</v>
      </c>
      <c r="AF23" s="1159">
        <v>1166667</v>
      </c>
      <c r="AG23" s="1159">
        <v>1166667</v>
      </c>
      <c r="AH23" s="1159">
        <v>1166663</v>
      </c>
      <c r="AI23" s="1159"/>
      <c r="AJ23" s="1159"/>
      <c r="AK23" s="1159"/>
      <c r="AL23" s="1159"/>
      <c r="AM23" s="1159"/>
      <c r="AN23" s="1159"/>
      <c r="AO23" s="1159"/>
      <c r="AP23" s="1159"/>
      <c r="AQ23" s="1159"/>
      <c r="AR23" s="412">
        <f t="shared" si="1"/>
        <v>3499997</v>
      </c>
      <c r="AS23" s="412">
        <f t="shared" si="2"/>
        <v>0</v>
      </c>
    </row>
    <row r="24" spans="1:45" ht="40.5" customHeight="1" outlineLevel="1" x14ac:dyDescent="0.25">
      <c r="A24" s="450" t="s">
        <v>1660</v>
      </c>
      <c r="B24" s="684" t="s">
        <v>516</v>
      </c>
      <c r="C24" s="450" t="s">
        <v>516</v>
      </c>
      <c r="D24" s="450" t="s">
        <v>1691</v>
      </c>
      <c r="E24" s="684" t="s">
        <v>1685</v>
      </c>
      <c r="F24" s="450"/>
      <c r="G24" s="450"/>
      <c r="H24" s="684" t="s">
        <v>1694</v>
      </c>
      <c r="I24" s="1039" t="s">
        <v>2081</v>
      </c>
      <c r="J24" s="1156">
        <v>949000</v>
      </c>
      <c r="K24" s="684">
        <v>1</v>
      </c>
      <c r="L24" s="1156">
        <f>CAPEX_202510[[#This Row],[Đơn giá ( chưa bao gồm VAT)]]*CAPEX_202510[[#This Row],[Số lượng]]</f>
        <v>949000</v>
      </c>
      <c r="M24" s="450"/>
      <c r="N24" s="450"/>
      <c r="O24" s="450">
        <v>12</v>
      </c>
      <c r="P24" s="1198" t="str">
        <f>CAPEX_202510[[#This Row],[Loại tài sản]]</f>
        <v>Dụng cụ quản lý</v>
      </c>
      <c r="Q24" s="448" t="s">
        <v>2021</v>
      </c>
      <c r="R24" s="448"/>
      <c r="S24" s="448"/>
      <c r="T24" s="682"/>
      <c r="U24" s="448"/>
      <c r="V24" s="448"/>
      <c r="W24" s="448"/>
      <c r="X24" s="1030" t="s">
        <v>2043</v>
      </c>
      <c r="Y24" s="687" t="str">
        <f>LEFT(CAPEX_202510[[#This Row],[Mã tài khoản (Mã Chi phí_L4)]],3)</f>
        <v>642</v>
      </c>
      <c r="Z24" s="451">
        <v>6427005801</v>
      </c>
      <c r="AA24" s="449" t="s">
        <v>434</v>
      </c>
      <c r="AB24" s="449" t="s">
        <v>590</v>
      </c>
      <c r="AC24" s="1159">
        <v>949000</v>
      </c>
      <c r="AD24" s="1158">
        <f>CAPEX_202510[[#This Row],[Giá trị nguyên giá]]-CAPEX_202510[[#This Row],[Giá trị còn lại]]</f>
        <v>790830</v>
      </c>
      <c r="AE24" s="1159">
        <v>158170</v>
      </c>
      <c r="AF24" s="407">
        <v>79083</v>
      </c>
      <c r="AG24" s="407">
        <v>79083</v>
      </c>
      <c r="AH24" s="407">
        <v>4</v>
      </c>
      <c r="AI24" s="407"/>
      <c r="AJ24" s="407"/>
      <c r="AK24" s="407"/>
      <c r="AL24" s="407"/>
      <c r="AM24" s="407"/>
      <c r="AN24" s="407"/>
      <c r="AO24" s="407"/>
      <c r="AP24" s="407"/>
      <c r="AQ24" s="407"/>
      <c r="AR24" s="412">
        <f t="shared" si="1"/>
        <v>158170</v>
      </c>
      <c r="AS24" s="412">
        <f t="shared" si="2"/>
        <v>0</v>
      </c>
    </row>
    <row r="25" spans="1:45" ht="40.5" customHeight="1" outlineLevel="1" x14ac:dyDescent="0.25">
      <c r="A25" s="450" t="s">
        <v>1661</v>
      </c>
      <c r="B25" s="684" t="s">
        <v>516</v>
      </c>
      <c r="C25" s="450" t="s">
        <v>516</v>
      </c>
      <c r="D25" s="450" t="s">
        <v>1691</v>
      </c>
      <c r="E25" s="684" t="s">
        <v>1685</v>
      </c>
      <c r="F25" s="450"/>
      <c r="G25" s="450"/>
      <c r="H25" s="684" t="s">
        <v>1694</v>
      </c>
      <c r="I25" s="1039" t="s">
        <v>2082</v>
      </c>
      <c r="J25" s="1156">
        <v>32160000</v>
      </c>
      <c r="K25" s="684">
        <v>1</v>
      </c>
      <c r="L25" s="1156">
        <f>CAPEX_202510[[#This Row],[Đơn giá ( chưa bao gồm VAT)]]*CAPEX_202510[[#This Row],[Số lượng]]</f>
        <v>32160000</v>
      </c>
      <c r="M25" s="450"/>
      <c r="N25" s="450"/>
      <c r="O25" s="450">
        <v>12</v>
      </c>
      <c r="P25" s="1198" t="str">
        <f>CAPEX_202510[[#This Row],[Loại tài sản]]</f>
        <v>Dụng cụ quản lý</v>
      </c>
      <c r="Q25" s="448" t="s">
        <v>2023</v>
      </c>
      <c r="R25" s="448"/>
      <c r="S25" s="448"/>
      <c r="T25" s="682"/>
      <c r="U25" s="448"/>
      <c r="V25" s="448"/>
      <c r="W25" s="448"/>
      <c r="X25" s="1030" t="s">
        <v>2044</v>
      </c>
      <c r="Y25" s="687" t="str">
        <f>LEFT(CAPEX_202510[[#This Row],[Mã tài khoản (Mã Chi phí_L4)]],3)</f>
        <v>627</v>
      </c>
      <c r="Z25" s="451">
        <v>6271003001</v>
      </c>
      <c r="AA25" s="449" t="s">
        <v>430</v>
      </c>
      <c r="AB25" s="449" t="s">
        <v>570</v>
      </c>
      <c r="AC25" s="1159">
        <v>32160000</v>
      </c>
      <c r="AD25" s="1158">
        <f>CAPEX_202510[[#This Row],[Giá trị nguyên giá]]-CAPEX_202510[[#This Row],[Giá trị còn lại]]</f>
        <v>24120000</v>
      </c>
      <c r="AE25" s="1159">
        <v>8040000</v>
      </c>
      <c r="AF25" s="407">
        <v>2680000</v>
      </c>
      <c r="AG25" s="407">
        <v>2680000</v>
      </c>
      <c r="AH25" s="407">
        <v>2680000</v>
      </c>
      <c r="AI25" s="407"/>
      <c r="AJ25" s="407"/>
      <c r="AK25" s="407"/>
      <c r="AL25" s="407"/>
      <c r="AM25" s="407"/>
      <c r="AN25" s="407"/>
      <c r="AO25" s="407"/>
      <c r="AP25" s="407"/>
      <c r="AQ25" s="407"/>
      <c r="AR25" s="412">
        <f t="shared" si="1"/>
        <v>8040000</v>
      </c>
      <c r="AS25" s="412">
        <f t="shared" si="2"/>
        <v>0</v>
      </c>
    </row>
    <row r="26" spans="1:45" ht="40.5" customHeight="1" outlineLevel="1" x14ac:dyDescent="0.25">
      <c r="A26" s="450" t="s">
        <v>1662</v>
      </c>
      <c r="B26" s="684" t="s">
        <v>516</v>
      </c>
      <c r="C26" s="450" t="s">
        <v>516</v>
      </c>
      <c r="D26" s="450" t="s">
        <v>1697</v>
      </c>
      <c r="E26" s="684" t="s">
        <v>1685</v>
      </c>
      <c r="F26" s="450"/>
      <c r="G26" s="450"/>
      <c r="H26" s="684" t="s">
        <v>1694</v>
      </c>
      <c r="I26" s="1026" t="s">
        <v>2076</v>
      </c>
      <c r="J26" s="1156">
        <v>2360000</v>
      </c>
      <c r="K26" s="684">
        <v>1</v>
      </c>
      <c r="L26" s="1156">
        <f>CAPEX_202510[[#This Row],[Đơn giá ( chưa bao gồm VAT)]]*CAPEX_202510[[#This Row],[Số lượng]]</f>
        <v>2360000</v>
      </c>
      <c r="M26" s="450"/>
      <c r="N26" s="450"/>
      <c r="O26" s="450">
        <v>24</v>
      </c>
      <c r="P26" s="1198" t="str">
        <f>CAPEX_202510[[#This Row],[Loại tài sản]]</f>
        <v>Máy móc, thiết bị</v>
      </c>
      <c r="Q26" s="448" t="s">
        <v>2018</v>
      </c>
      <c r="R26" s="448"/>
      <c r="S26" s="448"/>
      <c r="T26" s="682"/>
      <c r="U26" s="448"/>
      <c r="V26" s="448"/>
      <c r="W26" s="448"/>
      <c r="X26" s="1030" t="s">
        <v>2045</v>
      </c>
      <c r="Y26" s="687" t="str">
        <f>LEFT(CAPEX_202510[[#This Row],[Mã tài khoản (Mã Chi phí_L4)]],3)</f>
        <v>627</v>
      </c>
      <c r="Z26" s="451">
        <v>6277006501</v>
      </c>
      <c r="AA26" s="449" t="s">
        <v>469</v>
      </c>
      <c r="AB26" s="449" t="s">
        <v>579</v>
      </c>
      <c r="AC26" s="1159">
        <v>2360000</v>
      </c>
      <c r="AD26" s="1158">
        <f>CAPEX_202510[[#This Row],[Giá trị nguyên giá]]-CAPEX_202510[[#This Row],[Giá trị còn lại]]</f>
        <v>884997</v>
      </c>
      <c r="AE26" s="1159">
        <v>1475003</v>
      </c>
      <c r="AF26" s="1160">
        <v>98333</v>
      </c>
      <c r="AG26" s="1160">
        <v>98333</v>
      </c>
      <c r="AH26" s="1160">
        <v>98333</v>
      </c>
      <c r="AI26" s="1160">
        <v>98333</v>
      </c>
      <c r="AJ26" s="1160">
        <v>98333</v>
      </c>
      <c r="AK26" s="1160">
        <v>98333</v>
      </c>
      <c r="AL26" s="1160">
        <v>98333</v>
      </c>
      <c r="AM26" s="1160">
        <v>98333</v>
      </c>
      <c r="AN26" s="1160">
        <v>98333</v>
      </c>
      <c r="AO26" s="1160">
        <v>98333</v>
      </c>
      <c r="AP26" s="1160">
        <v>98333</v>
      </c>
      <c r="AQ26" s="1160">
        <v>98333</v>
      </c>
      <c r="AR26" s="412">
        <f t="shared" si="1"/>
        <v>1179996</v>
      </c>
      <c r="AS26" s="412">
        <f t="shared" si="2"/>
        <v>295007</v>
      </c>
    </row>
    <row r="27" spans="1:45" ht="40.5" customHeight="1" outlineLevel="1" x14ac:dyDescent="0.25">
      <c r="A27" s="450" t="s">
        <v>1663</v>
      </c>
      <c r="B27" s="684" t="s">
        <v>516</v>
      </c>
      <c r="C27" s="450" t="s">
        <v>516</v>
      </c>
      <c r="D27" s="450" t="s">
        <v>1691</v>
      </c>
      <c r="E27" s="684" t="s">
        <v>1685</v>
      </c>
      <c r="F27" s="450"/>
      <c r="G27" s="450"/>
      <c r="H27" s="684" t="s">
        <v>1694</v>
      </c>
      <c r="I27" s="1039" t="s">
        <v>2083</v>
      </c>
      <c r="J27" s="1156">
        <v>3315000</v>
      </c>
      <c r="K27" s="684">
        <v>1</v>
      </c>
      <c r="L27" s="1156">
        <f>CAPEX_202510[[#This Row],[Đơn giá ( chưa bao gồm VAT)]]*CAPEX_202510[[#This Row],[Số lượng]]</f>
        <v>3315000</v>
      </c>
      <c r="M27" s="450"/>
      <c r="N27" s="450"/>
      <c r="O27" s="450">
        <v>12</v>
      </c>
      <c r="P27" s="1198" t="str">
        <f>CAPEX_202510[[#This Row],[Loại tài sản]]</f>
        <v>Dụng cụ quản lý</v>
      </c>
      <c r="Q27" s="448" t="s">
        <v>2023</v>
      </c>
      <c r="R27" s="448"/>
      <c r="S27" s="448"/>
      <c r="T27" s="682"/>
      <c r="U27" s="448"/>
      <c r="V27" s="448"/>
      <c r="W27" s="448"/>
      <c r="X27" s="1030" t="s">
        <v>2046</v>
      </c>
      <c r="Y27" s="687" t="str">
        <f>LEFT(CAPEX_202510[[#This Row],[Mã tài khoản (Mã Chi phí_L4)]],3)</f>
        <v>627</v>
      </c>
      <c r="Z27" s="451">
        <v>6271003001</v>
      </c>
      <c r="AA27" s="449" t="s">
        <v>430</v>
      </c>
      <c r="AB27" s="449" t="s">
        <v>570</v>
      </c>
      <c r="AC27" s="1159">
        <v>3315000</v>
      </c>
      <c r="AD27" s="1158">
        <f>CAPEX_202510[[#This Row],[Giá trị nguyên giá]]-CAPEX_202510[[#This Row],[Giá trị còn lại]]</f>
        <v>2486250</v>
      </c>
      <c r="AE27" s="1159">
        <v>828750</v>
      </c>
      <c r="AF27" s="407">
        <v>276250</v>
      </c>
      <c r="AG27" s="407">
        <v>276250</v>
      </c>
      <c r="AH27" s="407">
        <v>276250</v>
      </c>
      <c r="AI27" s="407"/>
      <c r="AJ27" s="407"/>
      <c r="AK27" s="407"/>
      <c r="AL27" s="407"/>
      <c r="AM27" s="407"/>
      <c r="AN27" s="407"/>
      <c r="AO27" s="407"/>
      <c r="AP27" s="407"/>
      <c r="AQ27" s="407"/>
      <c r="AR27" s="412">
        <f t="shared" si="1"/>
        <v>828750</v>
      </c>
      <c r="AS27" s="412">
        <f t="shared" si="2"/>
        <v>0</v>
      </c>
    </row>
    <row r="28" spans="1:45" ht="40.5" customHeight="1" outlineLevel="1" x14ac:dyDescent="0.25">
      <c r="A28" s="450" t="s">
        <v>1664</v>
      </c>
      <c r="B28" s="684" t="s">
        <v>516</v>
      </c>
      <c r="C28" s="450" t="s">
        <v>516</v>
      </c>
      <c r="D28" s="450" t="s">
        <v>1697</v>
      </c>
      <c r="E28" s="684" t="s">
        <v>1685</v>
      </c>
      <c r="F28" s="450"/>
      <c r="G28" s="450"/>
      <c r="H28" s="684" t="s">
        <v>1694</v>
      </c>
      <c r="I28" s="1026" t="s">
        <v>2076</v>
      </c>
      <c r="J28" s="1156">
        <v>1500000</v>
      </c>
      <c r="K28" s="684">
        <v>1</v>
      </c>
      <c r="L28" s="1156">
        <f>CAPEX_202510[[#This Row],[Đơn giá ( chưa bao gồm VAT)]]*CAPEX_202510[[#This Row],[Số lượng]]</f>
        <v>1500000</v>
      </c>
      <c r="M28" s="450"/>
      <c r="N28" s="450"/>
      <c r="O28" s="450">
        <v>24</v>
      </c>
      <c r="P28" s="1198" t="str">
        <f>CAPEX_202510[[#This Row],[Loại tài sản]]</f>
        <v>Máy móc, thiết bị</v>
      </c>
      <c r="Q28" s="448" t="s">
        <v>2018</v>
      </c>
      <c r="R28" s="448"/>
      <c r="S28" s="448"/>
      <c r="T28" s="682"/>
      <c r="U28" s="448"/>
      <c r="V28" s="448"/>
      <c r="W28" s="448"/>
      <c r="X28" s="1030" t="s">
        <v>2047</v>
      </c>
      <c r="Y28" s="687" t="str">
        <f>LEFT(CAPEX_202510[[#This Row],[Mã tài khoản (Mã Chi phí_L4)]],3)</f>
        <v>627</v>
      </c>
      <c r="Z28" s="451">
        <v>6277006501</v>
      </c>
      <c r="AA28" s="449" t="s">
        <v>469</v>
      </c>
      <c r="AB28" s="449" t="s">
        <v>579</v>
      </c>
      <c r="AC28" s="1159">
        <v>1500000</v>
      </c>
      <c r="AD28" s="1158">
        <f>CAPEX_202510[[#This Row],[Giá trị nguyên giá]]-CAPEX_202510[[#This Row],[Giá trị còn lại]]</f>
        <v>562500</v>
      </c>
      <c r="AE28" s="1159">
        <v>937500</v>
      </c>
      <c r="AF28" s="407">
        <v>62500</v>
      </c>
      <c r="AG28" s="407">
        <v>62500</v>
      </c>
      <c r="AH28" s="407">
        <v>62500</v>
      </c>
      <c r="AI28" s="407">
        <v>62500</v>
      </c>
      <c r="AJ28" s="407">
        <v>62500</v>
      </c>
      <c r="AK28" s="407">
        <v>62500</v>
      </c>
      <c r="AL28" s="407">
        <v>62500</v>
      </c>
      <c r="AM28" s="407">
        <v>62500</v>
      </c>
      <c r="AN28" s="407">
        <v>62500</v>
      </c>
      <c r="AO28" s="407">
        <v>62500</v>
      </c>
      <c r="AP28" s="407">
        <v>62500</v>
      </c>
      <c r="AQ28" s="407">
        <v>62500</v>
      </c>
      <c r="AR28" s="412">
        <f t="shared" si="1"/>
        <v>750000</v>
      </c>
      <c r="AS28" s="412">
        <f t="shared" si="2"/>
        <v>187500</v>
      </c>
    </row>
    <row r="29" spans="1:45" ht="40.5" customHeight="1" outlineLevel="1" x14ac:dyDescent="0.25">
      <c r="A29" s="450" t="s">
        <v>1990</v>
      </c>
      <c r="B29" s="684" t="s">
        <v>516</v>
      </c>
      <c r="C29" s="450" t="s">
        <v>516</v>
      </c>
      <c r="D29" s="450" t="s">
        <v>1691</v>
      </c>
      <c r="E29" s="684" t="s">
        <v>1685</v>
      </c>
      <c r="F29" s="450"/>
      <c r="G29" s="450"/>
      <c r="H29" s="684" t="s">
        <v>1694</v>
      </c>
      <c r="I29" s="1039" t="s">
        <v>1982</v>
      </c>
      <c r="J29" s="1156">
        <v>52200000</v>
      </c>
      <c r="K29" s="684">
        <v>1</v>
      </c>
      <c r="L29" s="1156">
        <f>CAPEX_202510[[#This Row],[Đơn giá ( chưa bao gồm VAT)]]*CAPEX_202510[[#This Row],[Số lượng]]</f>
        <v>52200000</v>
      </c>
      <c r="M29" s="450"/>
      <c r="N29" s="1145"/>
      <c r="O29" s="1143">
        <v>36</v>
      </c>
      <c r="P29" s="1198" t="str">
        <f>CAPEX_202510[[#This Row],[Loại tài sản]]</f>
        <v>Dụng cụ quản lý</v>
      </c>
      <c r="Q29" s="1144" t="s">
        <v>2018</v>
      </c>
      <c r="R29" s="1144"/>
      <c r="S29" s="1144"/>
      <c r="T29" s="682"/>
      <c r="U29" s="448"/>
      <c r="V29" s="448"/>
      <c r="W29" s="1146"/>
      <c r="X29" s="1030" t="s">
        <v>2048</v>
      </c>
      <c r="Y29" s="687" t="str">
        <f>LEFT(CAPEX_202510[[#This Row],[Mã tài khoản (Mã Chi phí_L4)]],3)</f>
        <v>627</v>
      </c>
      <c r="Z29" s="451">
        <v>6273001908</v>
      </c>
      <c r="AA29" s="449" t="s">
        <v>435</v>
      </c>
      <c r="AB29" s="449" t="s">
        <v>580</v>
      </c>
      <c r="AC29" s="1158">
        <v>52200000</v>
      </c>
      <c r="AD29" s="1158">
        <f>CAPEX_202510[[#This Row],[Giá trị nguyên giá]]-CAPEX_202510[[#This Row],[Giá trị còn lại]]</f>
        <v>11600000</v>
      </c>
      <c r="AE29" s="1158">
        <v>40600000</v>
      </c>
      <c r="AF29" s="407">
        <v>1450000</v>
      </c>
      <c r="AG29" s="407">
        <v>1450000</v>
      </c>
      <c r="AH29" s="407">
        <v>1450000</v>
      </c>
      <c r="AI29" s="407">
        <v>1450000</v>
      </c>
      <c r="AJ29" s="407">
        <v>1450000</v>
      </c>
      <c r="AK29" s="407">
        <v>1450000</v>
      </c>
      <c r="AL29" s="407">
        <v>1450000</v>
      </c>
      <c r="AM29" s="407">
        <v>1450000</v>
      </c>
      <c r="AN29" s="407">
        <v>1450000</v>
      </c>
      <c r="AO29" s="407">
        <v>1450000</v>
      </c>
      <c r="AP29" s="407">
        <v>1450000</v>
      </c>
      <c r="AQ29" s="407">
        <v>1450000</v>
      </c>
      <c r="AR29" s="1025">
        <f t="shared" ref="AR29:AR58" si="3">SUM(AF29:AQ29)</f>
        <v>17400000</v>
      </c>
      <c r="AS29" s="412">
        <f t="shared" si="2"/>
        <v>23200000</v>
      </c>
    </row>
    <row r="30" spans="1:45" ht="40.5" customHeight="1" outlineLevel="1" x14ac:dyDescent="0.25">
      <c r="A30" s="450" t="s">
        <v>1991</v>
      </c>
      <c r="B30" s="684" t="s">
        <v>516</v>
      </c>
      <c r="C30" s="450" t="s">
        <v>516</v>
      </c>
      <c r="D30" s="450" t="s">
        <v>1691</v>
      </c>
      <c r="E30" s="684" t="s">
        <v>1685</v>
      </c>
      <c r="F30" s="450"/>
      <c r="G30" s="450"/>
      <c r="H30" s="684" t="s">
        <v>1694</v>
      </c>
      <c r="I30" s="1039" t="s">
        <v>2081</v>
      </c>
      <c r="J30" s="1156">
        <v>2520000</v>
      </c>
      <c r="K30" s="684">
        <v>1</v>
      </c>
      <c r="L30" s="1156">
        <f>CAPEX_202510[[#This Row],[Đơn giá ( chưa bao gồm VAT)]]*CAPEX_202510[[#This Row],[Số lượng]]</f>
        <v>2520000</v>
      </c>
      <c r="M30" s="450"/>
      <c r="N30" s="1145"/>
      <c r="O30" s="1143">
        <v>13</v>
      </c>
      <c r="P30" s="1198" t="str">
        <f>CAPEX_202510[[#This Row],[Loại tài sản]]</f>
        <v>Dụng cụ quản lý</v>
      </c>
      <c r="Q30" s="1144" t="s">
        <v>2024</v>
      </c>
      <c r="R30" s="1144"/>
      <c r="S30" s="1144"/>
      <c r="T30" s="682"/>
      <c r="U30" s="448"/>
      <c r="V30" s="448"/>
      <c r="W30" s="1146"/>
      <c r="X30" s="1030" t="s">
        <v>2049</v>
      </c>
      <c r="Y30" s="687" t="str">
        <f>LEFT(CAPEX_202510[[#This Row],[Mã tài khoản (Mã Chi phí_L4)]],3)</f>
        <v>642</v>
      </c>
      <c r="Z30" s="451">
        <v>6427004903</v>
      </c>
      <c r="AA30" s="449" t="s">
        <v>444</v>
      </c>
      <c r="AB30" s="449" t="s">
        <v>592</v>
      </c>
      <c r="AC30" s="1159">
        <v>2520000</v>
      </c>
      <c r="AD30" s="1158">
        <f>CAPEX_202510[[#This Row],[Giá trị nguyên giá]]-CAPEX_202510[[#This Row],[Giá trị còn lại]]</f>
        <v>1550768</v>
      </c>
      <c r="AE30" s="1159">
        <v>969232</v>
      </c>
      <c r="AF30" s="407">
        <v>193846</v>
      </c>
      <c r="AG30" s="407">
        <v>193846</v>
      </c>
      <c r="AH30" s="407">
        <v>193846</v>
      </c>
      <c r="AI30" s="407">
        <v>193846</v>
      </c>
      <c r="AJ30" s="407">
        <v>193846</v>
      </c>
      <c r="AK30" s="407">
        <v>2</v>
      </c>
      <c r="AL30" s="407"/>
      <c r="AM30" s="407"/>
      <c r="AN30" s="407"/>
      <c r="AO30" s="407"/>
      <c r="AP30" s="407"/>
      <c r="AQ30" s="407"/>
      <c r="AR30" s="1025">
        <f t="shared" si="3"/>
        <v>969232</v>
      </c>
      <c r="AS30" s="412">
        <f t="shared" si="2"/>
        <v>0</v>
      </c>
    </row>
    <row r="31" spans="1:45" ht="40.5" customHeight="1" outlineLevel="1" x14ac:dyDescent="0.25">
      <c r="A31" s="450" t="s">
        <v>1992</v>
      </c>
      <c r="B31" s="684" t="s">
        <v>516</v>
      </c>
      <c r="C31" s="450" t="s">
        <v>516</v>
      </c>
      <c r="D31" s="450" t="s">
        <v>1697</v>
      </c>
      <c r="E31" s="684" t="s">
        <v>1685</v>
      </c>
      <c r="F31" s="450"/>
      <c r="G31" s="450"/>
      <c r="H31" s="684" t="s">
        <v>1694</v>
      </c>
      <c r="I31" s="1039" t="s">
        <v>2084</v>
      </c>
      <c r="J31" s="1156">
        <v>133150000</v>
      </c>
      <c r="K31" s="684">
        <v>1</v>
      </c>
      <c r="L31" s="1156">
        <f>CAPEX_202510[[#This Row],[Đơn giá ( chưa bao gồm VAT)]]*CAPEX_202510[[#This Row],[Số lượng]]</f>
        <v>133150000</v>
      </c>
      <c r="M31" s="450"/>
      <c r="N31" s="1145"/>
      <c r="O31" s="1143">
        <v>24</v>
      </c>
      <c r="P31" s="1198" t="str">
        <f>CAPEX_202510[[#This Row],[Loại tài sản]]</f>
        <v>Máy móc, thiết bị</v>
      </c>
      <c r="Q31" s="1144" t="s">
        <v>2018</v>
      </c>
      <c r="R31" s="1144"/>
      <c r="S31" s="1144"/>
      <c r="T31" s="682"/>
      <c r="U31" s="448"/>
      <c r="V31" s="448"/>
      <c r="W31" s="1146"/>
      <c r="X31" s="1030" t="s">
        <v>2050</v>
      </c>
      <c r="Y31" s="687" t="str">
        <f>LEFT(CAPEX_202510[[#This Row],[Mã tài khoản (Mã Chi phí_L4)]],3)</f>
        <v>627</v>
      </c>
      <c r="Z31" s="451">
        <v>6273006501</v>
      </c>
      <c r="AA31" s="449" t="s">
        <v>469</v>
      </c>
      <c r="AB31" s="449" t="s">
        <v>579</v>
      </c>
      <c r="AC31" s="1159">
        <v>133150000</v>
      </c>
      <c r="AD31" s="1158">
        <f>CAPEX_202510[[#This Row],[Giá trị nguyên giá]]-CAPEX_202510[[#This Row],[Giá trị còn lại]]</f>
        <v>40446104</v>
      </c>
      <c r="AE31" s="1159">
        <v>92703896</v>
      </c>
      <c r="AF31" s="407">
        <v>5547917</v>
      </c>
      <c r="AG31" s="407">
        <v>5547917</v>
      </c>
      <c r="AH31" s="407">
        <v>5547917</v>
      </c>
      <c r="AI31" s="407">
        <v>5547917</v>
      </c>
      <c r="AJ31" s="407">
        <v>5547917</v>
      </c>
      <c r="AK31" s="407">
        <v>5547917</v>
      </c>
      <c r="AL31" s="407">
        <v>5547917</v>
      </c>
      <c r="AM31" s="407">
        <v>5547917</v>
      </c>
      <c r="AN31" s="407">
        <v>5547917</v>
      </c>
      <c r="AO31" s="407">
        <v>5547917</v>
      </c>
      <c r="AP31" s="407">
        <v>5547917</v>
      </c>
      <c r="AQ31" s="407">
        <v>5547917</v>
      </c>
      <c r="AR31" s="1025">
        <f t="shared" si="3"/>
        <v>66575004</v>
      </c>
      <c r="AS31" s="412">
        <f t="shared" si="2"/>
        <v>26128892</v>
      </c>
    </row>
    <row r="32" spans="1:45" ht="40.5" customHeight="1" outlineLevel="1" x14ac:dyDescent="0.25">
      <c r="A32" s="450" t="s">
        <v>1993</v>
      </c>
      <c r="B32" s="684" t="s">
        <v>516</v>
      </c>
      <c r="C32" s="450" t="s">
        <v>516</v>
      </c>
      <c r="D32" s="450" t="s">
        <v>1697</v>
      </c>
      <c r="E32" s="684" t="s">
        <v>1685</v>
      </c>
      <c r="F32" s="450"/>
      <c r="G32" s="450"/>
      <c r="H32" s="684" t="s">
        <v>1694</v>
      </c>
      <c r="I32" s="1039" t="s">
        <v>2085</v>
      </c>
      <c r="J32" s="1156">
        <v>20000000</v>
      </c>
      <c r="K32" s="684">
        <v>1</v>
      </c>
      <c r="L32" s="1156">
        <f>CAPEX_202510[[#This Row],[Đơn giá ( chưa bao gồm VAT)]]*CAPEX_202510[[#This Row],[Số lượng]]</f>
        <v>20000000</v>
      </c>
      <c r="M32" s="450"/>
      <c r="N32" s="1145"/>
      <c r="O32" s="1143">
        <v>12</v>
      </c>
      <c r="P32" s="1198" t="str">
        <f>CAPEX_202510[[#This Row],[Loại tài sản]]</f>
        <v>Máy móc, thiết bị</v>
      </c>
      <c r="Q32" s="1144" t="s">
        <v>2018</v>
      </c>
      <c r="R32" s="1144"/>
      <c r="S32" s="1144"/>
      <c r="T32" s="682"/>
      <c r="U32" s="448"/>
      <c r="V32" s="448"/>
      <c r="W32" s="1146"/>
      <c r="X32" s="1030" t="s">
        <v>2051</v>
      </c>
      <c r="Y32" s="687" t="str">
        <f>LEFT(CAPEX_202510[[#This Row],[Mã tài khoản (Mã Chi phí_L4)]],3)</f>
        <v>627</v>
      </c>
      <c r="Z32" s="451">
        <v>6273006501</v>
      </c>
      <c r="AA32" s="449" t="s">
        <v>469</v>
      </c>
      <c r="AB32" s="449" t="s">
        <v>579</v>
      </c>
      <c r="AC32" s="1159">
        <v>20000000</v>
      </c>
      <c r="AD32" s="1158">
        <f>CAPEX_202510[[#This Row],[Giá trị nguyên giá]]-CAPEX_202510[[#This Row],[Giá trị còn lại]]</f>
        <v>11881723</v>
      </c>
      <c r="AE32" s="1159">
        <v>8118277</v>
      </c>
      <c r="AF32" s="407">
        <v>1666667</v>
      </c>
      <c r="AG32" s="407">
        <v>1666667</v>
      </c>
      <c r="AH32" s="407">
        <v>1666667</v>
      </c>
      <c r="AI32" s="407">
        <v>1666667</v>
      </c>
      <c r="AJ32" s="407">
        <v>1451609</v>
      </c>
      <c r="AK32" s="407"/>
      <c r="AL32" s="407"/>
      <c r="AM32" s="407"/>
      <c r="AN32" s="407"/>
      <c r="AO32" s="407"/>
      <c r="AP32" s="407"/>
      <c r="AQ32" s="407"/>
      <c r="AR32" s="1025">
        <f t="shared" si="3"/>
        <v>8118277</v>
      </c>
      <c r="AS32" s="412">
        <f t="shared" si="2"/>
        <v>0</v>
      </c>
    </row>
    <row r="33" spans="1:45" ht="40.5" customHeight="1" outlineLevel="1" x14ac:dyDescent="0.25">
      <c r="A33" s="450" t="s">
        <v>1994</v>
      </c>
      <c r="B33" s="684" t="s">
        <v>516</v>
      </c>
      <c r="C33" s="450" t="s">
        <v>516</v>
      </c>
      <c r="D33" s="450" t="s">
        <v>1691</v>
      </c>
      <c r="E33" s="684" t="s">
        <v>1685</v>
      </c>
      <c r="F33" s="450"/>
      <c r="G33" s="450"/>
      <c r="H33" s="684" t="s">
        <v>1694</v>
      </c>
      <c r="I33" s="1039" t="s">
        <v>2087</v>
      </c>
      <c r="J33" s="1156">
        <v>2559000</v>
      </c>
      <c r="K33" s="684">
        <v>1</v>
      </c>
      <c r="L33" s="1156">
        <f>CAPEX_202510[[#This Row],[Đơn giá ( chưa bao gồm VAT)]]*CAPEX_202510[[#This Row],[Số lượng]]</f>
        <v>2559000</v>
      </c>
      <c r="M33" s="450"/>
      <c r="N33" s="1145"/>
      <c r="O33" s="1143">
        <v>36</v>
      </c>
      <c r="P33" s="1198" t="str">
        <f>CAPEX_202510[[#This Row],[Loại tài sản]]</f>
        <v>Dụng cụ quản lý</v>
      </c>
      <c r="Q33" s="1144" t="s">
        <v>2022</v>
      </c>
      <c r="R33" s="1144"/>
      <c r="S33" s="1144"/>
      <c r="T33" s="682"/>
      <c r="U33" s="448"/>
      <c r="V33" s="448"/>
      <c r="W33" s="1146"/>
      <c r="X33" s="1030" t="s">
        <v>2052</v>
      </c>
      <c r="Y33" s="687" t="str">
        <f>LEFT(CAPEX_202510[[#This Row],[Mã tài khoản (Mã Chi phí_L4)]],3)</f>
        <v>642</v>
      </c>
      <c r="Z33" s="451">
        <v>6427005801</v>
      </c>
      <c r="AA33" s="449" t="s">
        <v>434</v>
      </c>
      <c r="AB33" s="449" t="s">
        <v>590</v>
      </c>
      <c r="AC33" s="407">
        <v>2559000</v>
      </c>
      <c r="AD33" s="1160">
        <f>CAPEX_202510[[#This Row],[Giá trị nguyên giá]]-CAPEX_202510[[#This Row],[Giá trị còn lại]]</f>
        <v>497581</v>
      </c>
      <c r="AE33" s="407">
        <v>2061419</v>
      </c>
      <c r="AF33" s="407">
        <v>71083</v>
      </c>
      <c r="AG33" s="407">
        <v>71083</v>
      </c>
      <c r="AH33" s="407">
        <v>71083</v>
      </c>
      <c r="AI33" s="407">
        <v>71083</v>
      </c>
      <c r="AJ33" s="407">
        <v>71083</v>
      </c>
      <c r="AK33" s="407">
        <v>71083</v>
      </c>
      <c r="AL33" s="407">
        <v>71083</v>
      </c>
      <c r="AM33" s="407">
        <v>71083</v>
      </c>
      <c r="AN33" s="407">
        <v>71083</v>
      </c>
      <c r="AO33" s="407">
        <v>71083</v>
      </c>
      <c r="AP33" s="407">
        <v>71083</v>
      </c>
      <c r="AQ33" s="407">
        <v>71083</v>
      </c>
      <c r="AR33" s="1025">
        <f t="shared" si="3"/>
        <v>852996</v>
      </c>
      <c r="AS33" s="1025">
        <f t="shared" si="2"/>
        <v>1208423</v>
      </c>
    </row>
    <row r="34" spans="1:45" ht="40.5" customHeight="1" outlineLevel="1" x14ac:dyDescent="0.25">
      <c r="A34" s="450" t="s">
        <v>1995</v>
      </c>
      <c r="B34" s="684" t="s">
        <v>516</v>
      </c>
      <c r="C34" s="450" t="s">
        <v>516</v>
      </c>
      <c r="D34" s="450" t="s">
        <v>1691</v>
      </c>
      <c r="E34" s="684" t="s">
        <v>1685</v>
      </c>
      <c r="F34" s="450"/>
      <c r="G34" s="450"/>
      <c r="H34" s="684" t="s">
        <v>1694</v>
      </c>
      <c r="I34" s="1039" t="s">
        <v>1982</v>
      </c>
      <c r="J34" s="1156">
        <v>4526000</v>
      </c>
      <c r="K34" s="684">
        <v>1</v>
      </c>
      <c r="L34" s="1156">
        <f>CAPEX_202510[[#This Row],[Đơn giá ( chưa bao gồm VAT)]]*CAPEX_202510[[#This Row],[Số lượng]]</f>
        <v>4526000</v>
      </c>
      <c r="M34" s="450"/>
      <c r="N34" s="1145"/>
      <c r="O34" s="1143">
        <v>12</v>
      </c>
      <c r="P34" s="1198" t="str">
        <f>CAPEX_202510[[#This Row],[Loại tài sản]]</f>
        <v>Dụng cụ quản lý</v>
      </c>
      <c r="Q34" s="1144" t="s">
        <v>2021</v>
      </c>
      <c r="R34" s="1144"/>
      <c r="S34" s="1144"/>
      <c r="T34" s="682"/>
      <c r="U34" s="448"/>
      <c r="V34" s="448"/>
      <c r="W34" s="1146"/>
      <c r="X34" s="1030" t="s">
        <v>2053</v>
      </c>
      <c r="Y34" s="687" t="str">
        <f>LEFT(CAPEX_202510[[#This Row],[Mã tài khoản (Mã Chi phí_L4)]],3)</f>
        <v>642</v>
      </c>
      <c r="Z34" s="451">
        <v>6427005801</v>
      </c>
      <c r="AA34" s="449" t="s">
        <v>434</v>
      </c>
      <c r="AB34" s="449" t="s">
        <v>590</v>
      </c>
      <c r="AC34" s="1159">
        <v>4526000</v>
      </c>
      <c r="AD34" s="1158">
        <f>CAPEX_202510[[#This Row],[Giá trị nguyên giá]]-CAPEX_202510[[#This Row],[Giá trị còn lại]]</f>
        <v>2640169</v>
      </c>
      <c r="AE34" s="1159">
        <v>1885831</v>
      </c>
      <c r="AF34" s="407">
        <v>377167</v>
      </c>
      <c r="AG34" s="407">
        <v>377167</v>
      </c>
      <c r="AH34" s="407">
        <v>377167</v>
      </c>
      <c r="AI34" s="407">
        <v>377167</v>
      </c>
      <c r="AJ34" s="407">
        <v>377163</v>
      </c>
      <c r="AK34" s="407"/>
      <c r="AL34" s="407"/>
      <c r="AM34" s="407"/>
      <c r="AN34" s="407"/>
      <c r="AO34" s="407"/>
      <c r="AP34" s="407"/>
      <c r="AQ34" s="407"/>
      <c r="AR34" s="1025">
        <f t="shared" si="3"/>
        <v>1885831</v>
      </c>
      <c r="AS34" s="412">
        <f t="shared" si="2"/>
        <v>0</v>
      </c>
    </row>
    <row r="35" spans="1:45" ht="40.5" customHeight="1" outlineLevel="1" x14ac:dyDescent="0.25">
      <c r="A35" s="450" t="s">
        <v>1996</v>
      </c>
      <c r="B35" s="684" t="s">
        <v>516</v>
      </c>
      <c r="C35" s="450" t="s">
        <v>516</v>
      </c>
      <c r="D35" s="450" t="s">
        <v>1691</v>
      </c>
      <c r="E35" s="684" t="s">
        <v>1685</v>
      </c>
      <c r="F35" s="450"/>
      <c r="G35" s="450"/>
      <c r="H35" s="684" t="s">
        <v>1694</v>
      </c>
      <c r="I35" s="1039" t="s">
        <v>2086</v>
      </c>
      <c r="J35" s="1156">
        <v>4700000</v>
      </c>
      <c r="K35" s="684">
        <v>1</v>
      </c>
      <c r="L35" s="1156">
        <f>CAPEX_202510[[#This Row],[Đơn giá ( chưa bao gồm VAT)]]*CAPEX_202510[[#This Row],[Số lượng]]</f>
        <v>4700000</v>
      </c>
      <c r="M35" s="450"/>
      <c r="N35" s="1145"/>
      <c r="O35" s="1143">
        <v>12</v>
      </c>
      <c r="P35" s="1198" t="str">
        <f>CAPEX_202510[[#This Row],[Loại tài sản]]</f>
        <v>Dụng cụ quản lý</v>
      </c>
      <c r="Q35" s="1144" t="s">
        <v>2020</v>
      </c>
      <c r="R35" s="1144"/>
      <c r="S35" s="1144"/>
      <c r="T35" s="682"/>
      <c r="U35" s="448"/>
      <c r="V35" s="448"/>
      <c r="W35" s="1146"/>
      <c r="X35" s="1030" t="s">
        <v>2054</v>
      </c>
      <c r="Y35" s="687" t="str">
        <f>LEFT(CAPEX_202510[[#This Row],[Mã tài khoản (Mã Chi phí_L4)]],3)</f>
        <v>642</v>
      </c>
      <c r="Z35" s="451">
        <v>6423002402</v>
      </c>
      <c r="AA35" s="449" t="s">
        <v>436</v>
      </c>
      <c r="AB35" s="449" t="s">
        <v>580</v>
      </c>
      <c r="AC35" s="1159">
        <v>4700000</v>
      </c>
      <c r="AD35" s="1158">
        <f>CAPEX_202510[[#This Row],[Giá trị nguyên giá]]-CAPEX_202510[[#This Row],[Giá trị còn lại]]</f>
        <v>2741669</v>
      </c>
      <c r="AE35" s="1159">
        <v>1958331</v>
      </c>
      <c r="AF35" s="407">
        <v>391667</v>
      </c>
      <c r="AG35" s="407">
        <v>391667</v>
      </c>
      <c r="AH35" s="407">
        <v>391667</v>
      </c>
      <c r="AI35" s="407">
        <v>391667</v>
      </c>
      <c r="AJ35" s="407">
        <v>391663</v>
      </c>
      <c r="AK35" s="407"/>
      <c r="AL35" s="407"/>
      <c r="AM35" s="407"/>
      <c r="AN35" s="407"/>
      <c r="AO35" s="407"/>
      <c r="AP35" s="407"/>
      <c r="AQ35" s="407"/>
      <c r="AR35" s="1025">
        <f t="shared" si="3"/>
        <v>1958331</v>
      </c>
      <c r="AS35" s="412">
        <f t="shared" si="2"/>
        <v>0</v>
      </c>
    </row>
    <row r="36" spans="1:45" ht="40.5" customHeight="1" outlineLevel="1" x14ac:dyDescent="0.25">
      <c r="A36" s="450" t="s">
        <v>1997</v>
      </c>
      <c r="B36" s="684" t="s">
        <v>516</v>
      </c>
      <c r="C36" s="450" t="s">
        <v>516</v>
      </c>
      <c r="D36" s="450" t="s">
        <v>1691</v>
      </c>
      <c r="E36" s="684" t="s">
        <v>1685</v>
      </c>
      <c r="F36" s="450"/>
      <c r="G36" s="450"/>
      <c r="H36" s="684" t="s">
        <v>1694</v>
      </c>
      <c r="I36" s="1039" t="s">
        <v>2086</v>
      </c>
      <c r="J36" s="1156">
        <v>1800000</v>
      </c>
      <c r="K36" s="684">
        <v>1</v>
      </c>
      <c r="L36" s="1156">
        <f>CAPEX_202510[[#This Row],[Đơn giá ( chưa bao gồm VAT)]]*CAPEX_202510[[#This Row],[Số lượng]]</f>
        <v>1800000</v>
      </c>
      <c r="M36" s="450"/>
      <c r="N36" s="1145"/>
      <c r="O36" s="1143">
        <v>12</v>
      </c>
      <c r="P36" s="1198" t="str">
        <f>CAPEX_202510[[#This Row],[Loại tài sản]]</f>
        <v>Dụng cụ quản lý</v>
      </c>
      <c r="Q36" s="1144" t="s">
        <v>2020</v>
      </c>
      <c r="R36" s="1144"/>
      <c r="S36" s="1144"/>
      <c r="T36" s="682"/>
      <c r="U36" s="448"/>
      <c r="V36" s="448"/>
      <c r="W36" s="1146"/>
      <c r="X36" s="1030" t="s">
        <v>2055</v>
      </c>
      <c r="Y36" s="687" t="str">
        <f>LEFT(CAPEX_202510[[#This Row],[Mã tài khoản (Mã Chi phí_L4)]],3)</f>
        <v>642</v>
      </c>
      <c r="Z36" s="451">
        <v>6423002402</v>
      </c>
      <c r="AA36" s="449" t="s">
        <v>436</v>
      </c>
      <c r="AB36" s="449" t="s">
        <v>580</v>
      </c>
      <c r="AC36" s="1159">
        <v>1800000</v>
      </c>
      <c r="AD36" s="1158">
        <f>CAPEX_202510[[#This Row],[Giá trị nguyên giá]]-CAPEX_202510[[#This Row],[Giá trị còn lại]]</f>
        <v>1050000</v>
      </c>
      <c r="AE36" s="1159">
        <v>750000</v>
      </c>
      <c r="AF36" s="407">
        <v>150000</v>
      </c>
      <c r="AG36" s="407">
        <v>150000</v>
      </c>
      <c r="AH36" s="407">
        <v>150000</v>
      </c>
      <c r="AI36" s="407">
        <v>150000</v>
      </c>
      <c r="AJ36" s="407">
        <v>150000</v>
      </c>
      <c r="AK36" s="407"/>
      <c r="AL36" s="407"/>
      <c r="AM36" s="407"/>
      <c r="AN36" s="407"/>
      <c r="AO36" s="407"/>
      <c r="AP36" s="407"/>
      <c r="AQ36" s="407"/>
      <c r="AR36" s="1025">
        <f t="shared" si="3"/>
        <v>750000</v>
      </c>
      <c r="AS36" s="412">
        <f t="shared" si="2"/>
        <v>0</v>
      </c>
    </row>
    <row r="37" spans="1:45" ht="40.5" customHeight="1" outlineLevel="1" x14ac:dyDescent="0.25">
      <c r="A37" s="450" t="s">
        <v>1998</v>
      </c>
      <c r="B37" s="684" t="s">
        <v>516</v>
      </c>
      <c r="C37" s="450" t="s">
        <v>516</v>
      </c>
      <c r="D37" s="450" t="s">
        <v>1691</v>
      </c>
      <c r="E37" s="684" t="s">
        <v>1685</v>
      </c>
      <c r="F37" s="450"/>
      <c r="G37" s="450"/>
      <c r="H37" s="684" t="s">
        <v>1694</v>
      </c>
      <c r="I37" s="1039" t="s">
        <v>2086</v>
      </c>
      <c r="J37" s="1156">
        <v>4520000</v>
      </c>
      <c r="K37" s="684">
        <v>1</v>
      </c>
      <c r="L37" s="1156">
        <f>CAPEX_202510[[#This Row],[Đơn giá ( chưa bao gồm VAT)]]*CAPEX_202510[[#This Row],[Số lượng]]</f>
        <v>4520000</v>
      </c>
      <c r="M37" s="450"/>
      <c r="N37" s="1145"/>
      <c r="O37" s="1143">
        <v>12</v>
      </c>
      <c r="P37" s="1198" t="str">
        <f>CAPEX_202510[[#This Row],[Loại tài sản]]</f>
        <v>Dụng cụ quản lý</v>
      </c>
      <c r="Q37" s="1144" t="s">
        <v>2020</v>
      </c>
      <c r="R37" s="1144"/>
      <c r="S37" s="1144"/>
      <c r="T37" s="682"/>
      <c r="U37" s="448"/>
      <c r="V37" s="448"/>
      <c r="W37" s="1146"/>
      <c r="X37" s="1030" t="s">
        <v>2056</v>
      </c>
      <c r="Y37" s="687" t="str">
        <f>LEFT(CAPEX_202510[[#This Row],[Mã tài khoản (Mã Chi phí_L4)]],3)</f>
        <v>642</v>
      </c>
      <c r="Z37" s="451">
        <v>6423002402</v>
      </c>
      <c r="AA37" s="449" t="s">
        <v>436</v>
      </c>
      <c r="AB37" s="449" t="s">
        <v>580</v>
      </c>
      <c r="AC37" s="1159">
        <v>4520000</v>
      </c>
      <c r="AD37" s="1158">
        <f>CAPEX_202510[[#This Row],[Giá trị nguyên giá]]-CAPEX_202510[[#This Row],[Giá trị còn lại]]</f>
        <v>2636669</v>
      </c>
      <c r="AE37" s="1159">
        <v>1883331</v>
      </c>
      <c r="AF37" s="407">
        <v>376667</v>
      </c>
      <c r="AG37" s="407">
        <v>376667</v>
      </c>
      <c r="AH37" s="407">
        <v>376667</v>
      </c>
      <c r="AI37" s="407">
        <v>376667</v>
      </c>
      <c r="AJ37" s="407">
        <v>376663</v>
      </c>
      <c r="AK37" s="407"/>
      <c r="AL37" s="407"/>
      <c r="AM37" s="407"/>
      <c r="AN37" s="407"/>
      <c r="AO37" s="407"/>
      <c r="AP37" s="407"/>
      <c r="AQ37" s="407"/>
      <c r="AR37" s="1025">
        <f t="shared" si="3"/>
        <v>1883331</v>
      </c>
      <c r="AS37" s="412">
        <f t="shared" si="2"/>
        <v>0</v>
      </c>
    </row>
    <row r="38" spans="1:45" ht="40.5" customHeight="1" outlineLevel="1" x14ac:dyDescent="0.25">
      <c r="A38" s="450" t="s">
        <v>1999</v>
      </c>
      <c r="B38" s="684" t="s">
        <v>516</v>
      </c>
      <c r="C38" s="450" t="s">
        <v>516</v>
      </c>
      <c r="D38" s="450" t="s">
        <v>1691</v>
      </c>
      <c r="E38" s="684" t="s">
        <v>1685</v>
      </c>
      <c r="F38" s="450"/>
      <c r="G38" s="450"/>
      <c r="H38" s="684" t="s">
        <v>1694</v>
      </c>
      <c r="I38" s="1039" t="s">
        <v>2081</v>
      </c>
      <c r="J38" s="1156">
        <v>800000</v>
      </c>
      <c r="K38" s="684">
        <v>1</v>
      </c>
      <c r="L38" s="1156">
        <f>CAPEX_202510[[#This Row],[Đơn giá ( chưa bao gồm VAT)]]*CAPEX_202510[[#This Row],[Số lượng]]</f>
        <v>800000</v>
      </c>
      <c r="M38" s="450"/>
      <c r="N38" s="1145"/>
      <c r="O38" s="1143">
        <v>12</v>
      </c>
      <c r="P38" s="1198" t="str">
        <f>CAPEX_202510[[#This Row],[Loại tài sản]]</f>
        <v>Dụng cụ quản lý</v>
      </c>
      <c r="Q38" s="1144" t="s">
        <v>2022</v>
      </c>
      <c r="R38" s="1144"/>
      <c r="S38" s="1144"/>
      <c r="T38" s="682"/>
      <c r="U38" s="448"/>
      <c r="V38" s="448"/>
      <c r="W38" s="1146"/>
      <c r="X38" s="1030" t="s">
        <v>2057</v>
      </c>
      <c r="Y38" s="687" t="str">
        <f>LEFT(CAPEX_202510[[#This Row],[Mã tài khoản (Mã Chi phí_L4)]],3)</f>
        <v>642</v>
      </c>
      <c r="Z38" s="451">
        <v>6427005801</v>
      </c>
      <c r="AA38" s="449" t="s">
        <v>434</v>
      </c>
      <c r="AB38" s="449" t="s">
        <v>590</v>
      </c>
      <c r="AC38" s="1159">
        <v>800000</v>
      </c>
      <c r="AD38" s="1158">
        <f>CAPEX_202510[[#This Row],[Giá trị nguyên giá]]-CAPEX_202510[[#This Row],[Giá trị còn lại]]</f>
        <v>466669</v>
      </c>
      <c r="AE38" s="1159">
        <v>333331</v>
      </c>
      <c r="AF38" s="407">
        <v>66667</v>
      </c>
      <c r="AG38" s="407">
        <v>66667</v>
      </c>
      <c r="AH38" s="407">
        <v>66667</v>
      </c>
      <c r="AI38" s="407">
        <v>66667</v>
      </c>
      <c r="AJ38" s="407">
        <v>66663</v>
      </c>
      <c r="AK38" s="407"/>
      <c r="AL38" s="407"/>
      <c r="AM38" s="407"/>
      <c r="AN38" s="407"/>
      <c r="AO38" s="407"/>
      <c r="AP38" s="407"/>
      <c r="AQ38" s="407"/>
      <c r="AR38" s="1025">
        <f t="shared" si="3"/>
        <v>333331</v>
      </c>
      <c r="AS38" s="412">
        <f t="shared" si="2"/>
        <v>0</v>
      </c>
    </row>
    <row r="39" spans="1:45" ht="40.5" customHeight="1" outlineLevel="1" x14ac:dyDescent="0.25">
      <c r="A39" s="450" t="s">
        <v>2000</v>
      </c>
      <c r="B39" s="684" t="s">
        <v>516</v>
      </c>
      <c r="C39" s="450" t="s">
        <v>516</v>
      </c>
      <c r="D39" s="450" t="s">
        <v>1691</v>
      </c>
      <c r="E39" s="684" t="s">
        <v>1685</v>
      </c>
      <c r="F39" s="450"/>
      <c r="G39" s="450"/>
      <c r="H39" s="684" t="s">
        <v>1694</v>
      </c>
      <c r="I39" s="1039" t="s">
        <v>2088</v>
      </c>
      <c r="J39" s="1156">
        <v>4200000</v>
      </c>
      <c r="K39" s="684">
        <v>1</v>
      </c>
      <c r="L39" s="1156">
        <f>CAPEX_202510[[#This Row],[Đơn giá ( chưa bao gồm VAT)]]*CAPEX_202510[[#This Row],[Số lượng]]</f>
        <v>4200000</v>
      </c>
      <c r="M39" s="450"/>
      <c r="N39" s="1145"/>
      <c r="O39" s="1143">
        <v>12</v>
      </c>
      <c r="P39" s="1198" t="str">
        <f>CAPEX_202510[[#This Row],[Loại tài sản]]</f>
        <v>Dụng cụ quản lý</v>
      </c>
      <c r="Q39" s="1144" t="s">
        <v>2018</v>
      </c>
      <c r="R39" s="1144"/>
      <c r="S39" s="1144"/>
      <c r="T39" s="682"/>
      <c r="U39" s="448"/>
      <c r="V39" s="448"/>
      <c r="W39" s="1146"/>
      <c r="X39" s="1030" t="s">
        <v>2058</v>
      </c>
      <c r="Y39" s="687" t="str">
        <f>LEFT(CAPEX_202510[[#This Row],[Mã tài khoản (Mã Chi phí_L4)]],3)</f>
        <v>627</v>
      </c>
      <c r="Z39" s="451">
        <v>6273001908</v>
      </c>
      <c r="AA39" s="449" t="s">
        <v>435</v>
      </c>
      <c r="AB39" s="449" t="s">
        <v>580</v>
      </c>
      <c r="AC39" s="1159">
        <v>4200000</v>
      </c>
      <c r="AD39" s="1158">
        <f>CAPEX_202510[[#This Row],[Giá trị nguyên giá]]-CAPEX_202510[[#This Row],[Giá trị còn lại]]</f>
        <v>2450000</v>
      </c>
      <c r="AE39" s="1159">
        <v>1750000</v>
      </c>
      <c r="AF39" s="407">
        <v>350000</v>
      </c>
      <c r="AG39" s="407">
        <v>350000</v>
      </c>
      <c r="AH39" s="407">
        <v>350000</v>
      </c>
      <c r="AI39" s="407">
        <v>350000</v>
      </c>
      <c r="AJ39" s="407">
        <v>350000</v>
      </c>
      <c r="AK39" s="407"/>
      <c r="AL39" s="407"/>
      <c r="AM39" s="407"/>
      <c r="AN39" s="407"/>
      <c r="AO39" s="407"/>
      <c r="AP39" s="407"/>
      <c r="AQ39" s="407"/>
      <c r="AR39" s="1025">
        <f t="shared" si="3"/>
        <v>1750000</v>
      </c>
      <c r="AS39" s="412">
        <f t="shared" si="2"/>
        <v>0</v>
      </c>
    </row>
    <row r="40" spans="1:45" ht="40.5" customHeight="1" outlineLevel="1" x14ac:dyDescent="0.25">
      <c r="A40" s="450" t="s">
        <v>2001</v>
      </c>
      <c r="B40" s="684" t="s">
        <v>516</v>
      </c>
      <c r="C40" s="450" t="s">
        <v>516</v>
      </c>
      <c r="D40" s="450" t="s">
        <v>1691</v>
      </c>
      <c r="E40" s="684" t="s">
        <v>1685</v>
      </c>
      <c r="F40" s="450"/>
      <c r="G40" s="450"/>
      <c r="H40" s="684" t="s">
        <v>1694</v>
      </c>
      <c r="I40" s="1039" t="s">
        <v>2089</v>
      </c>
      <c r="J40" s="1156">
        <v>50583179</v>
      </c>
      <c r="K40" s="684">
        <v>1</v>
      </c>
      <c r="L40" s="1156">
        <f>CAPEX_202510[[#This Row],[Đơn giá ( chưa bao gồm VAT)]]*CAPEX_202510[[#This Row],[Số lượng]]</f>
        <v>50583179</v>
      </c>
      <c r="M40" s="450"/>
      <c r="N40" s="1145"/>
      <c r="O40" s="1143">
        <v>36</v>
      </c>
      <c r="P40" s="1198" t="str">
        <f>CAPEX_202510[[#This Row],[Loại tài sản]]</f>
        <v>Dụng cụ quản lý</v>
      </c>
      <c r="Q40" s="1144" t="s">
        <v>2018</v>
      </c>
      <c r="R40" s="1144"/>
      <c r="S40" s="1144"/>
      <c r="T40" s="682"/>
      <c r="U40" s="448"/>
      <c r="V40" s="448"/>
      <c r="W40" s="1146"/>
      <c r="X40" s="1030" t="s">
        <v>2059</v>
      </c>
      <c r="Y40" s="687" t="str">
        <f>LEFT(CAPEX_202510[[#This Row],[Mã tài khoản (Mã Chi phí_L4)]],3)</f>
        <v>627</v>
      </c>
      <c r="Z40" s="451">
        <v>6273001908</v>
      </c>
      <c r="AA40" s="449" t="s">
        <v>435</v>
      </c>
      <c r="AB40" s="449" t="s">
        <v>580</v>
      </c>
      <c r="AC40" s="1159">
        <v>50583179</v>
      </c>
      <c r="AD40" s="1158">
        <f>CAPEX_202510[[#This Row],[Giá trị nguyên giá]]-CAPEX_202510[[#This Row],[Giá trị còn lại]]</f>
        <v>9835616</v>
      </c>
      <c r="AE40" s="1159">
        <v>40747563</v>
      </c>
      <c r="AF40" s="407">
        <v>1405088</v>
      </c>
      <c r="AG40" s="407">
        <v>1405088</v>
      </c>
      <c r="AH40" s="407">
        <v>1405088</v>
      </c>
      <c r="AI40" s="407">
        <v>1405088</v>
      </c>
      <c r="AJ40" s="407">
        <v>1405088</v>
      </c>
      <c r="AK40" s="407">
        <v>1405088</v>
      </c>
      <c r="AL40" s="407">
        <v>1405088</v>
      </c>
      <c r="AM40" s="407">
        <v>1405088</v>
      </c>
      <c r="AN40" s="407">
        <v>1405088</v>
      </c>
      <c r="AO40" s="407">
        <v>1405088</v>
      </c>
      <c r="AP40" s="407">
        <v>1405088</v>
      </c>
      <c r="AQ40" s="407">
        <v>1405088</v>
      </c>
      <c r="AR40" s="1025">
        <f t="shared" si="3"/>
        <v>16861056</v>
      </c>
      <c r="AS40" s="412">
        <f t="shared" si="2"/>
        <v>23886507</v>
      </c>
    </row>
    <row r="41" spans="1:45" ht="40.5" customHeight="1" outlineLevel="1" x14ac:dyDescent="0.25">
      <c r="A41" s="450" t="s">
        <v>2002</v>
      </c>
      <c r="B41" s="450" t="s">
        <v>513</v>
      </c>
      <c r="C41" s="450" t="s">
        <v>513</v>
      </c>
      <c r="D41" s="450" t="s">
        <v>1691</v>
      </c>
      <c r="E41" s="684" t="s">
        <v>1685</v>
      </c>
      <c r="F41" s="450"/>
      <c r="G41" s="450"/>
      <c r="H41" s="684" t="s">
        <v>1694</v>
      </c>
      <c r="I41" s="1039" t="s">
        <v>2086</v>
      </c>
      <c r="J41" s="1156">
        <v>1400000</v>
      </c>
      <c r="K41" s="684">
        <v>1</v>
      </c>
      <c r="L41" s="1156">
        <f>CAPEX_202510[[#This Row],[Đơn giá ( chưa bao gồm VAT)]]*CAPEX_202510[[#This Row],[Số lượng]]</f>
        <v>1400000</v>
      </c>
      <c r="M41" s="450"/>
      <c r="N41" s="1145"/>
      <c r="O41" s="1143">
        <v>12</v>
      </c>
      <c r="P41" s="1198" t="str">
        <f>CAPEX_202510[[#This Row],[Loại tài sản]]</f>
        <v>Dụng cụ quản lý</v>
      </c>
      <c r="Q41" s="1144" t="s">
        <v>2020</v>
      </c>
      <c r="R41" s="1144"/>
      <c r="S41" s="1144"/>
      <c r="T41" s="682"/>
      <c r="U41" s="448"/>
      <c r="V41" s="448"/>
      <c r="W41" s="1146"/>
      <c r="X41" s="1030" t="s">
        <v>2060</v>
      </c>
      <c r="Y41" s="687" t="str">
        <f>LEFT(CAPEX_202510[[#This Row],[Mã tài khoản (Mã Chi phí_L4)]],3)</f>
        <v>642</v>
      </c>
      <c r="Z41" s="451">
        <v>6423002402</v>
      </c>
      <c r="AA41" s="449" t="s">
        <v>436</v>
      </c>
      <c r="AB41" s="449" t="s">
        <v>580</v>
      </c>
      <c r="AC41" s="1159">
        <v>1400000</v>
      </c>
      <c r="AD41" s="1158">
        <f>CAPEX_202510[[#This Row],[Giá trị nguyên giá]]-CAPEX_202510[[#This Row],[Giá trị còn lại]]</f>
        <v>816669</v>
      </c>
      <c r="AE41" s="1159">
        <v>583331</v>
      </c>
      <c r="AF41" s="407">
        <v>116667</v>
      </c>
      <c r="AG41" s="407">
        <v>116667</v>
      </c>
      <c r="AH41" s="407">
        <v>116667</v>
      </c>
      <c r="AI41" s="407">
        <v>116667</v>
      </c>
      <c r="AJ41" s="407">
        <v>116663</v>
      </c>
      <c r="AK41" s="407"/>
      <c r="AL41" s="407"/>
      <c r="AM41" s="407"/>
      <c r="AN41" s="407"/>
      <c r="AO41" s="407"/>
      <c r="AP41" s="407"/>
      <c r="AQ41" s="407"/>
      <c r="AR41" s="1025">
        <f t="shared" si="3"/>
        <v>583331</v>
      </c>
      <c r="AS41" s="412">
        <f t="shared" si="2"/>
        <v>0</v>
      </c>
    </row>
    <row r="42" spans="1:45" ht="40.5" customHeight="1" outlineLevel="1" x14ac:dyDescent="0.25">
      <c r="A42" s="450" t="s">
        <v>2003</v>
      </c>
      <c r="B42" s="684" t="s">
        <v>516</v>
      </c>
      <c r="C42" s="450" t="s">
        <v>516</v>
      </c>
      <c r="D42" s="450" t="s">
        <v>1683</v>
      </c>
      <c r="E42" s="684" t="s">
        <v>1685</v>
      </c>
      <c r="F42" s="450"/>
      <c r="G42" s="450"/>
      <c r="H42" s="684" t="s">
        <v>1694</v>
      </c>
      <c r="I42" s="1039" t="s">
        <v>2090</v>
      </c>
      <c r="J42" s="1156">
        <v>5225000</v>
      </c>
      <c r="K42" s="684">
        <v>1</v>
      </c>
      <c r="L42" s="1156">
        <f>CAPEX_202510[[#This Row],[Đơn giá ( chưa bao gồm VAT)]]*CAPEX_202510[[#This Row],[Số lượng]]</f>
        <v>5225000</v>
      </c>
      <c r="M42" s="450"/>
      <c r="N42" s="1145"/>
      <c r="O42" s="1143">
        <v>12</v>
      </c>
      <c r="P42" s="1198" t="str">
        <f>CAPEX_202510[[#This Row],[Loại tài sản]]</f>
        <v>Nhà cửa, vật kiến trúc</v>
      </c>
      <c r="Q42" s="1144" t="s">
        <v>2025</v>
      </c>
      <c r="R42" s="1144"/>
      <c r="S42" s="1144"/>
      <c r="T42" s="682"/>
      <c r="U42" s="448"/>
      <c r="V42" s="448"/>
      <c r="W42" s="1146"/>
      <c r="X42" s="1030" t="s">
        <v>2061</v>
      </c>
      <c r="Y42" s="687" t="str">
        <f>LEFT(CAPEX_202510[[#This Row],[Mã tài khoản (Mã Chi phí_L4)]],3)</f>
        <v>642</v>
      </c>
      <c r="Z42" s="451">
        <v>6427002001</v>
      </c>
      <c r="AA42" s="449" t="s">
        <v>447</v>
      </c>
      <c r="AB42" s="449" t="s">
        <v>579</v>
      </c>
      <c r="AC42" s="1159">
        <v>5225000</v>
      </c>
      <c r="AD42" s="1158">
        <f>CAPEX_202510[[#This Row],[Giá trị nguyên giá]]-CAPEX_202510[[#This Row],[Giá trị còn lại]]</f>
        <v>2612502</v>
      </c>
      <c r="AE42" s="1159">
        <v>2612498</v>
      </c>
      <c r="AF42" s="407">
        <v>435417</v>
      </c>
      <c r="AG42" s="407">
        <v>435417</v>
      </c>
      <c r="AH42" s="407">
        <v>435417</v>
      </c>
      <c r="AI42" s="407">
        <v>435417</v>
      </c>
      <c r="AJ42" s="407">
        <v>435417</v>
      </c>
      <c r="AK42" s="407">
        <v>435413</v>
      </c>
      <c r="AL42" s="407"/>
      <c r="AM42" s="407"/>
      <c r="AN42" s="407"/>
      <c r="AO42" s="407"/>
      <c r="AP42" s="407"/>
      <c r="AQ42" s="407"/>
      <c r="AR42" s="1025">
        <f t="shared" si="3"/>
        <v>2612498</v>
      </c>
      <c r="AS42" s="412">
        <f t="shared" si="2"/>
        <v>0</v>
      </c>
    </row>
    <row r="43" spans="1:45" ht="40.5" customHeight="1" outlineLevel="1" x14ac:dyDescent="0.25">
      <c r="A43" s="450" t="s">
        <v>2004</v>
      </c>
      <c r="B43" s="684" t="s">
        <v>516</v>
      </c>
      <c r="C43" s="450" t="s">
        <v>516</v>
      </c>
      <c r="D43" s="450" t="s">
        <v>1683</v>
      </c>
      <c r="E43" s="684" t="s">
        <v>1685</v>
      </c>
      <c r="F43" s="450"/>
      <c r="G43" s="450"/>
      <c r="H43" s="684" t="s">
        <v>1694</v>
      </c>
      <c r="I43" s="1039" t="s">
        <v>2090</v>
      </c>
      <c r="J43" s="1156">
        <v>3045000</v>
      </c>
      <c r="K43" s="684">
        <v>1</v>
      </c>
      <c r="L43" s="1156">
        <f>CAPEX_202510[[#This Row],[Đơn giá ( chưa bao gồm VAT)]]*CAPEX_202510[[#This Row],[Số lượng]]</f>
        <v>3045000</v>
      </c>
      <c r="M43" s="450"/>
      <c r="N43" s="1145"/>
      <c r="O43" s="1143">
        <v>12</v>
      </c>
      <c r="P43" s="1198" t="str">
        <f>CAPEX_202510[[#This Row],[Loại tài sản]]</f>
        <v>Nhà cửa, vật kiến trúc</v>
      </c>
      <c r="Q43" s="1144" t="s">
        <v>2025</v>
      </c>
      <c r="R43" s="1144"/>
      <c r="S43" s="1144"/>
      <c r="T43" s="682"/>
      <c r="U43" s="448"/>
      <c r="V43" s="448"/>
      <c r="W43" s="1146"/>
      <c r="X43" s="1030" t="s">
        <v>2062</v>
      </c>
      <c r="Y43" s="687" t="str">
        <f>LEFT(CAPEX_202510[[#This Row],[Mã tài khoản (Mã Chi phí_L4)]],3)</f>
        <v>642</v>
      </c>
      <c r="Z43" s="451">
        <v>6427002001</v>
      </c>
      <c r="AA43" s="449" t="s">
        <v>447</v>
      </c>
      <c r="AB43" s="449" t="s">
        <v>579</v>
      </c>
      <c r="AC43" s="1159">
        <v>3045000</v>
      </c>
      <c r="AD43" s="1158">
        <f>CAPEX_202510[[#This Row],[Giá trị nguyên giá]]-CAPEX_202510[[#This Row],[Giá trị còn lại]]</f>
        <v>1522500</v>
      </c>
      <c r="AE43" s="1159">
        <v>1522500</v>
      </c>
      <c r="AF43" s="1160">
        <v>253750</v>
      </c>
      <c r="AG43" s="1160">
        <v>253750</v>
      </c>
      <c r="AH43" s="1160">
        <v>253750</v>
      </c>
      <c r="AI43" s="1160">
        <v>253750</v>
      </c>
      <c r="AJ43" s="1160">
        <v>253750</v>
      </c>
      <c r="AK43" s="1160">
        <v>253750</v>
      </c>
      <c r="AL43" s="1160"/>
      <c r="AM43" s="1160"/>
      <c r="AN43" s="1160"/>
      <c r="AO43" s="1160"/>
      <c r="AP43" s="1160"/>
      <c r="AQ43" s="1160"/>
      <c r="AR43" s="1025">
        <f t="shared" si="3"/>
        <v>1522500</v>
      </c>
      <c r="AS43" s="412">
        <f t="shared" si="2"/>
        <v>0</v>
      </c>
    </row>
    <row r="44" spans="1:45" ht="40.5" customHeight="1" outlineLevel="1" x14ac:dyDescent="0.25">
      <c r="A44" s="450" t="s">
        <v>2005</v>
      </c>
      <c r="B44" s="684" t="s">
        <v>516</v>
      </c>
      <c r="C44" s="450" t="s">
        <v>516</v>
      </c>
      <c r="D44" s="450" t="s">
        <v>1691</v>
      </c>
      <c r="E44" s="684" t="s">
        <v>1685</v>
      </c>
      <c r="F44" s="450"/>
      <c r="G44" s="450"/>
      <c r="H44" s="684" t="s">
        <v>1694</v>
      </c>
      <c r="I44" s="1039" t="s">
        <v>2086</v>
      </c>
      <c r="J44" s="1156">
        <v>2500000</v>
      </c>
      <c r="K44" s="684">
        <v>1</v>
      </c>
      <c r="L44" s="1156">
        <f>CAPEX_202510[[#This Row],[Đơn giá ( chưa bao gồm VAT)]]*CAPEX_202510[[#This Row],[Số lượng]]</f>
        <v>2500000</v>
      </c>
      <c r="M44" s="450"/>
      <c r="N44" s="1145"/>
      <c r="O44" s="1143">
        <v>12</v>
      </c>
      <c r="P44" s="1198" t="str">
        <f>CAPEX_202510[[#This Row],[Loại tài sản]]</f>
        <v>Dụng cụ quản lý</v>
      </c>
      <c r="Q44" s="1144" t="s">
        <v>2018</v>
      </c>
      <c r="R44" s="1144"/>
      <c r="S44" s="1144"/>
      <c r="T44" s="682"/>
      <c r="U44" s="448"/>
      <c r="V44" s="448"/>
      <c r="W44" s="1146"/>
      <c r="X44" s="1030" t="s">
        <v>2063</v>
      </c>
      <c r="Y44" s="687" t="str">
        <f>LEFT(CAPEX_202510[[#This Row],[Mã tài khoản (Mã Chi phí_L4)]],3)</f>
        <v>627</v>
      </c>
      <c r="Z44" s="451">
        <v>6273001908</v>
      </c>
      <c r="AA44" s="449" t="s">
        <v>435</v>
      </c>
      <c r="AB44" s="449" t="s">
        <v>580</v>
      </c>
      <c r="AC44" s="1159">
        <v>2500000</v>
      </c>
      <c r="AD44" s="1158">
        <f>CAPEX_202510[[#This Row],[Giá trị nguyên giá]]-CAPEX_202510[[#This Row],[Giá trị còn lại]]</f>
        <v>1249998</v>
      </c>
      <c r="AE44" s="1159">
        <v>1250002</v>
      </c>
      <c r="AF44" s="407">
        <v>208333</v>
      </c>
      <c r="AG44" s="407">
        <v>208333</v>
      </c>
      <c r="AH44" s="407">
        <v>208333</v>
      </c>
      <c r="AI44" s="407">
        <v>208333</v>
      </c>
      <c r="AJ44" s="407">
        <v>208333</v>
      </c>
      <c r="AK44" s="407">
        <v>208337</v>
      </c>
      <c r="AL44" s="407"/>
      <c r="AM44" s="407"/>
      <c r="AN44" s="407"/>
      <c r="AO44" s="407"/>
      <c r="AP44" s="407"/>
      <c r="AQ44" s="407"/>
      <c r="AR44" s="1025">
        <f t="shared" si="3"/>
        <v>1250002</v>
      </c>
      <c r="AS44" s="412">
        <f t="shared" si="2"/>
        <v>0</v>
      </c>
    </row>
    <row r="45" spans="1:45" ht="40.5" customHeight="1" outlineLevel="1" x14ac:dyDescent="0.25">
      <c r="A45" s="450" t="s">
        <v>2006</v>
      </c>
      <c r="B45" s="684" t="s">
        <v>516</v>
      </c>
      <c r="C45" s="450" t="s">
        <v>516</v>
      </c>
      <c r="D45" s="450" t="s">
        <v>1683</v>
      </c>
      <c r="E45" s="684" t="s">
        <v>1685</v>
      </c>
      <c r="F45" s="450"/>
      <c r="G45" s="450"/>
      <c r="H45" s="684" t="s">
        <v>1694</v>
      </c>
      <c r="I45" s="1039" t="s">
        <v>2090</v>
      </c>
      <c r="J45" s="1156">
        <v>60850000</v>
      </c>
      <c r="K45" s="684">
        <v>1</v>
      </c>
      <c r="L45" s="1156">
        <f>CAPEX_202510[[#This Row],[Đơn giá ( chưa bao gồm VAT)]]*CAPEX_202510[[#This Row],[Số lượng]]</f>
        <v>60850000</v>
      </c>
      <c r="M45" s="450"/>
      <c r="N45" s="1145"/>
      <c r="O45" s="1143">
        <v>36</v>
      </c>
      <c r="P45" s="1198" t="str">
        <f>CAPEX_202510[[#This Row],[Loại tài sản]]</f>
        <v>Nhà cửa, vật kiến trúc</v>
      </c>
      <c r="Q45" s="1144" t="s">
        <v>2025</v>
      </c>
      <c r="R45" s="1144"/>
      <c r="S45" s="1144"/>
      <c r="T45" s="682"/>
      <c r="U45" s="448"/>
      <c r="V45" s="448"/>
      <c r="W45" s="1146"/>
      <c r="X45" s="1030" t="s">
        <v>2064</v>
      </c>
      <c r="Y45" s="687" t="str">
        <f>LEFT(CAPEX_202510[[#This Row],[Mã tài khoản (Mã Chi phí_L4)]],3)</f>
        <v>642</v>
      </c>
      <c r="Z45" s="451">
        <v>6427002001</v>
      </c>
      <c r="AA45" s="449" t="s">
        <v>447</v>
      </c>
      <c r="AB45" s="449" t="s">
        <v>579</v>
      </c>
      <c r="AC45" s="1159">
        <v>60850000</v>
      </c>
      <c r="AD45" s="1158">
        <f>CAPEX_202510[[#This Row],[Giá trị nguyên giá]]-CAPEX_202510[[#This Row],[Giá trị còn lại]]</f>
        <v>8451390</v>
      </c>
      <c r="AE45" s="1159">
        <v>52398610</v>
      </c>
      <c r="AF45" s="407">
        <v>1690278</v>
      </c>
      <c r="AG45" s="407">
        <v>1690278</v>
      </c>
      <c r="AH45" s="407">
        <v>1690278</v>
      </c>
      <c r="AI45" s="407">
        <v>1690278</v>
      </c>
      <c r="AJ45" s="407">
        <v>1690278</v>
      </c>
      <c r="AK45" s="407">
        <v>1690278</v>
      </c>
      <c r="AL45" s="407">
        <v>1690278</v>
      </c>
      <c r="AM45" s="407">
        <v>1690278</v>
      </c>
      <c r="AN45" s="407">
        <v>1690278</v>
      </c>
      <c r="AO45" s="407">
        <v>1690278</v>
      </c>
      <c r="AP45" s="407">
        <v>1690278</v>
      </c>
      <c r="AQ45" s="407">
        <v>1690278</v>
      </c>
      <c r="AR45" s="1025">
        <f t="shared" si="3"/>
        <v>20283336</v>
      </c>
      <c r="AS45" s="412">
        <f t="shared" si="2"/>
        <v>32115274</v>
      </c>
    </row>
    <row r="46" spans="1:45" ht="40.5" customHeight="1" outlineLevel="1" x14ac:dyDescent="0.25">
      <c r="A46" s="450" t="s">
        <v>2007</v>
      </c>
      <c r="B46" s="684" t="s">
        <v>516</v>
      </c>
      <c r="C46" s="450" t="s">
        <v>516</v>
      </c>
      <c r="D46" s="450" t="s">
        <v>1691</v>
      </c>
      <c r="E46" s="684" t="s">
        <v>1685</v>
      </c>
      <c r="F46" s="450"/>
      <c r="G46" s="450"/>
      <c r="H46" s="684" t="s">
        <v>1694</v>
      </c>
      <c r="I46" s="1039" t="s">
        <v>2091</v>
      </c>
      <c r="J46" s="1156">
        <v>2688000</v>
      </c>
      <c r="K46" s="684">
        <v>1</v>
      </c>
      <c r="L46" s="1156">
        <f>CAPEX_202510[[#This Row],[Đơn giá ( chưa bao gồm VAT)]]*CAPEX_202510[[#This Row],[Số lượng]]</f>
        <v>2688000</v>
      </c>
      <c r="M46" s="450"/>
      <c r="N46" s="1145"/>
      <c r="O46" s="1143">
        <v>12</v>
      </c>
      <c r="P46" s="1198" t="str">
        <f>CAPEX_202510[[#This Row],[Loại tài sản]]</f>
        <v>Dụng cụ quản lý</v>
      </c>
      <c r="Q46" s="1144" t="s">
        <v>2026</v>
      </c>
      <c r="R46" s="1144"/>
      <c r="S46" s="1144"/>
      <c r="T46" s="682"/>
      <c r="U46" s="448"/>
      <c r="V46" s="448"/>
      <c r="W46" s="1146"/>
      <c r="X46" s="1030" t="s">
        <v>2065</v>
      </c>
      <c r="Y46" s="687" t="str">
        <f>LEFT(CAPEX_202510[[#This Row],[Mã tài khoản (Mã Chi phí_L4)]],3)</f>
        <v>627</v>
      </c>
      <c r="Z46" s="451">
        <v>6277003101</v>
      </c>
      <c r="AA46" s="449" t="s">
        <v>441</v>
      </c>
      <c r="AB46" s="449" t="s">
        <v>570</v>
      </c>
      <c r="AC46" s="1159">
        <v>2688000</v>
      </c>
      <c r="AD46" s="1158">
        <f>CAPEX_202510[[#This Row],[Giá trị nguyên giá]]-CAPEX_202510[[#This Row],[Giá trị còn lại]]</f>
        <v>1120000</v>
      </c>
      <c r="AE46" s="1159">
        <v>1568000</v>
      </c>
      <c r="AF46" s="407">
        <v>224000</v>
      </c>
      <c r="AG46" s="407">
        <v>224000</v>
      </c>
      <c r="AH46" s="407">
        <v>224000</v>
      </c>
      <c r="AI46" s="407">
        <v>224000</v>
      </c>
      <c r="AJ46" s="407">
        <v>224000</v>
      </c>
      <c r="AK46" s="407">
        <v>224000</v>
      </c>
      <c r="AL46" s="407">
        <v>224000</v>
      </c>
      <c r="AM46" s="407"/>
      <c r="AN46" s="407"/>
      <c r="AO46" s="407"/>
      <c r="AP46" s="407"/>
      <c r="AQ46" s="407"/>
      <c r="AR46" s="1025">
        <f t="shared" si="3"/>
        <v>1568000</v>
      </c>
      <c r="AS46" s="412">
        <f t="shared" si="2"/>
        <v>0</v>
      </c>
    </row>
    <row r="47" spans="1:45" ht="40.5" customHeight="1" outlineLevel="1" x14ac:dyDescent="0.25">
      <c r="A47" s="450" t="s">
        <v>2008</v>
      </c>
      <c r="B47" s="684" t="s">
        <v>516</v>
      </c>
      <c r="C47" s="450" t="s">
        <v>516</v>
      </c>
      <c r="D47" s="450" t="s">
        <v>1683</v>
      </c>
      <c r="E47" s="684" t="s">
        <v>1685</v>
      </c>
      <c r="F47" s="450"/>
      <c r="G47" s="450"/>
      <c r="H47" s="684" t="s">
        <v>1694</v>
      </c>
      <c r="I47" s="1039" t="s">
        <v>2090</v>
      </c>
      <c r="J47" s="1156">
        <v>18510000</v>
      </c>
      <c r="K47" s="684">
        <v>1</v>
      </c>
      <c r="L47" s="1156">
        <f>CAPEX_202510[[#This Row],[Đơn giá ( chưa bao gồm VAT)]]*CAPEX_202510[[#This Row],[Số lượng]]</f>
        <v>18510000</v>
      </c>
      <c r="M47" s="450"/>
      <c r="N47" s="1145"/>
      <c r="O47" s="1143">
        <v>36</v>
      </c>
      <c r="P47" s="1198" t="str">
        <f>CAPEX_202510[[#This Row],[Loại tài sản]]</f>
        <v>Nhà cửa, vật kiến trúc</v>
      </c>
      <c r="Q47" s="1144" t="s">
        <v>2025</v>
      </c>
      <c r="R47" s="1144"/>
      <c r="S47" s="1144"/>
      <c r="T47" s="682"/>
      <c r="U47" s="448"/>
      <c r="V47" s="448"/>
      <c r="W47" s="1146"/>
      <c r="X47" s="1030" t="s">
        <v>2066</v>
      </c>
      <c r="Y47" s="687" t="str">
        <f>LEFT(CAPEX_202510[[#This Row],[Mã tài khoản (Mã Chi phí_L4)]],3)</f>
        <v>642</v>
      </c>
      <c r="Z47" s="451">
        <v>6427002001</v>
      </c>
      <c r="AA47" s="449" t="s">
        <v>447</v>
      </c>
      <c r="AB47" s="449" t="s">
        <v>579</v>
      </c>
      <c r="AC47" s="1159">
        <v>18510000</v>
      </c>
      <c r="AD47" s="1158">
        <f>CAPEX_202510[[#This Row],[Giá trị nguyên giá]]-CAPEX_202510[[#This Row],[Giá trị còn lại]]</f>
        <v>2570835</v>
      </c>
      <c r="AE47" s="1159">
        <v>15939165</v>
      </c>
      <c r="AF47" s="407">
        <v>514167</v>
      </c>
      <c r="AG47" s="407">
        <v>514167</v>
      </c>
      <c r="AH47" s="407">
        <v>514167</v>
      </c>
      <c r="AI47" s="407">
        <v>514167</v>
      </c>
      <c r="AJ47" s="407">
        <v>514167</v>
      </c>
      <c r="AK47" s="407">
        <v>514167</v>
      </c>
      <c r="AL47" s="407">
        <v>514167</v>
      </c>
      <c r="AM47" s="407">
        <v>514167</v>
      </c>
      <c r="AN47" s="407">
        <v>514167</v>
      </c>
      <c r="AO47" s="407">
        <v>514167</v>
      </c>
      <c r="AP47" s="407">
        <v>514167</v>
      </c>
      <c r="AQ47" s="407">
        <v>514167</v>
      </c>
      <c r="AR47" s="1025">
        <f t="shared" si="3"/>
        <v>6170004</v>
      </c>
      <c r="AS47" s="412">
        <f t="shared" si="2"/>
        <v>9769161</v>
      </c>
    </row>
    <row r="48" spans="1:45" ht="40.5" customHeight="1" outlineLevel="1" x14ac:dyDescent="0.25">
      <c r="A48" s="450" t="s">
        <v>2009</v>
      </c>
      <c r="B48" s="684" t="s">
        <v>516</v>
      </c>
      <c r="C48" s="450" t="s">
        <v>516</v>
      </c>
      <c r="D48" s="450" t="s">
        <v>1697</v>
      </c>
      <c r="E48" s="684" t="s">
        <v>1685</v>
      </c>
      <c r="F48" s="450"/>
      <c r="G48" s="450"/>
      <c r="H48" s="684" t="s">
        <v>1694</v>
      </c>
      <c r="I48" s="1039" t="s">
        <v>2084</v>
      </c>
      <c r="J48" s="1156">
        <v>85150000</v>
      </c>
      <c r="K48" s="684">
        <v>1</v>
      </c>
      <c r="L48" s="1156">
        <f>CAPEX_202510[[#This Row],[Đơn giá ( chưa bao gồm VAT)]]*CAPEX_202510[[#This Row],[Số lượng]]</f>
        <v>85150000</v>
      </c>
      <c r="M48" s="450"/>
      <c r="N48" s="1145"/>
      <c r="O48" s="1143">
        <v>36</v>
      </c>
      <c r="P48" s="1198" t="str">
        <f>CAPEX_202510[[#This Row],[Loại tài sản]]</f>
        <v>Máy móc, thiết bị</v>
      </c>
      <c r="Q48" s="1144" t="s">
        <v>2019</v>
      </c>
      <c r="R48" s="1144"/>
      <c r="S48" s="1144"/>
      <c r="T48" s="682"/>
      <c r="U48" s="448"/>
      <c r="V48" s="448"/>
      <c r="W48" s="1146"/>
      <c r="X48" s="1030" t="s">
        <v>2067</v>
      </c>
      <c r="Y48" s="687" t="str">
        <f>LEFT(CAPEX_202510[[#This Row],[Mã tài khoản (Mã Chi phí_L4)]],3)</f>
        <v>627</v>
      </c>
      <c r="Z48" s="451">
        <v>6273006501</v>
      </c>
      <c r="AA48" s="449" t="s">
        <v>469</v>
      </c>
      <c r="AB48" s="449" t="s">
        <v>579</v>
      </c>
      <c r="AC48" s="1159">
        <v>85150000</v>
      </c>
      <c r="AD48" s="1158">
        <f>CAPEX_202510[[#This Row],[Giá trị nguyên giá]]-CAPEX_202510[[#This Row],[Giá trị còn lại]]</f>
        <v>14191668</v>
      </c>
      <c r="AE48" s="1159">
        <v>70958332</v>
      </c>
      <c r="AF48" s="407">
        <v>2365278</v>
      </c>
      <c r="AG48" s="407">
        <v>2365278</v>
      </c>
      <c r="AH48" s="407">
        <v>2365278</v>
      </c>
      <c r="AI48" s="407">
        <v>2365278</v>
      </c>
      <c r="AJ48" s="407">
        <v>2365278</v>
      </c>
      <c r="AK48" s="407">
        <v>2365278</v>
      </c>
      <c r="AL48" s="407">
        <v>2365278</v>
      </c>
      <c r="AM48" s="407">
        <v>2365278</v>
      </c>
      <c r="AN48" s="407">
        <v>2365278</v>
      </c>
      <c r="AO48" s="407">
        <v>2365278</v>
      </c>
      <c r="AP48" s="407">
        <v>2365278</v>
      </c>
      <c r="AQ48" s="407">
        <v>2365278</v>
      </c>
      <c r="AR48" s="1025">
        <f t="shared" si="3"/>
        <v>28383336</v>
      </c>
      <c r="AS48" s="412">
        <f t="shared" si="2"/>
        <v>42574996</v>
      </c>
    </row>
    <row r="49" spans="1:45" ht="40.5" customHeight="1" outlineLevel="1" x14ac:dyDescent="0.25">
      <c r="A49" s="450" t="s">
        <v>2010</v>
      </c>
      <c r="B49" s="684" t="s">
        <v>516</v>
      </c>
      <c r="C49" s="450" t="s">
        <v>516</v>
      </c>
      <c r="D49" s="450" t="s">
        <v>1697</v>
      </c>
      <c r="E49" s="684" t="s">
        <v>1685</v>
      </c>
      <c r="F49" s="450"/>
      <c r="G49" s="450"/>
      <c r="H49" s="684" t="s">
        <v>1694</v>
      </c>
      <c r="I49" s="1039" t="s">
        <v>1954</v>
      </c>
      <c r="J49" s="1156">
        <v>116666666</v>
      </c>
      <c r="K49" s="684">
        <v>1</v>
      </c>
      <c r="L49" s="1156">
        <f>CAPEX_202510[[#This Row],[Đơn giá ( chưa bao gồm VAT)]]*CAPEX_202510[[#This Row],[Số lượng]]</f>
        <v>116666666</v>
      </c>
      <c r="M49" s="450"/>
      <c r="N49" s="1145"/>
      <c r="O49" s="1143">
        <v>36</v>
      </c>
      <c r="P49" s="1198" t="str">
        <f>CAPEX_202510[[#This Row],[Loại tài sản]]</f>
        <v>Máy móc, thiết bị</v>
      </c>
      <c r="Q49" s="1144" t="s">
        <v>2195</v>
      </c>
      <c r="R49" s="1144"/>
      <c r="S49" s="1144"/>
      <c r="T49" s="682"/>
      <c r="U49" s="448"/>
      <c r="V49" s="448"/>
      <c r="W49" s="1146"/>
      <c r="X49" s="1030" t="s">
        <v>2068</v>
      </c>
      <c r="Y49" s="687" t="str">
        <f>LEFT(CAPEX_202510[[#This Row],[Mã tài khoản (Mã Chi phí_L4)]],3)</f>
        <v>627</v>
      </c>
      <c r="Z49" s="451">
        <v>6273006501</v>
      </c>
      <c r="AA49" s="449" t="s">
        <v>469</v>
      </c>
      <c r="AB49" s="449" t="s">
        <v>579</v>
      </c>
      <c r="AC49" s="1158">
        <v>116666666</v>
      </c>
      <c r="AD49" s="1158">
        <f>CAPEX_202510[[#This Row],[Giá trị nguyên giá]]-CAPEX_202510[[#This Row],[Giá trị còn lại]]</f>
        <v>16203705</v>
      </c>
      <c r="AE49" s="1158">
        <v>100462961</v>
      </c>
      <c r="AF49" s="407">
        <v>3240741</v>
      </c>
      <c r="AG49" s="407">
        <v>3240741</v>
      </c>
      <c r="AH49" s="407">
        <v>3240741</v>
      </c>
      <c r="AI49" s="407">
        <v>3240741</v>
      </c>
      <c r="AJ49" s="407">
        <v>3240741</v>
      </c>
      <c r="AK49" s="407">
        <v>3240741</v>
      </c>
      <c r="AL49" s="407">
        <v>3240741</v>
      </c>
      <c r="AM49" s="407">
        <v>3240741</v>
      </c>
      <c r="AN49" s="407">
        <v>3240741</v>
      </c>
      <c r="AO49" s="407">
        <v>3240741</v>
      </c>
      <c r="AP49" s="407">
        <v>3240741</v>
      </c>
      <c r="AQ49" s="407">
        <v>3240741</v>
      </c>
      <c r="AR49" s="1025">
        <f t="shared" si="3"/>
        <v>38888892</v>
      </c>
      <c r="AS49" s="412">
        <f t="shared" si="2"/>
        <v>61574069</v>
      </c>
    </row>
    <row r="50" spans="1:45" ht="40.5" customHeight="1" outlineLevel="1" x14ac:dyDescent="0.25">
      <c r="A50" s="450" t="s">
        <v>2011</v>
      </c>
      <c r="B50" s="684" t="s">
        <v>516</v>
      </c>
      <c r="C50" s="450" t="s">
        <v>516</v>
      </c>
      <c r="D50" s="450" t="s">
        <v>1697</v>
      </c>
      <c r="E50" s="684" t="s">
        <v>1685</v>
      </c>
      <c r="F50" s="450"/>
      <c r="G50" s="450"/>
      <c r="H50" s="684" t="s">
        <v>1694</v>
      </c>
      <c r="I50" s="1039" t="s">
        <v>2092</v>
      </c>
      <c r="J50" s="1156">
        <v>7110000</v>
      </c>
      <c r="K50" s="684">
        <v>1</v>
      </c>
      <c r="L50" s="1156">
        <f>CAPEX_202510[[#This Row],[Đơn giá ( chưa bao gồm VAT)]]*CAPEX_202510[[#This Row],[Số lượng]]</f>
        <v>7110000</v>
      </c>
      <c r="M50" s="450"/>
      <c r="N50" s="1145"/>
      <c r="O50" s="1143">
        <v>6</v>
      </c>
      <c r="P50" s="1198" t="str">
        <f>CAPEX_202510[[#This Row],[Loại tài sản]]</f>
        <v>Máy móc, thiết bị</v>
      </c>
      <c r="Q50" s="1144" t="s">
        <v>2018</v>
      </c>
      <c r="R50" s="1144"/>
      <c r="S50" s="1144"/>
      <c r="T50" s="682"/>
      <c r="U50" s="448"/>
      <c r="V50" s="448"/>
      <c r="W50" s="1146"/>
      <c r="X50" s="1030" t="s">
        <v>2069</v>
      </c>
      <c r="Y50" s="687" t="str">
        <f>LEFT(CAPEX_202510[[#This Row],[Mã tài khoản (Mã Chi phí_L4)]],3)</f>
        <v>627</v>
      </c>
      <c r="Z50" s="451">
        <v>6277002204</v>
      </c>
      <c r="AA50" s="449" t="s">
        <v>605</v>
      </c>
      <c r="AB50" s="449" t="s">
        <v>579</v>
      </c>
      <c r="AC50" s="1159">
        <v>7110000</v>
      </c>
      <c r="AD50" s="1158">
        <f>CAPEX_202510[[#This Row],[Giá trị nguyên giá]]-CAPEX_202510[[#This Row],[Giá trị còn lại]]</f>
        <v>5925000</v>
      </c>
      <c r="AE50" s="1159">
        <v>1185000</v>
      </c>
      <c r="AF50" s="407">
        <v>1185000</v>
      </c>
      <c r="AG50" s="407"/>
      <c r="AH50" s="407"/>
      <c r="AI50" s="407"/>
      <c r="AJ50" s="407"/>
      <c r="AK50" s="407"/>
      <c r="AL50" s="407"/>
      <c r="AM50" s="407"/>
      <c r="AN50" s="407"/>
      <c r="AO50" s="407"/>
      <c r="AP50" s="407"/>
      <c r="AQ50" s="407"/>
      <c r="AR50" s="1025">
        <f t="shared" si="3"/>
        <v>1185000</v>
      </c>
      <c r="AS50" s="412">
        <f t="shared" si="2"/>
        <v>0</v>
      </c>
    </row>
    <row r="51" spans="1:45" ht="40.5" customHeight="1" outlineLevel="1" x14ac:dyDescent="0.25">
      <c r="A51" s="450" t="s">
        <v>2012</v>
      </c>
      <c r="B51" s="684" t="s">
        <v>516</v>
      </c>
      <c r="C51" s="450" t="s">
        <v>516</v>
      </c>
      <c r="D51" s="450" t="s">
        <v>1683</v>
      </c>
      <c r="E51" s="684" t="s">
        <v>1685</v>
      </c>
      <c r="F51" s="450"/>
      <c r="G51" s="450"/>
      <c r="H51" s="684" t="s">
        <v>1694</v>
      </c>
      <c r="I51" s="1039" t="s">
        <v>2093</v>
      </c>
      <c r="J51" s="1156">
        <v>8200000</v>
      </c>
      <c r="K51" s="684">
        <v>1</v>
      </c>
      <c r="L51" s="1156">
        <f>CAPEX_202510[[#This Row],[Đơn giá ( chưa bao gồm VAT)]]*CAPEX_202510[[#This Row],[Số lượng]]</f>
        <v>8200000</v>
      </c>
      <c r="M51" s="450"/>
      <c r="N51" s="1145"/>
      <c r="O51" s="1143">
        <v>6</v>
      </c>
      <c r="P51" s="1198" t="str">
        <f>CAPEX_202510[[#This Row],[Loại tài sản]]</f>
        <v>Nhà cửa, vật kiến trúc</v>
      </c>
      <c r="Q51" s="1144" t="s">
        <v>2018</v>
      </c>
      <c r="R51" s="1144"/>
      <c r="S51" s="1144"/>
      <c r="T51" s="682"/>
      <c r="U51" s="448"/>
      <c r="V51" s="448"/>
      <c r="W51" s="1146"/>
      <c r="X51" s="1030" t="s">
        <v>2070</v>
      </c>
      <c r="Y51" s="687" t="str">
        <f>LEFT(CAPEX_202510[[#This Row],[Mã tài khoản (Mã Chi phí_L4)]],3)</f>
        <v>627</v>
      </c>
      <c r="Z51" s="451">
        <v>6273002001</v>
      </c>
      <c r="AA51" s="449" t="s">
        <v>606</v>
      </c>
      <c r="AB51" s="449" t="s">
        <v>579</v>
      </c>
      <c r="AC51" s="1159">
        <v>8200000</v>
      </c>
      <c r="AD51" s="1158">
        <f>CAPEX_202510[[#This Row],[Giá trị nguyên giá]]-CAPEX_202510[[#This Row],[Giá trị còn lại]]</f>
        <v>5466668</v>
      </c>
      <c r="AE51" s="1159">
        <v>2733332</v>
      </c>
      <c r="AF51" s="407">
        <v>1366667</v>
      </c>
      <c r="AG51" s="407">
        <v>1366665</v>
      </c>
      <c r="AH51" s="407"/>
      <c r="AI51" s="407"/>
      <c r="AJ51" s="407"/>
      <c r="AK51" s="407"/>
      <c r="AL51" s="407"/>
      <c r="AM51" s="407"/>
      <c r="AN51" s="407"/>
      <c r="AO51" s="407"/>
      <c r="AP51" s="407"/>
      <c r="AQ51" s="407"/>
      <c r="AR51" s="1025">
        <f t="shared" si="3"/>
        <v>2733332</v>
      </c>
      <c r="AS51" s="412">
        <f t="shared" si="2"/>
        <v>0</v>
      </c>
    </row>
    <row r="52" spans="1:45" ht="40.5" customHeight="1" outlineLevel="1" x14ac:dyDescent="0.25">
      <c r="A52" s="450" t="s">
        <v>2013</v>
      </c>
      <c r="B52" s="684" t="s">
        <v>516</v>
      </c>
      <c r="C52" s="450" t="s">
        <v>516</v>
      </c>
      <c r="D52" s="450" t="s">
        <v>1683</v>
      </c>
      <c r="E52" s="684" t="s">
        <v>1685</v>
      </c>
      <c r="F52" s="450"/>
      <c r="G52" s="450"/>
      <c r="H52" s="684" t="s">
        <v>1694</v>
      </c>
      <c r="I52" s="1039" t="s">
        <v>2090</v>
      </c>
      <c r="J52" s="1156">
        <v>16350000</v>
      </c>
      <c r="K52" s="684">
        <v>1</v>
      </c>
      <c r="L52" s="1156">
        <f>CAPEX_202510[[#This Row],[Đơn giá ( chưa bao gồm VAT)]]*CAPEX_202510[[#This Row],[Số lượng]]</f>
        <v>16350000</v>
      </c>
      <c r="M52" s="450"/>
      <c r="N52" s="1145"/>
      <c r="O52" s="1143">
        <v>24</v>
      </c>
      <c r="P52" s="1198" t="str">
        <f>CAPEX_202510[[#This Row],[Loại tài sản]]</f>
        <v>Nhà cửa, vật kiến trúc</v>
      </c>
      <c r="Q52" s="1144" t="s">
        <v>2025</v>
      </c>
      <c r="R52" s="1144"/>
      <c r="S52" s="1144"/>
      <c r="T52" s="682"/>
      <c r="U52" s="448"/>
      <c r="V52" s="448"/>
      <c r="W52" s="1146"/>
      <c r="X52" s="1030" t="s">
        <v>2071</v>
      </c>
      <c r="Y52" s="687" t="str">
        <f>LEFT(CAPEX_202510[[#This Row],[Mã tài khoản (Mã Chi phí_L4)]],3)</f>
        <v>642</v>
      </c>
      <c r="Z52" s="451">
        <v>6427002001</v>
      </c>
      <c r="AA52" s="449" t="s">
        <v>447</v>
      </c>
      <c r="AB52" s="449" t="s">
        <v>579</v>
      </c>
      <c r="AC52" s="1159">
        <v>16350000</v>
      </c>
      <c r="AD52" s="1158">
        <f>CAPEX_202510[[#This Row],[Giá trị nguyên giá]]-CAPEX_202510[[#This Row],[Giá trị còn lại]]</f>
        <v>2725000</v>
      </c>
      <c r="AE52" s="1159">
        <v>13625000</v>
      </c>
      <c r="AF52" s="407">
        <v>681250</v>
      </c>
      <c r="AG52" s="407">
        <v>681250</v>
      </c>
      <c r="AH52" s="407">
        <v>681250</v>
      </c>
      <c r="AI52" s="407">
        <v>681250</v>
      </c>
      <c r="AJ52" s="407">
        <v>681250</v>
      </c>
      <c r="AK52" s="407">
        <v>681250</v>
      </c>
      <c r="AL52" s="407">
        <v>681250</v>
      </c>
      <c r="AM52" s="407">
        <v>681250</v>
      </c>
      <c r="AN52" s="407">
        <v>681250</v>
      </c>
      <c r="AO52" s="407">
        <v>681250</v>
      </c>
      <c r="AP52" s="407">
        <v>681250</v>
      </c>
      <c r="AQ52" s="407">
        <v>681250</v>
      </c>
      <c r="AR52" s="1025">
        <f t="shared" si="3"/>
        <v>8175000</v>
      </c>
      <c r="AS52" s="412">
        <f t="shared" si="2"/>
        <v>5450000</v>
      </c>
    </row>
    <row r="53" spans="1:45" ht="40.5" customHeight="1" outlineLevel="1" x14ac:dyDescent="0.25">
      <c r="A53" s="450" t="s">
        <v>2014</v>
      </c>
      <c r="B53" s="684" t="s">
        <v>516</v>
      </c>
      <c r="C53" s="450" t="s">
        <v>516</v>
      </c>
      <c r="D53" s="450" t="s">
        <v>1697</v>
      </c>
      <c r="E53" s="684" t="s">
        <v>1685</v>
      </c>
      <c r="F53" s="450"/>
      <c r="G53" s="450"/>
      <c r="H53" s="684" t="s">
        <v>1694</v>
      </c>
      <c r="I53" s="1039" t="s">
        <v>2094</v>
      </c>
      <c r="J53" s="1156">
        <v>11199000</v>
      </c>
      <c r="K53" s="684">
        <v>1</v>
      </c>
      <c r="L53" s="1156">
        <f>CAPEX_202510[[#This Row],[Đơn giá ( chưa bao gồm VAT)]]*CAPEX_202510[[#This Row],[Số lượng]]</f>
        <v>11199000</v>
      </c>
      <c r="M53" s="450"/>
      <c r="N53" s="1145"/>
      <c r="O53" s="1143">
        <v>36</v>
      </c>
      <c r="P53" s="1198" t="str">
        <f>CAPEX_202510[[#This Row],[Loại tài sản]]</f>
        <v>Máy móc, thiết bị</v>
      </c>
      <c r="Q53" s="1144" t="s">
        <v>2018</v>
      </c>
      <c r="R53" s="1144"/>
      <c r="S53" s="1144"/>
      <c r="T53" s="682"/>
      <c r="U53" s="448"/>
      <c r="V53" s="448"/>
      <c r="W53" s="1146"/>
      <c r="X53" s="1030" t="s">
        <v>2072</v>
      </c>
      <c r="Y53" s="687" t="str">
        <f>LEFT(CAPEX_202510[[#This Row],[Mã tài khoản (Mã Chi phí_L4)]],3)</f>
        <v>627</v>
      </c>
      <c r="Z53" s="451">
        <v>6273001908</v>
      </c>
      <c r="AA53" s="449" t="s">
        <v>435</v>
      </c>
      <c r="AB53" s="449" t="s">
        <v>580</v>
      </c>
      <c r="AC53" s="1159">
        <v>11199000</v>
      </c>
      <c r="AD53" s="1158">
        <f>CAPEX_202510[[#This Row],[Giá trị nguyên giá]]-CAPEX_202510[[#This Row],[Giá trị còn lại]]</f>
        <v>1244332</v>
      </c>
      <c r="AE53" s="1159">
        <v>9954668</v>
      </c>
      <c r="AF53" s="407">
        <v>311083</v>
      </c>
      <c r="AG53" s="407">
        <v>311083</v>
      </c>
      <c r="AH53" s="407">
        <v>311083</v>
      </c>
      <c r="AI53" s="407">
        <v>311083</v>
      </c>
      <c r="AJ53" s="407">
        <v>311083</v>
      </c>
      <c r="AK53" s="407">
        <v>311083</v>
      </c>
      <c r="AL53" s="407">
        <v>311083</v>
      </c>
      <c r="AM53" s="407">
        <v>311083</v>
      </c>
      <c r="AN53" s="407">
        <v>311083</v>
      </c>
      <c r="AO53" s="407">
        <v>311083</v>
      </c>
      <c r="AP53" s="407">
        <v>311083</v>
      </c>
      <c r="AQ53" s="407">
        <v>311083</v>
      </c>
      <c r="AR53" s="1025">
        <f t="shared" si="3"/>
        <v>3732996</v>
      </c>
      <c r="AS53" s="412">
        <f t="shared" si="2"/>
        <v>6221672</v>
      </c>
    </row>
    <row r="54" spans="1:45" ht="40.5" customHeight="1" outlineLevel="1" x14ac:dyDescent="0.25">
      <c r="A54" s="450" t="s">
        <v>2015</v>
      </c>
      <c r="B54" s="684" t="s">
        <v>516</v>
      </c>
      <c r="C54" s="450" t="s">
        <v>516</v>
      </c>
      <c r="D54" s="450" t="s">
        <v>1697</v>
      </c>
      <c r="E54" s="684" t="s">
        <v>1685</v>
      </c>
      <c r="F54" s="450"/>
      <c r="G54" s="450"/>
      <c r="H54" s="684" t="s">
        <v>1694</v>
      </c>
      <c r="I54" s="1039" t="s">
        <v>1962</v>
      </c>
      <c r="J54" s="1156">
        <v>23000000</v>
      </c>
      <c r="K54" s="684">
        <v>1</v>
      </c>
      <c r="L54" s="1156">
        <f>CAPEX_202510[[#This Row],[Đơn giá ( chưa bao gồm VAT)]]*CAPEX_202510[[#This Row],[Số lượng]]</f>
        <v>23000000</v>
      </c>
      <c r="M54" s="450"/>
      <c r="N54" s="1145"/>
      <c r="O54" s="1143">
        <v>36</v>
      </c>
      <c r="P54" s="1198" t="str">
        <f>CAPEX_202510[[#This Row],[Loại tài sản]]</f>
        <v>Máy móc, thiết bị</v>
      </c>
      <c r="Q54" s="1144" t="s">
        <v>2019</v>
      </c>
      <c r="R54" s="1144"/>
      <c r="S54" s="1144"/>
      <c r="T54" s="682"/>
      <c r="U54" s="448"/>
      <c r="V54" s="448"/>
      <c r="W54" s="1146"/>
      <c r="X54" s="1030" t="s">
        <v>2073</v>
      </c>
      <c r="Y54" s="687" t="str">
        <f>LEFT(CAPEX_202510[[#This Row],[Mã tài khoản (Mã Chi phí_L4)]],3)</f>
        <v>627</v>
      </c>
      <c r="Z54" s="451">
        <v>6273006501</v>
      </c>
      <c r="AA54" s="449" t="s">
        <v>469</v>
      </c>
      <c r="AB54" s="449" t="s">
        <v>579</v>
      </c>
      <c r="AC54" s="1159">
        <v>23000000</v>
      </c>
      <c r="AD54" s="1158">
        <f>CAPEX_202510[[#This Row],[Giá trị nguyên giá]]-CAPEX_202510[[#This Row],[Giá trị còn lại]]</f>
        <v>0</v>
      </c>
      <c r="AE54" s="1159">
        <v>23000000</v>
      </c>
      <c r="AF54" s="407">
        <v>638889</v>
      </c>
      <c r="AG54" s="407">
        <v>638889</v>
      </c>
      <c r="AH54" s="407">
        <v>638889</v>
      </c>
      <c r="AI54" s="407">
        <v>638889</v>
      </c>
      <c r="AJ54" s="407">
        <v>638889</v>
      </c>
      <c r="AK54" s="407">
        <v>638889</v>
      </c>
      <c r="AL54" s="407">
        <v>638889</v>
      </c>
      <c r="AM54" s="407">
        <v>638889</v>
      </c>
      <c r="AN54" s="407">
        <v>638889</v>
      </c>
      <c r="AO54" s="407">
        <v>638889</v>
      </c>
      <c r="AP54" s="407">
        <v>638889</v>
      </c>
      <c r="AQ54" s="407">
        <v>638889</v>
      </c>
      <c r="AR54" s="1025">
        <f t="shared" si="3"/>
        <v>7666668</v>
      </c>
      <c r="AS54" s="412">
        <f t="shared" si="2"/>
        <v>15333332</v>
      </c>
    </row>
    <row r="55" spans="1:45" ht="40.5" customHeight="1" outlineLevel="1" x14ac:dyDescent="0.25">
      <c r="A55" s="450" t="s">
        <v>2016</v>
      </c>
      <c r="B55" s="684" t="s">
        <v>516</v>
      </c>
      <c r="C55" s="450" t="s">
        <v>516</v>
      </c>
      <c r="D55" s="450" t="s">
        <v>1697</v>
      </c>
      <c r="E55" s="684" t="s">
        <v>1685</v>
      </c>
      <c r="F55" s="450"/>
      <c r="G55" s="450"/>
      <c r="H55" s="684" t="s">
        <v>1694</v>
      </c>
      <c r="I55" s="1039" t="s">
        <v>1962</v>
      </c>
      <c r="J55" s="1156">
        <v>22000000</v>
      </c>
      <c r="K55" s="684">
        <v>1</v>
      </c>
      <c r="L55" s="1156">
        <f>CAPEX_202510[[#This Row],[Đơn giá ( chưa bao gồm VAT)]]*CAPEX_202510[[#This Row],[Số lượng]]</f>
        <v>22000000</v>
      </c>
      <c r="M55" s="450"/>
      <c r="N55" s="1145"/>
      <c r="O55" s="1143">
        <v>36</v>
      </c>
      <c r="P55" s="1198" t="str">
        <f>CAPEX_202510[[#This Row],[Loại tài sản]]</f>
        <v>Máy móc, thiết bị</v>
      </c>
      <c r="Q55" s="1144" t="s">
        <v>2019</v>
      </c>
      <c r="R55" s="1144"/>
      <c r="S55" s="1144"/>
      <c r="T55" s="682"/>
      <c r="U55" s="448"/>
      <c r="V55" s="448"/>
      <c r="W55" s="1146"/>
      <c r="X55" s="1030" t="s">
        <v>2074</v>
      </c>
      <c r="Y55" s="687" t="str">
        <f>LEFT(CAPEX_202510[[#This Row],[Mã tài khoản (Mã Chi phí_L4)]],3)</f>
        <v>627</v>
      </c>
      <c r="Z55" s="451">
        <v>6273006501</v>
      </c>
      <c r="AA55" s="449" t="s">
        <v>469</v>
      </c>
      <c r="AB55" s="449" t="s">
        <v>579</v>
      </c>
      <c r="AC55" s="1159">
        <v>22000000</v>
      </c>
      <c r="AD55" s="1158">
        <f>CAPEX_202510[[#This Row],[Giá trị nguyên giá]]-CAPEX_202510[[#This Row],[Giá trị còn lại]]</f>
        <v>0</v>
      </c>
      <c r="AE55" s="1159">
        <v>22000000</v>
      </c>
      <c r="AF55" s="407">
        <v>611111</v>
      </c>
      <c r="AG55" s="407">
        <v>611111</v>
      </c>
      <c r="AH55" s="407">
        <v>611111</v>
      </c>
      <c r="AI55" s="407">
        <v>611111</v>
      </c>
      <c r="AJ55" s="407">
        <v>611111</v>
      </c>
      <c r="AK55" s="407">
        <v>611111</v>
      </c>
      <c r="AL55" s="407">
        <v>611111</v>
      </c>
      <c r="AM55" s="407">
        <v>611111</v>
      </c>
      <c r="AN55" s="407">
        <v>611111</v>
      </c>
      <c r="AO55" s="407">
        <v>611111</v>
      </c>
      <c r="AP55" s="407">
        <v>611111</v>
      </c>
      <c r="AQ55" s="407">
        <v>611111</v>
      </c>
      <c r="AR55" s="1025">
        <f t="shared" si="3"/>
        <v>7333332</v>
      </c>
      <c r="AS55" s="412">
        <f t="shared" si="2"/>
        <v>14666668</v>
      </c>
    </row>
    <row r="56" spans="1:45" ht="40.5" customHeight="1" outlineLevel="1" x14ac:dyDescent="0.25">
      <c r="A56" s="450" t="s">
        <v>2017</v>
      </c>
      <c r="B56" s="450" t="s">
        <v>513</v>
      </c>
      <c r="C56" s="450" t="s">
        <v>513</v>
      </c>
      <c r="D56" s="450" t="s">
        <v>1691</v>
      </c>
      <c r="E56" s="684" t="s">
        <v>1685</v>
      </c>
      <c r="F56" s="450"/>
      <c r="G56" s="450"/>
      <c r="H56" s="684" t="s">
        <v>1694</v>
      </c>
      <c r="I56" s="1039" t="s">
        <v>2095</v>
      </c>
      <c r="J56" s="1156">
        <v>17460623</v>
      </c>
      <c r="K56" s="684">
        <v>1</v>
      </c>
      <c r="L56" s="1156">
        <f>CAPEX_202510[[#This Row],[Đơn giá ( chưa bao gồm VAT)]]*CAPEX_202510[[#This Row],[Số lượng]]</f>
        <v>17460623</v>
      </c>
      <c r="M56" s="450"/>
      <c r="N56" s="1145"/>
      <c r="O56" s="1143">
        <v>12</v>
      </c>
      <c r="P56" s="1198" t="str">
        <f>CAPEX_202510[[#This Row],[Loại tài sản]]</f>
        <v>Dụng cụ quản lý</v>
      </c>
      <c r="Q56" s="1144" t="s">
        <v>2027</v>
      </c>
      <c r="R56" s="1144"/>
      <c r="S56" s="1144"/>
      <c r="T56" s="682"/>
      <c r="U56" s="448"/>
      <c r="V56" s="448"/>
      <c r="W56" s="1146"/>
      <c r="X56" s="1030" t="s">
        <v>2075</v>
      </c>
      <c r="Y56" s="687" t="str">
        <f>LEFT(CAPEX_202510[[#This Row],[Mã tài khoản (Mã Chi phí_L4)]],3)</f>
        <v>642</v>
      </c>
      <c r="Z56" s="451">
        <v>6427003101</v>
      </c>
      <c r="AA56" s="449" t="s">
        <v>441</v>
      </c>
      <c r="AB56" s="449" t="s">
        <v>570</v>
      </c>
      <c r="AC56" s="1159">
        <v>17460623</v>
      </c>
      <c r="AD56" s="1158">
        <f>CAPEX_202510[[#This Row],[Giá trị nguyên giá]]-CAPEX_202510[[#This Row],[Giá trị còn lại]]</f>
        <v>5820208</v>
      </c>
      <c r="AE56" s="1159">
        <v>11640415</v>
      </c>
      <c r="AF56" s="407">
        <v>1455052</v>
      </c>
      <c r="AG56" s="407">
        <v>1455052</v>
      </c>
      <c r="AH56" s="407">
        <v>1455052</v>
      </c>
      <c r="AI56" s="407">
        <v>1455052</v>
      </c>
      <c r="AJ56" s="407">
        <v>1455052</v>
      </c>
      <c r="AK56" s="407">
        <v>1455052</v>
      </c>
      <c r="AL56" s="407">
        <v>1455052</v>
      </c>
      <c r="AM56" s="407">
        <v>1455051</v>
      </c>
      <c r="AN56" s="407"/>
      <c r="AO56" s="407"/>
      <c r="AP56" s="407"/>
      <c r="AQ56" s="407"/>
      <c r="AR56" s="1025">
        <f t="shared" si="3"/>
        <v>11640415</v>
      </c>
      <c r="AS56" s="412">
        <f t="shared" si="2"/>
        <v>0</v>
      </c>
    </row>
    <row r="57" spans="1:45" s="1175" customFormat="1" ht="25.75" customHeight="1" x14ac:dyDescent="0.3">
      <c r="A57" s="1164" t="s">
        <v>1764</v>
      </c>
      <c r="B57" s="1165"/>
      <c r="C57" s="1165"/>
      <c r="D57" s="1165"/>
      <c r="E57" s="1165"/>
      <c r="F57" s="1165"/>
      <c r="G57" s="1165"/>
      <c r="H57" s="1165"/>
      <c r="I57" s="1166"/>
      <c r="J57" s="1167"/>
      <c r="K57" s="1168"/>
      <c r="L57" s="1167">
        <f>CAPEX_202510[[#This Row],[Đơn giá ( chưa bao gồm VAT)]]*CAPEX_202510[[#This Row],[Số lượng]]</f>
        <v>0</v>
      </c>
      <c r="M57" s="1165"/>
      <c r="N57" s="1165"/>
      <c r="O57" s="1165"/>
      <c r="P57" s="1199"/>
      <c r="Q57" s="1170"/>
      <c r="R57" s="1170"/>
      <c r="S57" s="1170"/>
      <c r="T57" s="1169"/>
      <c r="U57" s="1170"/>
      <c r="V57" s="1170"/>
      <c r="W57" s="1170"/>
      <c r="X57" s="1169"/>
      <c r="Y57" s="1171"/>
      <c r="Z57" s="1172"/>
      <c r="AA57" s="1173"/>
      <c r="AB57" s="1173"/>
      <c r="AC57" s="1174">
        <f t="shared" ref="AC57:AQ57" si="4">SUM(AC58:AC112)</f>
        <v>2976753429.6097145</v>
      </c>
      <c r="AD57" s="1174">
        <f t="shared" si="4"/>
        <v>0</v>
      </c>
      <c r="AE57" s="1174">
        <f t="shared" si="4"/>
        <v>2976753429.6097145</v>
      </c>
      <c r="AF57" s="1174">
        <f t="shared" si="4"/>
        <v>174580809.04664284</v>
      </c>
      <c r="AG57" s="1174">
        <f t="shared" si="4"/>
        <v>170238186.14664283</v>
      </c>
      <c r="AH57" s="1174">
        <f t="shared" si="4"/>
        <v>168994236.44664285</v>
      </c>
      <c r="AI57" s="1174">
        <f t="shared" si="4"/>
        <v>174313958.44664285</v>
      </c>
      <c r="AJ57" s="1174">
        <f t="shared" si="4"/>
        <v>166558314.14664283</v>
      </c>
      <c r="AK57" s="1174">
        <f t="shared" si="4"/>
        <v>177369695.24664283</v>
      </c>
      <c r="AL57" s="1174">
        <f t="shared" si="4"/>
        <v>171155313.44664285</v>
      </c>
      <c r="AM57" s="1174">
        <f t="shared" si="4"/>
        <v>170753691.69664285</v>
      </c>
      <c r="AN57" s="1174">
        <f t="shared" si="4"/>
        <v>167146237.14664283</v>
      </c>
      <c r="AO57" s="1174">
        <f t="shared" si="4"/>
        <v>170245314.14664283</v>
      </c>
      <c r="AP57" s="1174">
        <f t="shared" si="4"/>
        <v>166530313.44664285</v>
      </c>
      <c r="AQ57" s="1174">
        <f t="shared" si="4"/>
        <v>175767360.24664283</v>
      </c>
      <c r="AR57" s="1174">
        <f t="shared" si="3"/>
        <v>2053653429.6097143</v>
      </c>
      <c r="AS57" s="1174">
        <f>CAPEX_202510[[#This Row],[Giá trị còn lại]]-CAPEX_202510[[#This Row],[Mục tiêu 2026]]</f>
        <v>923100000.00000024</v>
      </c>
    </row>
    <row r="58" spans="1:45" ht="30" customHeight="1" outlineLevel="1" x14ac:dyDescent="0.25">
      <c r="A58" s="450" t="s">
        <v>214</v>
      </c>
      <c r="B58" s="450" t="s">
        <v>518</v>
      </c>
      <c r="C58" s="450" t="s">
        <v>518</v>
      </c>
      <c r="D58" s="450" t="s">
        <v>1697</v>
      </c>
      <c r="E58" s="684" t="s">
        <v>1685</v>
      </c>
      <c r="F58" s="450"/>
      <c r="G58" s="450"/>
      <c r="H58" s="684" t="s">
        <v>1694</v>
      </c>
      <c r="I58" s="1039" t="s">
        <v>1962</v>
      </c>
      <c r="J58" s="1156">
        <v>8400000</v>
      </c>
      <c r="K58" s="684">
        <v>2</v>
      </c>
      <c r="L58" s="1156">
        <f>CAPEX_202510[[#This Row],[Đơn giá ( chưa bao gồm VAT)]]*CAPEX_202510[[#This Row],[Số lượng]]</f>
        <v>16800000</v>
      </c>
      <c r="M58" s="450"/>
      <c r="N58" s="1028">
        <v>46023</v>
      </c>
      <c r="O58" s="1163">
        <v>36</v>
      </c>
      <c r="P58" s="1040" t="str">
        <f>CAPEX_202510[[#This Row],[Loại tài sản]]</f>
        <v>Máy móc, thiết bị</v>
      </c>
      <c r="Q58" s="1041" t="s">
        <v>2019</v>
      </c>
      <c r="R58" s="448"/>
      <c r="S58" s="448"/>
      <c r="T58" s="1040"/>
      <c r="U58" s="448"/>
      <c r="V58" s="448"/>
      <c r="W58" s="448"/>
      <c r="X58" s="1030" t="s">
        <v>2104</v>
      </c>
      <c r="Y58" s="687" t="str">
        <f>LEFT(CAPEX_202510[[#This Row],[Mã tài khoản (Mã Chi phí_L4)]],3)</f>
        <v>627</v>
      </c>
      <c r="Z58" s="1162">
        <v>6273006501</v>
      </c>
      <c r="AA58" s="1040" t="s">
        <v>469</v>
      </c>
      <c r="AB58" s="1040" t="s">
        <v>579</v>
      </c>
      <c r="AC58" s="1159">
        <v>16800000</v>
      </c>
      <c r="AD58" s="1158">
        <f>CAPEX_202510[[#This Row],[Giá trị nguyên giá]]-CAPEX_202510[[#This Row],[Giá trị còn lại]]</f>
        <v>0</v>
      </c>
      <c r="AE58" s="1159">
        <v>16800000</v>
      </c>
      <c r="AF58" s="407">
        <v>466666.66666666669</v>
      </c>
      <c r="AG58" s="407">
        <v>466666.66666666669</v>
      </c>
      <c r="AH58" s="407">
        <v>466666.66666666669</v>
      </c>
      <c r="AI58" s="407">
        <v>466666.66666666669</v>
      </c>
      <c r="AJ58" s="407">
        <v>466666.66666666669</v>
      </c>
      <c r="AK58" s="407">
        <v>466666.66666666669</v>
      </c>
      <c r="AL58" s="407">
        <v>466666.66666666669</v>
      </c>
      <c r="AM58" s="407">
        <v>466666.66666666669</v>
      </c>
      <c r="AN58" s="407">
        <v>466666.66666666669</v>
      </c>
      <c r="AO58" s="407">
        <v>466666.66666666669</v>
      </c>
      <c r="AP58" s="407">
        <v>466666.66666666669</v>
      </c>
      <c r="AQ58" s="407">
        <v>466666.66666666669</v>
      </c>
      <c r="AR58" s="412">
        <f t="shared" si="3"/>
        <v>5600000.0000000009</v>
      </c>
      <c r="AS58" s="412">
        <f t="shared" si="2"/>
        <v>11200000</v>
      </c>
    </row>
    <row r="59" spans="1:45" ht="30" customHeight="1" outlineLevel="1" x14ac:dyDescent="0.25">
      <c r="A59" s="450" t="s">
        <v>212</v>
      </c>
      <c r="B59" s="450" t="s">
        <v>518</v>
      </c>
      <c r="C59" s="450" t="s">
        <v>518</v>
      </c>
      <c r="D59" s="450" t="s">
        <v>1697</v>
      </c>
      <c r="E59" s="684" t="s">
        <v>1685</v>
      </c>
      <c r="F59" s="450"/>
      <c r="G59" s="450"/>
      <c r="H59" s="684" t="s">
        <v>1694</v>
      </c>
      <c r="I59" s="1039" t="s">
        <v>1962</v>
      </c>
      <c r="J59" s="1156">
        <v>23000000</v>
      </c>
      <c r="K59" s="684">
        <v>1</v>
      </c>
      <c r="L59" s="1156">
        <f>CAPEX_202510[[#This Row],[Đơn giá ( chưa bao gồm VAT)]]*CAPEX_202510[[#This Row],[Số lượng]]</f>
        <v>23000000</v>
      </c>
      <c r="M59" s="450"/>
      <c r="N59" s="1028">
        <v>46023</v>
      </c>
      <c r="O59" s="1163">
        <v>36</v>
      </c>
      <c r="P59" s="1040" t="str">
        <f>CAPEX_202510[[#This Row],[Loại tài sản]]</f>
        <v>Máy móc, thiết bị</v>
      </c>
      <c r="Q59" s="1041" t="s">
        <v>2019</v>
      </c>
      <c r="R59" s="448"/>
      <c r="S59" s="448"/>
      <c r="T59" s="1040"/>
      <c r="U59" s="448"/>
      <c r="V59" s="448"/>
      <c r="W59" s="448"/>
      <c r="X59" s="1030" t="s">
        <v>2105</v>
      </c>
      <c r="Y59" s="687" t="str">
        <f>LEFT(CAPEX_202510[[#This Row],[Mã tài khoản (Mã Chi phí_L4)]],3)</f>
        <v>627</v>
      </c>
      <c r="Z59" s="1162">
        <v>6273006501</v>
      </c>
      <c r="AA59" s="1040" t="s">
        <v>469</v>
      </c>
      <c r="AB59" s="1040" t="s">
        <v>579</v>
      </c>
      <c r="AC59" s="1159">
        <v>23000000</v>
      </c>
      <c r="AD59" s="1158">
        <f>CAPEX_202510[[#This Row],[Giá trị nguyên giá]]-CAPEX_202510[[#This Row],[Giá trị còn lại]]</f>
        <v>0</v>
      </c>
      <c r="AE59" s="1159">
        <v>23000000</v>
      </c>
      <c r="AF59" s="1159">
        <v>638888.88888888888</v>
      </c>
      <c r="AG59" s="1159">
        <v>638888.88888888888</v>
      </c>
      <c r="AH59" s="1159">
        <v>638888.88888888888</v>
      </c>
      <c r="AI59" s="1159">
        <v>638888.88888888888</v>
      </c>
      <c r="AJ59" s="1159">
        <v>638888.88888888888</v>
      </c>
      <c r="AK59" s="1159">
        <v>638888.88888888888</v>
      </c>
      <c r="AL59" s="1159">
        <v>638888.88888888888</v>
      </c>
      <c r="AM59" s="1159">
        <v>638888.88888888888</v>
      </c>
      <c r="AN59" s="1159">
        <v>638888.88888888888</v>
      </c>
      <c r="AO59" s="1159">
        <v>638888.88888888888</v>
      </c>
      <c r="AP59" s="1159">
        <v>638888.88888888888</v>
      </c>
      <c r="AQ59" s="1159">
        <v>638888.88888888888</v>
      </c>
      <c r="AR59" s="412">
        <f t="shared" si="1"/>
        <v>7666666.666666667</v>
      </c>
      <c r="AS59" s="412">
        <f t="shared" si="2"/>
        <v>15333333.333333332</v>
      </c>
    </row>
    <row r="60" spans="1:45" ht="30" customHeight="1" outlineLevel="1" x14ac:dyDescent="0.25">
      <c r="A60" s="450" t="s">
        <v>213</v>
      </c>
      <c r="B60" s="450" t="s">
        <v>518</v>
      </c>
      <c r="C60" s="450" t="s">
        <v>518</v>
      </c>
      <c r="D60" s="450" t="s">
        <v>1697</v>
      </c>
      <c r="E60" s="684" t="s">
        <v>1685</v>
      </c>
      <c r="F60" s="450"/>
      <c r="G60" s="450"/>
      <c r="H60" s="684" t="s">
        <v>1694</v>
      </c>
      <c r="I60" s="1039" t="s">
        <v>1962</v>
      </c>
      <c r="J60" s="1156">
        <v>25000000</v>
      </c>
      <c r="K60" s="684">
        <v>1</v>
      </c>
      <c r="L60" s="1156">
        <f>CAPEX_202510[[#This Row],[Đơn giá ( chưa bao gồm VAT)]]*CAPEX_202510[[#This Row],[Số lượng]]</f>
        <v>25000000</v>
      </c>
      <c r="M60" s="450"/>
      <c r="N60" s="1028">
        <v>46023</v>
      </c>
      <c r="O60" s="1163">
        <v>36</v>
      </c>
      <c r="P60" s="1040" t="str">
        <f>CAPEX_202510[[#This Row],[Loại tài sản]]</f>
        <v>Máy móc, thiết bị</v>
      </c>
      <c r="Q60" s="1041" t="s">
        <v>2019</v>
      </c>
      <c r="R60" s="448"/>
      <c r="S60" s="448"/>
      <c r="T60" s="1040"/>
      <c r="U60" s="448"/>
      <c r="V60" s="448"/>
      <c r="W60" s="448"/>
      <c r="X60" s="1030" t="s">
        <v>2106</v>
      </c>
      <c r="Y60" s="687" t="str">
        <f>LEFT(CAPEX_202510[[#This Row],[Mã tài khoản (Mã Chi phí_L4)]],3)</f>
        <v>627</v>
      </c>
      <c r="Z60" s="1162">
        <v>6273006501</v>
      </c>
      <c r="AA60" s="1040" t="s">
        <v>469</v>
      </c>
      <c r="AB60" s="1040" t="s">
        <v>579</v>
      </c>
      <c r="AC60" s="1159">
        <v>25000000</v>
      </c>
      <c r="AD60" s="1158">
        <f>CAPEX_202510[[#This Row],[Giá trị nguyên giá]]-CAPEX_202510[[#This Row],[Giá trị còn lại]]</f>
        <v>0</v>
      </c>
      <c r="AE60" s="1159">
        <v>25000000</v>
      </c>
      <c r="AF60" s="1159">
        <v>694444.4444444445</v>
      </c>
      <c r="AG60" s="1159">
        <v>694444.4444444445</v>
      </c>
      <c r="AH60" s="1159">
        <v>694444.4444444445</v>
      </c>
      <c r="AI60" s="1159">
        <v>694444.4444444445</v>
      </c>
      <c r="AJ60" s="1159">
        <v>694444.4444444445</v>
      </c>
      <c r="AK60" s="1159">
        <v>694444.4444444445</v>
      </c>
      <c r="AL60" s="1159">
        <v>694444.4444444445</v>
      </c>
      <c r="AM60" s="1159">
        <v>694444.4444444445</v>
      </c>
      <c r="AN60" s="1159">
        <v>694444.4444444445</v>
      </c>
      <c r="AO60" s="1159">
        <v>694444.4444444445</v>
      </c>
      <c r="AP60" s="1159">
        <v>694444.4444444445</v>
      </c>
      <c r="AQ60" s="1159">
        <v>694444.4444444445</v>
      </c>
      <c r="AR60" s="412">
        <f t="shared" si="1"/>
        <v>8333333.3333333321</v>
      </c>
      <c r="AS60" s="412">
        <f t="shared" si="2"/>
        <v>16666666.666666668</v>
      </c>
    </row>
    <row r="61" spans="1:45" ht="30" customHeight="1" outlineLevel="1" x14ac:dyDescent="0.25">
      <c r="A61" s="450" t="s">
        <v>215</v>
      </c>
      <c r="B61" s="450" t="s">
        <v>518</v>
      </c>
      <c r="C61" s="450" t="s">
        <v>518</v>
      </c>
      <c r="D61" s="450" t="s">
        <v>1697</v>
      </c>
      <c r="E61" s="684" t="s">
        <v>1685</v>
      </c>
      <c r="F61" s="450"/>
      <c r="G61" s="450"/>
      <c r="H61" s="684" t="s">
        <v>1694</v>
      </c>
      <c r="I61" s="1039" t="s">
        <v>1962</v>
      </c>
      <c r="J61" s="1156">
        <v>20000000</v>
      </c>
      <c r="K61" s="684">
        <v>1</v>
      </c>
      <c r="L61" s="1156">
        <f>CAPEX_202510[[#This Row],[Đơn giá ( chưa bao gồm VAT)]]*CAPEX_202510[[#This Row],[Số lượng]]</f>
        <v>20000000</v>
      </c>
      <c r="M61" s="450"/>
      <c r="N61" s="1028">
        <v>46023</v>
      </c>
      <c r="O61" s="1163">
        <v>36</v>
      </c>
      <c r="P61" s="1040" t="str">
        <f>CAPEX_202510[[#This Row],[Loại tài sản]]</f>
        <v>Máy móc, thiết bị</v>
      </c>
      <c r="Q61" s="1041" t="s">
        <v>2019</v>
      </c>
      <c r="R61" s="448"/>
      <c r="S61" s="448"/>
      <c r="T61" s="1040"/>
      <c r="U61" s="448"/>
      <c r="V61" s="448"/>
      <c r="W61" s="448"/>
      <c r="X61" s="1030" t="s">
        <v>2107</v>
      </c>
      <c r="Y61" s="687" t="str">
        <f>LEFT(CAPEX_202510[[#This Row],[Mã tài khoản (Mã Chi phí_L4)]],3)</f>
        <v>627</v>
      </c>
      <c r="Z61" s="1162">
        <v>6273006501</v>
      </c>
      <c r="AA61" s="1040" t="s">
        <v>469</v>
      </c>
      <c r="AB61" s="1040" t="s">
        <v>579</v>
      </c>
      <c r="AC61" s="1159">
        <v>20000000</v>
      </c>
      <c r="AD61" s="1158">
        <f>CAPEX_202510[[#This Row],[Giá trị nguyên giá]]-CAPEX_202510[[#This Row],[Giá trị còn lại]]</f>
        <v>0</v>
      </c>
      <c r="AE61" s="1159">
        <v>20000000</v>
      </c>
      <c r="AF61" s="1159">
        <v>555555.5555555555</v>
      </c>
      <c r="AG61" s="1159">
        <v>555555.5555555555</v>
      </c>
      <c r="AH61" s="1159">
        <v>555555.5555555555</v>
      </c>
      <c r="AI61" s="1159">
        <v>555555.5555555555</v>
      </c>
      <c r="AJ61" s="1159">
        <v>555555.5555555555</v>
      </c>
      <c r="AK61" s="1159">
        <v>555555.5555555555</v>
      </c>
      <c r="AL61" s="1159">
        <v>555555.5555555555</v>
      </c>
      <c r="AM61" s="1159">
        <v>555555.5555555555</v>
      </c>
      <c r="AN61" s="1159">
        <v>555555.5555555555</v>
      </c>
      <c r="AO61" s="1159">
        <v>555555.5555555555</v>
      </c>
      <c r="AP61" s="1159">
        <v>555555.5555555555</v>
      </c>
      <c r="AQ61" s="1159">
        <v>555555.5555555555</v>
      </c>
      <c r="AR61" s="412">
        <f t="shared" si="1"/>
        <v>6666666.6666666679</v>
      </c>
      <c r="AS61" s="412">
        <f t="shared" si="2"/>
        <v>13333333.333333332</v>
      </c>
    </row>
    <row r="62" spans="1:45" ht="30" customHeight="1" outlineLevel="1" x14ac:dyDescent="0.25">
      <c r="A62" s="450" t="s">
        <v>539</v>
      </c>
      <c r="B62" s="450" t="s">
        <v>518</v>
      </c>
      <c r="C62" s="450" t="s">
        <v>518</v>
      </c>
      <c r="D62" s="450" t="s">
        <v>1697</v>
      </c>
      <c r="E62" s="684" t="s">
        <v>1685</v>
      </c>
      <c r="F62" s="450"/>
      <c r="G62" s="450"/>
      <c r="H62" s="684" t="s">
        <v>1694</v>
      </c>
      <c r="I62" s="1039" t="s">
        <v>1962</v>
      </c>
      <c r="J62" s="1156">
        <v>8000000</v>
      </c>
      <c r="K62" s="684">
        <v>2</v>
      </c>
      <c r="L62" s="1156">
        <f>CAPEX_202510[[#This Row],[Đơn giá ( chưa bao gồm VAT)]]*CAPEX_202510[[#This Row],[Số lượng]]</f>
        <v>16000000</v>
      </c>
      <c r="M62" s="450"/>
      <c r="N62" s="1028">
        <v>46023</v>
      </c>
      <c r="O62" s="1163">
        <v>36</v>
      </c>
      <c r="P62" s="1040" t="str">
        <f>CAPEX_202510[[#This Row],[Loại tài sản]]</f>
        <v>Máy móc, thiết bị</v>
      </c>
      <c r="Q62" s="1041" t="s">
        <v>2019</v>
      </c>
      <c r="R62" s="448"/>
      <c r="S62" s="448"/>
      <c r="T62" s="1040"/>
      <c r="U62" s="448"/>
      <c r="V62" s="448"/>
      <c r="W62" s="448"/>
      <c r="X62" s="1030" t="s">
        <v>2108</v>
      </c>
      <c r="Y62" s="687" t="str">
        <f>LEFT(CAPEX_202510[[#This Row],[Mã tài khoản (Mã Chi phí_L4)]],3)</f>
        <v>627</v>
      </c>
      <c r="Z62" s="1162">
        <v>6273006501</v>
      </c>
      <c r="AA62" s="1040" t="s">
        <v>469</v>
      </c>
      <c r="AB62" s="1040" t="s">
        <v>579</v>
      </c>
      <c r="AC62" s="1159">
        <v>16000000</v>
      </c>
      <c r="AD62" s="1158">
        <f>CAPEX_202510[[#This Row],[Giá trị nguyên giá]]-CAPEX_202510[[#This Row],[Giá trị còn lại]]</f>
        <v>0</v>
      </c>
      <c r="AE62" s="1159">
        <v>16000000</v>
      </c>
      <c r="AF62" s="1159">
        <v>444444.44444444444</v>
      </c>
      <c r="AG62" s="1159">
        <v>444444.44444444444</v>
      </c>
      <c r="AH62" s="1159">
        <v>444444.44444444444</v>
      </c>
      <c r="AI62" s="1159">
        <v>444444.44444444444</v>
      </c>
      <c r="AJ62" s="1159">
        <v>444444.44444444444</v>
      </c>
      <c r="AK62" s="1159">
        <v>444444.44444444444</v>
      </c>
      <c r="AL62" s="1159">
        <v>444444.44444444444</v>
      </c>
      <c r="AM62" s="1159">
        <v>444444.44444444444</v>
      </c>
      <c r="AN62" s="1159">
        <v>444444.44444444444</v>
      </c>
      <c r="AO62" s="1159">
        <v>444444.44444444444</v>
      </c>
      <c r="AP62" s="1159">
        <v>444444.44444444444</v>
      </c>
      <c r="AQ62" s="1159">
        <v>444444.44444444444</v>
      </c>
      <c r="AR62" s="412">
        <f t="shared" si="1"/>
        <v>5333333.3333333321</v>
      </c>
      <c r="AS62" s="412">
        <f t="shared" si="2"/>
        <v>10666666.666666668</v>
      </c>
    </row>
    <row r="63" spans="1:45" ht="30" customHeight="1" outlineLevel="1" x14ac:dyDescent="0.25">
      <c r="A63" s="450" t="s">
        <v>540</v>
      </c>
      <c r="B63" s="450" t="s">
        <v>518</v>
      </c>
      <c r="C63" s="450" t="s">
        <v>518</v>
      </c>
      <c r="D63" s="450" t="s">
        <v>1697</v>
      </c>
      <c r="E63" s="684" t="s">
        <v>1685</v>
      </c>
      <c r="F63" s="450"/>
      <c r="G63" s="450"/>
      <c r="H63" s="684" t="s">
        <v>1694</v>
      </c>
      <c r="I63" s="1039" t="s">
        <v>1962</v>
      </c>
      <c r="J63" s="1156">
        <v>23000000</v>
      </c>
      <c r="K63" s="684">
        <v>1</v>
      </c>
      <c r="L63" s="1156">
        <f>CAPEX_202510[[#This Row],[Đơn giá ( chưa bao gồm VAT)]]*CAPEX_202510[[#This Row],[Số lượng]]</f>
        <v>23000000</v>
      </c>
      <c r="M63" s="450"/>
      <c r="N63" s="1028">
        <v>46023</v>
      </c>
      <c r="O63" s="1163">
        <v>36</v>
      </c>
      <c r="P63" s="1040" t="str">
        <f>CAPEX_202510[[#This Row],[Loại tài sản]]</f>
        <v>Máy móc, thiết bị</v>
      </c>
      <c r="Q63" s="1041" t="s">
        <v>2019</v>
      </c>
      <c r="R63" s="448"/>
      <c r="S63" s="448"/>
      <c r="T63" s="1040"/>
      <c r="U63" s="448"/>
      <c r="V63" s="448"/>
      <c r="W63" s="448"/>
      <c r="X63" s="1030" t="s">
        <v>2109</v>
      </c>
      <c r="Y63" s="687" t="str">
        <f>LEFT(CAPEX_202510[[#This Row],[Mã tài khoản (Mã Chi phí_L4)]],3)</f>
        <v>627</v>
      </c>
      <c r="Z63" s="1162">
        <v>6273006501</v>
      </c>
      <c r="AA63" s="1040" t="s">
        <v>469</v>
      </c>
      <c r="AB63" s="1040" t="s">
        <v>579</v>
      </c>
      <c r="AC63" s="1159">
        <v>23000000</v>
      </c>
      <c r="AD63" s="1158">
        <f>CAPEX_202510[[#This Row],[Giá trị nguyên giá]]-CAPEX_202510[[#This Row],[Giá trị còn lại]]</f>
        <v>0</v>
      </c>
      <c r="AE63" s="1159">
        <v>23000000</v>
      </c>
      <c r="AF63" s="1159">
        <v>638888.88888888888</v>
      </c>
      <c r="AG63" s="1159">
        <v>638888.88888888888</v>
      </c>
      <c r="AH63" s="1159">
        <v>638888.88888888888</v>
      </c>
      <c r="AI63" s="1159">
        <v>638888.88888888888</v>
      </c>
      <c r="AJ63" s="1159">
        <v>638888.88888888888</v>
      </c>
      <c r="AK63" s="1159">
        <v>638888.88888888888</v>
      </c>
      <c r="AL63" s="1159">
        <v>638888.88888888888</v>
      </c>
      <c r="AM63" s="1159">
        <v>638888.88888888888</v>
      </c>
      <c r="AN63" s="1159">
        <v>638888.88888888888</v>
      </c>
      <c r="AO63" s="1159">
        <v>638888.88888888888</v>
      </c>
      <c r="AP63" s="1159">
        <v>638888.88888888888</v>
      </c>
      <c r="AQ63" s="1159">
        <v>638888.88888888888</v>
      </c>
      <c r="AR63" s="412">
        <f t="shared" si="1"/>
        <v>7666666.666666667</v>
      </c>
      <c r="AS63" s="412">
        <f t="shared" si="2"/>
        <v>15333333.333333332</v>
      </c>
    </row>
    <row r="64" spans="1:45" ht="30" customHeight="1" outlineLevel="1" x14ac:dyDescent="0.25">
      <c r="A64" s="450" t="s">
        <v>1666</v>
      </c>
      <c r="B64" s="450" t="s">
        <v>518</v>
      </c>
      <c r="C64" s="450" t="s">
        <v>518</v>
      </c>
      <c r="D64" s="450" t="s">
        <v>1697</v>
      </c>
      <c r="E64" s="684" t="s">
        <v>1685</v>
      </c>
      <c r="F64" s="450"/>
      <c r="G64" s="450"/>
      <c r="H64" s="684" t="s">
        <v>1694</v>
      </c>
      <c r="I64" s="1039" t="s">
        <v>1962</v>
      </c>
      <c r="J64" s="1156">
        <v>24150000</v>
      </c>
      <c r="K64" s="684">
        <v>1</v>
      </c>
      <c r="L64" s="1156">
        <f>CAPEX_202510[[#This Row],[Đơn giá ( chưa bao gồm VAT)]]*CAPEX_202510[[#This Row],[Số lượng]]</f>
        <v>24150000</v>
      </c>
      <c r="M64" s="450"/>
      <c r="N64" s="1028">
        <v>46023</v>
      </c>
      <c r="O64" s="1163">
        <v>36</v>
      </c>
      <c r="P64" s="1040" t="str">
        <f>CAPEX_202510[[#This Row],[Loại tài sản]]</f>
        <v>Máy móc, thiết bị</v>
      </c>
      <c r="Q64" s="1041" t="s">
        <v>2019</v>
      </c>
      <c r="R64" s="448"/>
      <c r="S64" s="448"/>
      <c r="T64" s="1040"/>
      <c r="U64" s="448"/>
      <c r="V64" s="448"/>
      <c r="W64" s="448"/>
      <c r="X64" s="1030" t="s">
        <v>2110</v>
      </c>
      <c r="Y64" s="687" t="str">
        <f>LEFT(CAPEX_202510[[#This Row],[Mã tài khoản (Mã Chi phí_L4)]],3)</f>
        <v>627</v>
      </c>
      <c r="Z64" s="1162">
        <v>6273006501</v>
      </c>
      <c r="AA64" s="1040" t="s">
        <v>469</v>
      </c>
      <c r="AB64" s="1040" t="s">
        <v>579</v>
      </c>
      <c r="AC64" s="1159">
        <v>24150000</v>
      </c>
      <c r="AD64" s="1158">
        <f>CAPEX_202510[[#This Row],[Giá trị nguyên giá]]-CAPEX_202510[[#This Row],[Giá trị còn lại]]</f>
        <v>0</v>
      </c>
      <c r="AE64" s="1159">
        <v>24150000</v>
      </c>
      <c r="AF64" s="1159">
        <v>670833.33333333337</v>
      </c>
      <c r="AG64" s="1159">
        <v>670833.33333333337</v>
      </c>
      <c r="AH64" s="1159">
        <v>670833.33333333337</v>
      </c>
      <c r="AI64" s="1159">
        <v>670833.33333333337</v>
      </c>
      <c r="AJ64" s="1159">
        <v>670833.33333333337</v>
      </c>
      <c r="AK64" s="1159">
        <v>670833.33333333337</v>
      </c>
      <c r="AL64" s="1159">
        <v>670833.33333333337</v>
      </c>
      <c r="AM64" s="1159">
        <v>670833.33333333337</v>
      </c>
      <c r="AN64" s="1159">
        <v>670833.33333333337</v>
      </c>
      <c r="AO64" s="1159">
        <v>670833.33333333337</v>
      </c>
      <c r="AP64" s="1159">
        <v>670833.33333333337</v>
      </c>
      <c r="AQ64" s="1159">
        <v>670833.33333333337</v>
      </c>
      <c r="AR64" s="412">
        <f t="shared" si="1"/>
        <v>8049999.9999999991</v>
      </c>
      <c r="AS64" s="412">
        <f t="shared" si="2"/>
        <v>16100000</v>
      </c>
    </row>
    <row r="65" spans="1:45" ht="30" customHeight="1" outlineLevel="1" x14ac:dyDescent="0.25">
      <c r="A65" s="450" t="s">
        <v>1667</v>
      </c>
      <c r="B65" s="450" t="s">
        <v>518</v>
      </c>
      <c r="C65" s="450" t="s">
        <v>518</v>
      </c>
      <c r="D65" s="450" t="s">
        <v>1697</v>
      </c>
      <c r="E65" s="684" t="s">
        <v>1685</v>
      </c>
      <c r="F65" s="450"/>
      <c r="G65" s="450"/>
      <c r="H65" s="684" t="s">
        <v>1694</v>
      </c>
      <c r="I65" s="1039" t="s">
        <v>1962</v>
      </c>
      <c r="J65" s="1156">
        <v>8000000</v>
      </c>
      <c r="K65" s="684">
        <v>2</v>
      </c>
      <c r="L65" s="1156">
        <f>CAPEX_202510[[#This Row],[Đơn giá ( chưa bao gồm VAT)]]*CAPEX_202510[[#This Row],[Số lượng]]</f>
        <v>16000000</v>
      </c>
      <c r="M65" s="450"/>
      <c r="N65" s="1028">
        <v>46023</v>
      </c>
      <c r="O65" s="1163">
        <v>36</v>
      </c>
      <c r="P65" s="1040" t="str">
        <f>CAPEX_202510[[#This Row],[Loại tài sản]]</f>
        <v>Máy móc, thiết bị</v>
      </c>
      <c r="Q65" s="1041" t="s">
        <v>2019</v>
      </c>
      <c r="R65" s="448"/>
      <c r="S65" s="448"/>
      <c r="T65" s="1040"/>
      <c r="U65" s="448"/>
      <c r="V65" s="448"/>
      <c r="W65" s="448"/>
      <c r="X65" s="1030" t="s">
        <v>2111</v>
      </c>
      <c r="Y65" s="687" t="str">
        <f>LEFT(CAPEX_202510[[#This Row],[Mã tài khoản (Mã Chi phí_L4)]],3)</f>
        <v>627</v>
      </c>
      <c r="Z65" s="1162">
        <v>6273006501</v>
      </c>
      <c r="AA65" s="1040" t="s">
        <v>469</v>
      </c>
      <c r="AB65" s="1040" t="s">
        <v>579</v>
      </c>
      <c r="AC65" s="1159">
        <v>16000000</v>
      </c>
      <c r="AD65" s="1158">
        <f>CAPEX_202510[[#This Row],[Giá trị nguyên giá]]-CAPEX_202510[[#This Row],[Giá trị còn lại]]</f>
        <v>0</v>
      </c>
      <c r="AE65" s="1159">
        <v>16000000</v>
      </c>
      <c r="AF65" s="1159">
        <v>444444.44444444444</v>
      </c>
      <c r="AG65" s="1159">
        <v>444444.44444444444</v>
      </c>
      <c r="AH65" s="1159">
        <v>444444.44444444444</v>
      </c>
      <c r="AI65" s="1159">
        <v>444444.44444444444</v>
      </c>
      <c r="AJ65" s="1159">
        <v>444444.44444444444</v>
      </c>
      <c r="AK65" s="1159">
        <v>444444.44444444444</v>
      </c>
      <c r="AL65" s="1159">
        <v>444444.44444444444</v>
      </c>
      <c r="AM65" s="1159">
        <v>444444.44444444444</v>
      </c>
      <c r="AN65" s="1159">
        <v>444444.44444444444</v>
      </c>
      <c r="AO65" s="1159">
        <v>444444.44444444444</v>
      </c>
      <c r="AP65" s="1159">
        <v>444444.44444444444</v>
      </c>
      <c r="AQ65" s="1159">
        <v>444444.44444444444</v>
      </c>
      <c r="AR65" s="412">
        <f t="shared" si="1"/>
        <v>5333333.3333333321</v>
      </c>
      <c r="AS65" s="412">
        <f t="shared" si="2"/>
        <v>10666666.666666668</v>
      </c>
    </row>
    <row r="66" spans="1:45" ht="30" customHeight="1" outlineLevel="1" x14ac:dyDescent="0.25">
      <c r="A66" s="450" t="s">
        <v>1668</v>
      </c>
      <c r="B66" s="450" t="s">
        <v>518</v>
      </c>
      <c r="C66" s="450" t="s">
        <v>518</v>
      </c>
      <c r="D66" s="450" t="s">
        <v>1697</v>
      </c>
      <c r="E66" s="684" t="s">
        <v>1685</v>
      </c>
      <c r="F66" s="450"/>
      <c r="G66" s="450"/>
      <c r="H66" s="684" t="s">
        <v>1694</v>
      </c>
      <c r="I66" s="1039" t="s">
        <v>1962</v>
      </c>
      <c r="J66" s="1156">
        <v>23000000</v>
      </c>
      <c r="K66" s="684">
        <v>1</v>
      </c>
      <c r="L66" s="1156">
        <f>CAPEX_202510[[#This Row],[Đơn giá ( chưa bao gồm VAT)]]*CAPEX_202510[[#This Row],[Số lượng]]</f>
        <v>23000000</v>
      </c>
      <c r="M66" s="450"/>
      <c r="N66" s="1028">
        <v>46023</v>
      </c>
      <c r="O66" s="1163">
        <v>36</v>
      </c>
      <c r="P66" s="1040" t="str">
        <f>CAPEX_202510[[#This Row],[Loại tài sản]]</f>
        <v>Máy móc, thiết bị</v>
      </c>
      <c r="Q66" s="1041" t="s">
        <v>2019</v>
      </c>
      <c r="R66" s="448"/>
      <c r="S66" s="448"/>
      <c r="T66" s="1040"/>
      <c r="U66" s="448"/>
      <c r="V66" s="448"/>
      <c r="W66" s="448"/>
      <c r="X66" s="1030" t="s">
        <v>2112</v>
      </c>
      <c r="Y66" s="687" t="str">
        <f>LEFT(CAPEX_202510[[#This Row],[Mã tài khoản (Mã Chi phí_L4)]],3)</f>
        <v>627</v>
      </c>
      <c r="Z66" s="1162">
        <v>6273006501</v>
      </c>
      <c r="AA66" s="1040" t="s">
        <v>469</v>
      </c>
      <c r="AB66" s="1040" t="s">
        <v>579</v>
      </c>
      <c r="AC66" s="1159">
        <v>23000000</v>
      </c>
      <c r="AD66" s="1158">
        <f>CAPEX_202510[[#This Row],[Giá trị nguyên giá]]-CAPEX_202510[[#This Row],[Giá trị còn lại]]</f>
        <v>0</v>
      </c>
      <c r="AE66" s="1159">
        <v>23000000</v>
      </c>
      <c r="AF66" s="1159">
        <v>638888.88888888888</v>
      </c>
      <c r="AG66" s="1159">
        <v>638888.88888888888</v>
      </c>
      <c r="AH66" s="1159">
        <v>638888.88888888888</v>
      </c>
      <c r="AI66" s="1159">
        <v>638888.88888888888</v>
      </c>
      <c r="AJ66" s="1159">
        <v>638888.88888888888</v>
      </c>
      <c r="AK66" s="1159">
        <v>638888.88888888888</v>
      </c>
      <c r="AL66" s="1159">
        <v>638888.88888888888</v>
      </c>
      <c r="AM66" s="1159">
        <v>638888.88888888888</v>
      </c>
      <c r="AN66" s="1159">
        <v>638888.88888888888</v>
      </c>
      <c r="AO66" s="1159">
        <v>638888.88888888888</v>
      </c>
      <c r="AP66" s="1159">
        <v>638888.88888888888</v>
      </c>
      <c r="AQ66" s="1159">
        <v>638888.88888888888</v>
      </c>
      <c r="AR66" s="412">
        <f t="shared" si="1"/>
        <v>7666666.666666667</v>
      </c>
      <c r="AS66" s="412">
        <f t="shared" si="2"/>
        <v>15333333.333333332</v>
      </c>
    </row>
    <row r="67" spans="1:45" ht="30" customHeight="1" outlineLevel="1" x14ac:dyDescent="0.25">
      <c r="A67" s="450" t="s">
        <v>1669</v>
      </c>
      <c r="B67" s="450" t="s">
        <v>518</v>
      </c>
      <c r="C67" s="450" t="s">
        <v>518</v>
      </c>
      <c r="D67" s="450" t="s">
        <v>1697</v>
      </c>
      <c r="E67" s="684" t="s">
        <v>1685</v>
      </c>
      <c r="F67" s="450"/>
      <c r="G67" s="450"/>
      <c r="H67" s="684" t="s">
        <v>1694</v>
      </c>
      <c r="I67" s="1039" t="s">
        <v>1962</v>
      </c>
      <c r="J67" s="1156">
        <v>25000000</v>
      </c>
      <c r="K67" s="684">
        <v>1</v>
      </c>
      <c r="L67" s="1156">
        <f>CAPEX_202510[[#This Row],[Đơn giá ( chưa bao gồm VAT)]]*CAPEX_202510[[#This Row],[Số lượng]]</f>
        <v>25000000</v>
      </c>
      <c r="M67" s="450"/>
      <c r="N67" s="1028">
        <v>46023</v>
      </c>
      <c r="O67" s="1163">
        <v>36</v>
      </c>
      <c r="P67" s="1040" t="str">
        <f>CAPEX_202510[[#This Row],[Loại tài sản]]</f>
        <v>Máy móc, thiết bị</v>
      </c>
      <c r="Q67" s="1041" t="s">
        <v>2019</v>
      </c>
      <c r="R67" s="448"/>
      <c r="S67" s="448"/>
      <c r="T67" s="1040"/>
      <c r="U67" s="448"/>
      <c r="V67" s="448"/>
      <c r="W67" s="448"/>
      <c r="X67" s="1030" t="s">
        <v>2113</v>
      </c>
      <c r="Y67" s="687" t="str">
        <f>LEFT(CAPEX_202510[[#This Row],[Mã tài khoản (Mã Chi phí_L4)]],3)</f>
        <v>627</v>
      </c>
      <c r="Z67" s="1162">
        <v>6273006501</v>
      </c>
      <c r="AA67" s="1040" t="s">
        <v>469</v>
      </c>
      <c r="AB67" s="1040" t="s">
        <v>579</v>
      </c>
      <c r="AC67" s="1159">
        <v>25000000</v>
      </c>
      <c r="AD67" s="1158">
        <f>CAPEX_202510[[#This Row],[Giá trị nguyên giá]]-CAPEX_202510[[#This Row],[Giá trị còn lại]]</f>
        <v>0</v>
      </c>
      <c r="AE67" s="1159">
        <v>25000000</v>
      </c>
      <c r="AF67" s="1159">
        <v>694444.4444444445</v>
      </c>
      <c r="AG67" s="1159">
        <v>694444.4444444445</v>
      </c>
      <c r="AH67" s="1159">
        <v>694444.4444444445</v>
      </c>
      <c r="AI67" s="1159">
        <v>694444.4444444445</v>
      </c>
      <c r="AJ67" s="1159">
        <v>694444.4444444445</v>
      </c>
      <c r="AK67" s="1159">
        <v>694444.4444444445</v>
      </c>
      <c r="AL67" s="1159">
        <v>694444.4444444445</v>
      </c>
      <c r="AM67" s="1159">
        <v>694444.4444444445</v>
      </c>
      <c r="AN67" s="1159">
        <v>694444.4444444445</v>
      </c>
      <c r="AO67" s="1159">
        <v>694444.4444444445</v>
      </c>
      <c r="AP67" s="1159">
        <v>694444.4444444445</v>
      </c>
      <c r="AQ67" s="1159">
        <v>694444.4444444445</v>
      </c>
      <c r="AR67" s="412">
        <f t="shared" ref="AR67:AR78" si="5">SUM(AF67:AQ67)</f>
        <v>8333333.3333333321</v>
      </c>
      <c r="AS67" s="412">
        <f t="shared" si="2"/>
        <v>16666666.666666668</v>
      </c>
    </row>
    <row r="68" spans="1:45" ht="30" customHeight="1" outlineLevel="1" x14ac:dyDescent="0.25">
      <c r="A68" s="450" t="s">
        <v>1670</v>
      </c>
      <c r="B68" s="450" t="s">
        <v>518</v>
      </c>
      <c r="C68" s="450" t="s">
        <v>518</v>
      </c>
      <c r="D68" s="450" t="s">
        <v>1697</v>
      </c>
      <c r="E68" s="684" t="s">
        <v>1685</v>
      </c>
      <c r="F68" s="450"/>
      <c r="G68" s="450"/>
      <c r="H68" s="684" t="s">
        <v>1694</v>
      </c>
      <c r="I68" s="1039" t="s">
        <v>1962</v>
      </c>
      <c r="J68" s="1156">
        <v>23100000</v>
      </c>
      <c r="K68" s="684">
        <v>1</v>
      </c>
      <c r="L68" s="1156">
        <f>CAPEX_202510[[#This Row],[Đơn giá ( chưa bao gồm VAT)]]*CAPEX_202510[[#This Row],[Số lượng]]</f>
        <v>23100000</v>
      </c>
      <c r="M68" s="450"/>
      <c r="N68" s="1028">
        <v>46023</v>
      </c>
      <c r="O68" s="1163">
        <v>36</v>
      </c>
      <c r="P68" s="1040" t="str">
        <f>CAPEX_202510[[#This Row],[Loại tài sản]]</f>
        <v>Máy móc, thiết bị</v>
      </c>
      <c r="Q68" s="1041" t="s">
        <v>2019</v>
      </c>
      <c r="R68" s="448"/>
      <c r="S68" s="448"/>
      <c r="T68" s="1040"/>
      <c r="U68" s="448"/>
      <c r="V68" s="448"/>
      <c r="W68" s="448"/>
      <c r="X68" s="1030" t="s">
        <v>2114</v>
      </c>
      <c r="Y68" s="687" t="str">
        <f>LEFT(CAPEX_202510[[#This Row],[Mã tài khoản (Mã Chi phí_L4)]],3)</f>
        <v>627</v>
      </c>
      <c r="Z68" s="1162">
        <v>6273006501</v>
      </c>
      <c r="AA68" s="1040" t="s">
        <v>469</v>
      </c>
      <c r="AB68" s="1040" t="s">
        <v>579</v>
      </c>
      <c r="AC68" s="1159">
        <v>23100000</v>
      </c>
      <c r="AD68" s="1158">
        <f>CAPEX_202510[[#This Row],[Giá trị nguyên giá]]-CAPEX_202510[[#This Row],[Giá trị còn lại]]</f>
        <v>0</v>
      </c>
      <c r="AE68" s="1159">
        <v>23100000</v>
      </c>
      <c r="AF68" s="1159">
        <v>641666.66666666663</v>
      </c>
      <c r="AG68" s="1159">
        <v>641666.66666666663</v>
      </c>
      <c r="AH68" s="1159">
        <v>641666.66666666663</v>
      </c>
      <c r="AI68" s="1159">
        <v>641666.66666666663</v>
      </c>
      <c r="AJ68" s="1159">
        <v>641666.66666666663</v>
      </c>
      <c r="AK68" s="1159">
        <v>641666.66666666663</v>
      </c>
      <c r="AL68" s="1159">
        <v>641666.66666666663</v>
      </c>
      <c r="AM68" s="1159">
        <v>641666.66666666663</v>
      </c>
      <c r="AN68" s="1159">
        <v>641666.66666666663</v>
      </c>
      <c r="AO68" s="1159">
        <v>641666.66666666663</v>
      </c>
      <c r="AP68" s="1159">
        <v>641666.66666666663</v>
      </c>
      <c r="AQ68" s="1159">
        <v>641666.66666666663</v>
      </c>
      <c r="AR68" s="412">
        <f t="shared" si="5"/>
        <v>7700000.0000000009</v>
      </c>
      <c r="AS68" s="412">
        <f t="shared" si="2"/>
        <v>15400000</v>
      </c>
    </row>
    <row r="69" spans="1:45" ht="30" customHeight="1" outlineLevel="1" x14ac:dyDescent="0.25">
      <c r="A69" s="450" t="s">
        <v>1671</v>
      </c>
      <c r="B69" s="450" t="s">
        <v>518</v>
      </c>
      <c r="C69" s="450" t="s">
        <v>518</v>
      </c>
      <c r="D69" s="450" t="s">
        <v>1697</v>
      </c>
      <c r="E69" s="684" t="s">
        <v>1685</v>
      </c>
      <c r="F69" s="450"/>
      <c r="G69" s="450"/>
      <c r="H69" s="684" t="s">
        <v>1694</v>
      </c>
      <c r="I69" s="1039" t="s">
        <v>1962</v>
      </c>
      <c r="J69" s="1156">
        <v>160000000</v>
      </c>
      <c r="K69" s="684">
        <v>2</v>
      </c>
      <c r="L69" s="1156">
        <f>CAPEX_202510[[#This Row],[Đơn giá ( chưa bao gồm VAT)]]*CAPEX_202510[[#This Row],[Số lượng]]</f>
        <v>320000000</v>
      </c>
      <c r="M69" s="450"/>
      <c r="N69" s="1028">
        <v>46023</v>
      </c>
      <c r="O69" s="1163">
        <v>12</v>
      </c>
      <c r="P69" s="1040" t="str">
        <f>CAPEX_202510[[#This Row],[Loại tài sản]]</f>
        <v>Máy móc, thiết bị</v>
      </c>
      <c r="Q69" s="1041" t="s">
        <v>2019</v>
      </c>
      <c r="R69" s="448"/>
      <c r="S69" s="448"/>
      <c r="T69" s="1040"/>
      <c r="U69" s="448"/>
      <c r="V69" s="448"/>
      <c r="W69" s="448"/>
      <c r="X69" s="1030" t="s">
        <v>2115</v>
      </c>
      <c r="Y69" s="687" t="str">
        <f>LEFT(CAPEX_202510[[#This Row],[Mã tài khoản (Mã Chi phí_L4)]],3)</f>
        <v>627</v>
      </c>
      <c r="Z69" s="1162">
        <v>6272000100</v>
      </c>
      <c r="AA69" s="1040" t="s">
        <v>429</v>
      </c>
      <c r="AB69" s="1040" t="s">
        <v>572</v>
      </c>
      <c r="AC69" s="1159">
        <v>320000000</v>
      </c>
      <c r="AD69" s="1158">
        <f>CAPEX_202510[[#This Row],[Giá trị nguyên giá]]-CAPEX_202510[[#This Row],[Giá trị còn lại]]</f>
        <v>0</v>
      </c>
      <c r="AE69" s="1159">
        <v>320000000</v>
      </c>
      <c r="AF69" s="1159">
        <v>26666666.666666668</v>
      </c>
      <c r="AG69" s="1159">
        <v>26666666.666666668</v>
      </c>
      <c r="AH69" s="1159">
        <v>26666666.666666668</v>
      </c>
      <c r="AI69" s="1159">
        <v>26666666.666666668</v>
      </c>
      <c r="AJ69" s="1159">
        <v>26666666.666666668</v>
      </c>
      <c r="AK69" s="1159">
        <v>26666666.666666668</v>
      </c>
      <c r="AL69" s="1159">
        <v>26666666.666666668</v>
      </c>
      <c r="AM69" s="1159">
        <v>26666666.666666668</v>
      </c>
      <c r="AN69" s="1159">
        <v>26666666.666666668</v>
      </c>
      <c r="AO69" s="1159">
        <v>26666666.666666668</v>
      </c>
      <c r="AP69" s="1159">
        <v>26666666.666666668</v>
      </c>
      <c r="AQ69" s="1159">
        <v>26666666.666666668</v>
      </c>
      <c r="AR69" s="412">
        <f t="shared" si="5"/>
        <v>320000000</v>
      </c>
      <c r="AS69" s="412">
        <f t="shared" si="2"/>
        <v>0</v>
      </c>
    </row>
    <row r="70" spans="1:45" ht="30" customHeight="1" outlineLevel="1" x14ac:dyDescent="0.25">
      <c r="A70" s="450" t="s">
        <v>1672</v>
      </c>
      <c r="B70" s="450" t="s">
        <v>518</v>
      </c>
      <c r="C70" s="450" t="s">
        <v>518</v>
      </c>
      <c r="D70" s="450" t="s">
        <v>1697</v>
      </c>
      <c r="E70" s="684" t="s">
        <v>1685</v>
      </c>
      <c r="F70" s="450"/>
      <c r="G70" s="450"/>
      <c r="H70" s="684" t="s">
        <v>1694</v>
      </c>
      <c r="I70" s="1039" t="s">
        <v>1962</v>
      </c>
      <c r="J70" s="1156">
        <v>160000000</v>
      </c>
      <c r="K70" s="684">
        <v>2</v>
      </c>
      <c r="L70" s="1156">
        <f>CAPEX_202510[[#This Row],[Đơn giá ( chưa bao gồm VAT)]]*CAPEX_202510[[#This Row],[Số lượng]]</f>
        <v>320000000</v>
      </c>
      <c r="M70" s="450"/>
      <c r="N70" s="1028">
        <v>46054</v>
      </c>
      <c r="O70" s="1163">
        <v>12</v>
      </c>
      <c r="P70" s="1040" t="str">
        <f>CAPEX_202510[[#This Row],[Loại tài sản]]</f>
        <v>Máy móc, thiết bị</v>
      </c>
      <c r="Q70" s="1041" t="s">
        <v>2019</v>
      </c>
      <c r="R70" s="448"/>
      <c r="S70" s="448"/>
      <c r="T70" s="1040"/>
      <c r="U70" s="448"/>
      <c r="V70" s="448"/>
      <c r="W70" s="448"/>
      <c r="X70" s="1030" t="s">
        <v>2116</v>
      </c>
      <c r="Y70" s="687" t="str">
        <f>LEFT(CAPEX_202510[[#This Row],[Mã tài khoản (Mã Chi phí_L4)]],3)</f>
        <v>627</v>
      </c>
      <c r="Z70" s="1162">
        <v>6272000100</v>
      </c>
      <c r="AA70" s="1040" t="s">
        <v>429</v>
      </c>
      <c r="AB70" s="1040" t="s">
        <v>572</v>
      </c>
      <c r="AC70" s="1159">
        <v>320000000</v>
      </c>
      <c r="AD70" s="1158">
        <f>CAPEX_202510[[#This Row],[Giá trị nguyên giá]]-CAPEX_202510[[#This Row],[Giá trị còn lại]]</f>
        <v>0</v>
      </c>
      <c r="AE70" s="1159">
        <v>320000000</v>
      </c>
      <c r="AF70" s="1159">
        <v>26666666.666666668</v>
      </c>
      <c r="AG70" s="1159">
        <v>26666666.666666668</v>
      </c>
      <c r="AH70" s="1159">
        <v>26666666.666666668</v>
      </c>
      <c r="AI70" s="1159">
        <v>26666666.666666668</v>
      </c>
      <c r="AJ70" s="1159">
        <v>26666666.666666668</v>
      </c>
      <c r="AK70" s="1159">
        <v>26666666.666666668</v>
      </c>
      <c r="AL70" s="1159">
        <v>26666666.666666668</v>
      </c>
      <c r="AM70" s="1159">
        <v>26666666.666666668</v>
      </c>
      <c r="AN70" s="1159">
        <v>26666666.666666668</v>
      </c>
      <c r="AO70" s="1159">
        <v>26666666.666666668</v>
      </c>
      <c r="AP70" s="1159">
        <v>26666666.666666668</v>
      </c>
      <c r="AQ70" s="1159">
        <v>26666666.666666668</v>
      </c>
      <c r="AR70" s="412">
        <f t="shared" si="5"/>
        <v>320000000</v>
      </c>
      <c r="AS70" s="412">
        <f t="shared" si="2"/>
        <v>0</v>
      </c>
    </row>
    <row r="71" spans="1:45" ht="30" customHeight="1" outlineLevel="1" x14ac:dyDescent="0.25">
      <c r="A71" s="450" t="s">
        <v>1673</v>
      </c>
      <c r="B71" s="450" t="s">
        <v>518</v>
      </c>
      <c r="C71" s="450" t="s">
        <v>518</v>
      </c>
      <c r="D71" s="450" t="s">
        <v>1697</v>
      </c>
      <c r="E71" s="684" t="s">
        <v>1685</v>
      </c>
      <c r="F71" s="450"/>
      <c r="G71" s="450"/>
      <c r="H71" s="684" t="s">
        <v>1694</v>
      </c>
      <c r="I71" s="1039" t="s">
        <v>1962</v>
      </c>
      <c r="J71" s="1156">
        <v>160000000</v>
      </c>
      <c r="K71" s="684">
        <v>2</v>
      </c>
      <c r="L71" s="1156">
        <f>CAPEX_202510[[#This Row],[Đơn giá ( chưa bao gồm VAT)]]*CAPEX_202510[[#This Row],[Số lượng]]</f>
        <v>320000000</v>
      </c>
      <c r="M71" s="450"/>
      <c r="N71" s="1028">
        <v>46082</v>
      </c>
      <c r="O71" s="1163">
        <v>12</v>
      </c>
      <c r="P71" s="1040" t="str">
        <f>CAPEX_202510[[#This Row],[Loại tài sản]]</f>
        <v>Máy móc, thiết bị</v>
      </c>
      <c r="Q71" s="1041" t="s">
        <v>2019</v>
      </c>
      <c r="R71" s="448"/>
      <c r="S71" s="448"/>
      <c r="T71" s="1040"/>
      <c r="U71" s="448"/>
      <c r="V71" s="448"/>
      <c r="W71" s="448"/>
      <c r="X71" s="1030" t="s">
        <v>2117</v>
      </c>
      <c r="Y71" s="687" t="str">
        <f>LEFT(CAPEX_202510[[#This Row],[Mã tài khoản (Mã Chi phí_L4)]],3)</f>
        <v>627</v>
      </c>
      <c r="Z71" s="1162">
        <v>6272000100</v>
      </c>
      <c r="AA71" s="1040" t="s">
        <v>429</v>
      </c>
      <c r="AB71" s="1040" t="s">
        <v>572</v>
      </c>
      <c r="AC71" s="1159">
        <v>320000000</v>
      </c>
      <c r="AD71" s="1158">
        <f>CAPEX_202510[[#This Row],[Giá trị nguyên giá]]-CAPEX_202510[[#This Row],[Giá trị còn lại]]</f>
        <v>0</v>
      </c>
      <c r="AE71" s="1159">
        <v>320000000</v>
      </c>
      <c r="AF71" s="1159">
        <v>26666666.666666668</v>
      </c>
      <c r="AG71" s="1159">
        <v>26666666.666666668</v>
      </c>
      <c r="AH71" s="1159">
        <v>26666666.666666668</v>
      </c>
      <c r="AI71" s="1159">
        <v>26666666.666666668</v>
      </c>
      <c r="AJ71" s="1159">
        <v>26666666.666666668</v>
      </c>
      <c r="AK71" s="1159">
        <v>26666666.666666668</v>
      </c>
      <c r="AL71" s="1159">
        <v>26666666.666666668</v>
      </c>
      <c r="AM71" s="1159">
        <v>26666666.666666668</v>
      </c>
      <c r="AN71" s="1159">
        <v>26666666.666666668</v>
      </c>
      <c r="AO71" s="1159">
        <v>26666666.666666668</v>
      </c>
      <c r="AP71" s="1159">
        <v>26666666.666666668</v>
      </c>
      <c r="AQ71" s="1159">
        <v>26666666.666666668</v>
      </c>
      <c r="AR71" s="412">
        <f t="shared" si="5"/>
        <v>320000000</v>
      </c>
      <c r="AS71" s="412">
        <f t="shared" si="2"/>
        <v>0</v>
      </c>
    </row>
    <row r="72" spans="1:45" ht="30" customHeight="1" outlineLevel="1" x14ac:dyDescent="0.25">
      <c r="A72" s="450" t="s">
        <v>1674</v>
      </c>
      <c r="B72" s="450" t="s">
        <v>518</v>
      </c>
      <c r="C72" s="450" t="s">
        <v>518</v>
      </c>
      <c r="D72" s="450" t="s">
        <v>1697</v>
      </c>
      <c r="E72" s="684" t="s">
        <v>1685</v>
      </c>
      <c r="F72" s="450"/>
      <c r="G72" s="450"/>
      <c r="H72" s="684" t="s">
        <v>1694</v>
      </c>
      <c r="I72" s="1039" t="s">
        <v>1962</v>
      </c>
      <c r="J72" s="1156">
        <v>20000000</v>
      </c>
      <c r="K72" s="684">
        <v>1</v>
      </c>
      <c r="L72" s="1156">
        <f>CAPEX_202510[[#This Row],[Đơn giá ( chưa bao gồm VAT)]]*CAPEX_202510[[#This Row],[Số lượng]]</f>
        <v>20000000</v>
      </c>
      <c r="M72" s="450"/>
      <c r="N72" s="1028">
        <v>46023</v>
      </c>
      <c r="O72" s="1163">
        <v>12</v>
      </c>
      <c r="P72" s="1040" t="str">
        <f>CAPEX_202510[[#This Row],[Loại tài sản]]</f>
        <v>Máy móc, thiết bị</v>
      </c>
      <c r="Q72" s="1041" t="s">
        <v>2019</v>
      </c>
      <c r="R72" s="448"/>
      <c r="S72" s="448"/>
      <c r="T72" s="1040"/>
      <c r="U72" s="448"/>
      <c r="V72" s="448"/>
      <c r="W72" s="448"/>
      <c r="X72" s="1030" t="s">
        <v>2118</v>
      </c>
      <c r="Y72" s="687" t="str">
        <f>LEFT(CAPEX_202510[[#This Row],[Mã tài khoản (Mã Chi phí_L4)]],3)</f>
        <v>627</v>
      </c>
      <c r="Z72" s="1162">
        <v>6273006501</v>
      </c>
      <c r="AA72" s="1040" t="s">
        <v>469</v>
      </c>
      <c r="AB72" s="1040" t="s">
        <v>579</v>
      </c>
      <c r="AC72" s="407">
        <v>20000000</v>
      </c>
      <c r="AD72" s="1160">
        <f>CAPEX_202510[[#This Row],[Giá trị nguyên giá]]-CAPEX_202510[[#This Row],[Giá trị còn lại]]</f>
        <v>0</v>
      </c>
      <c r="AE72" s="407">
        <v>20000000</v>
      </c>
      <c r="AF72" s="407">
        <v>1666666.6666666667</v>
      </c>
      <c r="AG72" s="407">
        <v>1666666.6666666667</v>
      </c>
      <c r="AH72" s="407">
        <v>1666666.6666666667</v>
      </c>
      <c r="AI72" s="407">
        <v>1666666.6666666667</v>
      </c>
      <c r="AJ72" s="407">
        <v>1666666.6666666667</v>
      </c>
      <c r="AK72" s="407">
        <v>1666666.6666666667</v>
      </c>
      <c r="AL72" s="407">
        <v>1666666.6666666667</v>
      </c>
      <c r="AM72" s="407">
        <v>1666666.6666666667</v>
      </c>
      <c r="AN72" s="407">
        <v>1666666.6666666667</v>
      </c>
      <c r="AO72" s="407">
        <v>1666666.6666666667</v>
      </c>
      <c r="AP72" s="407">
        <v>1666666.6666666667</v>
      </c>
      <c r="AQ72" s="407">
        <v>1666666.6666666667</v>
      </c>
      <c r="AR72" s="1025">
        <f t="shared" si="5"/>
        <v>20000000</v>
      </c>
      <c r="AS72" s="1025">
        <f t="shared" si="2"/>
        <v>0</v>
      </c>
    </row>
    <row r="73" spans="1:45" ht="30" customHeight="1" outlineLevel="1" x14ac:dyDescent="0.25">
      <c r="A73" s="450" t="s">
        <v>2097</v>
      </c>
      <c r="B73" s="450" t="s">
        <v>518</v>
      </c>
      <c r="C73" s="450" t="s">
        <v>518</v>
      </c>
      <c r="D73" s="450" t="s">
        <v>1697</v>
      </c>
      <c r="E73" s="684" t="s">
        <v>1685</v>
      </c>
      <c r="F73" s="450"/>
      <c r="G73" s="450"/>
      <c r="H73" s="684" t="s">
        <v>1694</v>
      </c>
      <c r="I73" s="1039" t="s">
        <v>1962</v>
      </c>
      <c r="J73" s="1156">
        <v>20000000</v>
      </c>
      <c r="K73" s="684">
        <v>1</v>
      </c>
      <c r="L73" s="1156">
        <f>CAPEX_202510[[#This Row],[Đơn giá ( chưa bao gồm VAT)]]*CAPEX_202510[[#This Row],[Số lượng]]</f>
        <v>20000000</v>
      </c>
      <c r="M73" s="450"/>
      <c r="N73" s="1028">
        <v>46054</v>
      </c>
      <c r="O73" s="1163">
        <v>12</v>
      </c>
      <c r="P73" s="1040" t="str">
        <f>CAPEX_202510[[#This Row],[Loại tài sản]]</f>
        <v>Máy móc, thiết bị</v>
      </c>
      <c r="Q73" s="1041" t="s">
        <v>2019</v>
      </c>
      <c r="R73" s="448"/>
      <c r="S73" s="448"/>
      <c r="T73" s="1040"/>
      <c r="U73" s="448"/>
      <c r="V73" s="448"/>
      <c r="W73" s="448"/>
      <c r="X73" s="1030" t="s">
        <v>2119</v>
      </c>
      <c r="Y73" s="687" t="str">
        <f>LEFT(CAPEX_202510[[#This Row],[Mã tài khoản (Mã Chi phí_L4)]],3)</f>
        <v>627</v>
      </c>
      <c r="Z73" s="1162">
        <v>6273006501</v>
      </c>
      <c r="AA73" s="1040" t="s">
        <v>469</v>
      </c>
      <c r="AB73" s="1040" t="s">
        <v>579</v>
      </c>
      <c r="AC73" s="407">
        <v>20000000</v>
      </c>
      <c r="AD73" s="1160">
        <f>CAPEX_202510[[#This Row],[Giá trị nguyên giá]]-CAPEX_202510[[#This Row],[Giá trị còn lại]]</f>
        <v>0</v>
      </c>
      <c r="AE73" s="407">
        <v>20000000</v>
      </c>
      <c r="AF73" s="407">
        <v>1666666.6666666667</v>
      </c>
      <c r="AG73" s="407">
        <v>1666666.6666666667</v>
      </c>
      <c r="AH73" s="407">
        <v>1666666.6666666667</v>
      </c>
      <c r="AI73" s="407">
        <v>1666666.6666666667</v>
      </c>
      <c r="AJ73" s="407">
        <v>1666666.6666666667</v>
      </c>
      <c r="AK73" s="407">
        <v>1666666.6666666667</v>
      </c>
      <c r="AL73" s="407">
        <v>1666666.6666666667</v>
      </c>
      <c r="AM73" s="407">
        <v>1666666.6666666667</v>
      </c>
      <c r="AN73" s="407">
        <v>1666666.6666666667</v>
      </c>
      <c r="AO73" s="407">
        <v>1666666.6666666667</v>
      </c>
      <c r="AP73" s="407">
        <v>1666666.6666666667</v>
      </c>
      <c r="AQ73" s="407">
        <v>1666666.6666666667</v>
      </c>
      <c r="AR73" s="1025">
        <f t="shared" si="5"/>
        <v>20000000</v>
      </c>
      <c r="AS73" s="1025">
        <f t="shared" si="2"/>
        <v>0</v>
      </c>
    </row>
    <row r="74" spans="1:45" ht="30" customHeight="1" outlineLevel="1" x14ac:dyDescent="0.25">
      <c r="A74" s="450" t="s">
        <v>2098</v>
      </c>
      <c r="B74" s="450" t="s">
        <v>518</v>
      </c>
      <c r="C74" s="450" t="s">
        <v>518</v>
      </c>
      <c r="D74" s="450" t="s">
        <v>1697</v>
      </c>
      <c r="E74" s="684" t="s">
        <v>1685</v>
      </c>
      <c r="F74" s="450"/>
      <c r="G74" s="450"/>
      <c r="H74" s="684" t="s">
        <v>1694</v>
      </c>
      <c r="I74" s="1039" t="s">
        <v>1962</v>
      </c>
      <c r="J74" s="1156">
        <v>20000000</v>
      </c>
      <c r="K74" s="684">
        <v>1</v>
      </c>
      <c r="L74" s="1156">
        <f>CAPEX_202510[[#This Row],[Đơn giá ( chưa bao gồm VAT)]]*CAPEX_202510[[#This Row],[Số lượng]]</f>
        <v>20000000</v>
      </c>
      <c r="M74" s="450"/>
      <c r="N74" s="1028">
        <v>46023</v>
      </c>
      <c r="O74" s="1163">
        <v>24</v>
      </c>
      <c r="P74" s="1040" t="str">
        <f>CAPEX_202510[[#This Row],[Loại tài sản]]</f>
        <v>Máy móc, thiết bị</v>
      </c>
      <c r="Q74" s="1041" t="s">
        <v>2019</v>
      </c>
      <c r="R74" s="448"/>
      <c r="S74" s="448"/>
      <c r="T74" s="1040"/>
      <c r="U74" s="448"/>
      <c r="V74" s="448"/>
      <c r="W74" s="448"/>
      <c r="X74" s="1030" t="s">
        <v>2120</v>
      </c>
      <c r="Y74" s="687" t="str">
        <f>LEFT(CAPEX_202510[[#This Row],[Mã tài khoản (Mã Chi phí_L4)]],3)</f>
        <v>627</v>
      </c>
      <c r="Z74" s="1162">
        <v>6273006501</v>
      </c>
      <c r="AA74" s="1040" t="s">
        <v>469</v>
      </c>
      <c r="AB74" s="1040" t="s">
        <v>579</v>
      </c>
      <c r="AC74" s="407">
        <v>20000000</v>
      </c>
      <c r="AD74" s="1160">
        <f>CAPEX_202510[[#This Row],[Giá trị nguyên giá]]-CAPEX_202510[[#This Row],[Giá trị còn lại]]</f>
        <v>0</v>
      </c>
      <c r="AE74" s="407">
        <v>20000000</v>
      </c>
      <c r="AF74" s="407">
        <v>833333.33333333337</v>
      </c>
      <c r="AG74" s="407">
        <v>833333.33333333337</v>
      </c>
      <c r="AH74" s="407">
        <v>833333.33333333337</v>
      </c>
      <c r="AI74" s="407">
        <v>833333.33333333337</v>
      </c>
      <c r="AJ74" s="407">
        <v>833333.33333333337</v>
      </c>
      <c r="AK74" s="407">
        <v>833333.33333333337</v>
      </c>
      <c r="AL74" s="407">
        <v>833333.33333333337</v>
      </c>
      <c r="AM74" s="407">
        <v>833333.33333333337</v>
      </c>
      <c r="AN74" s="407">
        <v>833333.33333333337</v>
      </c>
      <c r="AO74" s="407">
        <v>833333.33333333337</v>
      </c>
      <c r="AP74" s="407">
        <v>833333.33333333337</v>
      </c>
      <c r="AQ74" s="407">
        <v>833333.33333333337</v>
      </c>
      <c r="AR74" s="1025">
        <f t="shared" si="5"/>
        <v>10000000</v>
      </c>
      <c r="AS74" s="1025">
        <f t="shared" ref="AS74:AS80" si="6">AE74-AR74</f>
        <v>10000000</v>
      </c>
    </row>
    <row r="75" spans="1:45" ht="39.65" customHeight="1" outlineLevel="1" x14ac:dyDescent="0.25">
      <c r="A75" s="450" t="s">
        <v>2099</v>
      </c>
      <c r="B75" s="450" t="s">
        <v>526</v>
      </c>
      <c r="C75" s="450" t="s">
        <v>526</v>
      </c>
      <c r="D75" s="450" t="s">
        <v>1697</v>
      </c>
      <c r="E75" s="684" t="s">
        <v>1685</v>
      </c>
      <c r="F75" s="450"/>
      <c r="G75" s="450"/>
      <c r="H75" s="684" t="s">
        <v>1694</v>
      </c>
      <c r="I75" s="1039" t="s">
        <v>2126</v>
      </c>
      <c r="J75" s="1156">
        <v>102000000</v>
      </c>
      <c r="K75" s="684">
        <v>1</v>
      </c>
      <c r="L75" s="1156">
        <f>CAPEX_202510[[#This Row],[Đơn giá ( chưa bao gồm VAT)]]*CAPEX_202510[[#This Row],[Số lượng]]</f>
        <v>102000000</v>
      </c>
      <c r="M75" s="450"/>
      <c r="N75" s="1028">
        <v>46023</v>
      </c>
      <c r="O75" s="1163">
        <v>36</v>
      </c>
      <c r="P75" s="1040" t="str">
        <f>CAPEX_202510[[#This Row],[Loại tài sản]]</f>
        <v>Máy móc, thiết bị</v>
      </c>
      <c r="Q75" s="1041" t="s">
        <v>2019</v>
      </c>
      <c r="R75" s="448"/>
      <c r="S75" s="448"/>
      <c r="T75" s="1040"/>
      <c r="U75" s="448"/>
      <c r="V75" s="448"/>
      <c r="W75" s="448"/>
      <c r="X75" s="1030" t="s">
        <v>2121</v>
      </c>
      <c r="Y75" s="687" t="str">
        <f>LEFT(CAPEX_202510[[#This Row],[Mã tài khoản (Mã Chi phí_L4)]],3)</f>
        <v>627</v>
      </c>
      <c r="Z75" s="1162">
        <v>6273001908</v>
      </c>
      <c r="AA75" s="1040" t="s">
        <v>435</v>
      </c>
      <c r="AB75" s="1040" t="s">
        <v>580</v>
      </c>
      <c r="AC75" s="407">
        <v>102000000</v>
      </c>
      <c r="AD75" s="1160">
        <f>CAPEX_202510[[#This Row],[Giá trị nguyên giá]]-CAPEX_202510[[#This Row],[Giá trị còn lại]]</f>
        <v>0</v>
      </c>
      <c r="AE75" s="407">
        <v>102000000</v>
      </c>
      <c r="AF75" s="407">
        <v>2833333.3333333335</v>
      </c>
      <c r="AG75" s="407">
        <v>2833333.3333333335</v>
      </c>
      <c r="AH75" s="407">
        <v>2833333.3333333335</v>
      </c>
      <c r="AI75" s="407">
        <v>2833333.3333333335</v>
      </c>
      <c r="AJ75" s="407">
        <v>2833333.3333333335</v>
      </c>
      <c r="AK75" s="407">
        <v>2833333.3333333335</v>
      </c>
      <c r="AL75" s="407">
        <v>2833333.3333333335</v>
      </c>
      <c r="AM75" s="407">
        <v>2833333.3333333335</v>
      </c>
      <c r="AN75" s="407">
        <v>2833333.3333333335</v>
      </c>
      <c r="AO75" s="407">
        <v>2833333.3333333335</v>
      </c>
      <c r="AP75" s="407">
        <v>2833333.3333333335</v>
      </c>
      <c r="AQ75" s="407">
        <v>2833333.3333333335</v>
      </c>
      <c r="AR75" s="1025">
        <f t="shared" si="5"/>
        <v>33999999.999999993</v>
      </c>
      <c r="AS75" s="1025">
        <f t="shared" si="6"/>
        <v>68000000</v>
      </c>
    </row>
    <row r="76" spans="1:45" ht="30" customHeight="1" outlineLevel="1" x14ac:dyDescent="0.25">
      <c r="A76" s="450" t="s">
        <v>2100</v>
      </c>
      <c r="B76" s="450" t="s">
        <v>518</v>
      </c>
      <c r="C76" s="450" t="s">
        <v>518</v>
      </c>
      <c r="D76" s="450" t="s">
        <v>1697</v>
      </c>
      <c r="E76" s="684" t="s">
        <v>1685</v>
      </c>
      <c r="F76" s="450"/>
      <c r="G76" s="450"/>
      <c r="H76" s="684" t="s">
        <v>1694</v>
      </c>
      <c r="I76" s="1039" t="s">
        <v>2090</v>
      </c>
      <c r="J76" s="1156">
        <v>100000000</v>
      </c>
      <c r="K76" s="684">
        <v>1</v>
      </c>
      <c r="L76" s="1156">
        <f>CAPEX_202510[[#This Row],[Đơn giá ( chưa bao gồm VAT)]]*CAPEX_202510[[#This Row],[Số lượng]]</f>
        <v>100000000</v>
      </c>
      <c r="M76" s="450"/>
      <c r="N76" s="1028">
        <v>46023</v>
      </c>
      <c r="O76" s="1163">
        <v>36</v>
      </c>
      <c r="P76" s="1040" t="str">
        <f>CAPEX_202510[[#This Row],[Loại tài sản]]</f>
        <v>Máy móc, thiết bị</v>
      </c>
      <c r="Q76" s="1041" t="s">
        <v>2019</v>
      </c>
      <c r="R76" s="448"/>
      <c r="S76" s="448"/>
      <c r="T76" s="1040"/>
      <c r="U76" s="448"/>
      <c r="V76" s="448"/>
      <c r="W76" s="448"/>
      <c r="X76" s="1030" t="s">
        <v>2122</v>
      </c>
      <c r="Y76" s="687" t="str">
        <f>LEFT(CAPEX_202510[[#This Row],[Mã tài khoản (Mã Chi phí_L4)]],3)</f>
        <v>627</v>
      </c>
      <c r="Z76" s="1162">
        <v>6273002001</v>
      </c>
      <c r="AA76" s="1040" t="s">
        <v>606</v>
      </c>
      <c r="AB76" s="1040" t="s">
        <v>579</v>
      </c>
      <c r="AC76" s="1159">
        <v>100000000</v>
      </c>
      <c r="AD76" s="1158">
        <f>CAPEX_202510[[#This Row],[Giá trị nguyên giá]]-CAPEX_202510[[#This Row],[Giá trị còn lại]]</f>
        <v>0</v>
      </c>
      <c r="AE76" s="1159">
        <v>100000000</v>
      </c>
      <c r="AF76" s="1159">
        <v>2777777.777777778</v>
      </c>
      <c r="AG76" s="1159">
        <v>2777777.777777778</v>
      </c>
      <c r="AH76" s="1159">
        <v>2777777.777777778</v>
      </c>
      <c r="AI76" s="1159">
        <v>2777777.777777778</v>
      </c>
      <c r="AJ76" s="1159">
        <v>2777777.777777778</v>
      </c>
      <c r="AK76" s="1159">
        <v>2777777.777777778</v>
      </c>
      <c r="AL76" s="1159">
        <v>2777777.777777778</v>
      </c>
      <c r="AM76" s="1159">
        <v>2777777.777777778</v>
      </c>
      <c r="AN76" s="1159">
        <v>2777777.777777778</v>
      </c>
      <c r="AO76" s="1159">
        <v>2777777.777777778</v>
      </c>
      <c r="AP76" s="1159">
        <v>2777777.777777778</v>
      </c>
      <c r="AQ76" s="1159">
        <v>2777777.777777778</v>
      </c>
      <c r="AR76" s="412">
        <f t="shared" si="5"/>
        <v>33333333.333333328</v>
      </c>
      <c r="AS76" s="412">
        <f t="shared" si="6"/>
        <v>66666666.666666672</v>
      </c>
    </row>
    <row r="77" spans="1:45" ht="30" customHeight="1" outlineLevel="1" x14ac:dyDescent="0.25">
      <c r="A77" s="450" t="s">
        <v>2101</v>
      </c>
      <c r="B77" s="450" t="s">
        <v>518</v>
      </c>
      <c r="C77" s="450" t="s">
        <v>518</v>
      </c>
      <c r="D77" s="450" t="s">
        <v>1697</v>
      </c>
      <c r="E77" s="684" t="s">
        <v>1685</v>
      </c>
      <c r="F77" s="450"/>
      <c r="G77" s="450"/>
      <c r="H77" s="684" t="s">
        <v>1694</v>
      </c>
      <c r="I77" s="1039" t="s">
        <v>1962</v>
      </c>
      <c r="J77" s="1156">
        <v>280000000</v>
      </c>
      <c r="K77" s="684">
        <v>1</v>
      </c>
      <c r="L77" s="1156">
        <f>CAPEX_202510[[#This Row],[Đơn giá ( chưa bao gồm VAT)]]*CAPEX_202510[[#This Row],[Số lượng]]</f>
        <v>280000000</v>
      </c>
      <c r="M77" s="450"/>
      <c r="N77" s="1028">
        <v>46296</v>
      </c>
      <c r="O77" s="1163">
        <v>36</v>
      </c>
      <c r="P77" s="1040" t="str">
        <f>CAPEX_202510[[#This Row],[Loại tài sản]]</f>
        <v>Máy móc, thiết bị</v>
      </c>
      <c r="Q77" s="1041" t="s">
        <v>2019</v>
      </c>
      <c r="R77" s="448"/>
      <c r="S77" s="448"/>
      <c r="T77" s="1040"/>
      <c r="U77" s="448"/>
      <c r="V77" s="448"/>
      <c r="W77" s="448"/>
      <c r="X77" s="1030" t="s">
        <v>2123</v>
      </c>
      <c r="Y77" s="687" t="str">
        <f>LEFT(CAPEX_202510[[#This Row],[Mã tài khoản (Mã Chi phí_L4)]],3)</f>
        <v>627</v>
      </c>
      <c r="Z77" s="1162">
        <v>6273006501</v>
      </c>
      <c r="AA77" s="1040" t="s">
        <v>469</v>
      </c>
      <c r="AB77" s="1040" t="s">
        <v>579</v>
      </c>
      <c r="AC77" s="407">
        <v>280000000</v>
      </c>
      <c r="AD77" s="1160">
        <f>CAPEX_202510[[#This Row],[Giá trị nguyên giá]]-CAPEX_202510[[#This Row],[Giá trị còn lại]]</f>
        <v>0</v>
      </c>
      <c r="AE77" s="407">
        <v>280000000</v>
      </c>
      <c r="AF77" s="407">
        <v>7777777.777777778</v>
      </c>
      <c r="AG77" s="407">
        <v>7777777.777777778</v>
      </c>
      <c r="AH77" s="407">
        <v>7777777.777777778</v>
      </c>
      <c r="AI77" s="407">
        <v>7777777.777777778</v>
      </c>
      <c r="AJ77" s="407">
        <v>7777777.777777778</v>
      </c>
      <c r="AK77" s="407">
        <v>7777777.777777778</v>
      </c>
      <c r="AL77" s="407">
        <v>7777777.777777778</v>
      </c>
      <c r="AM77" s="407">
        <v>7777777.777777778</v>
      </c>
      <c r="AN77" s="407">
        <v>7777777.777777778</v>
      </c>
      <c r="AO77" s="407">
        <v>7777777.777777778</v>
      </c>
      <c r="AP77" s="407">
        <v>7777777.777777778</v>
      </c>
      <c r="AQ77" s="407">
        <v>7777777.777777778</v>
      </c>
      <c r="AR77" s="1025">
        <f t="shared" si="5"/>
        <v>93333333.333333328</v>
      </c>
      <c r="AS77" s="1025">
        <f t="shared" si="6"/>
        <v>186666666.66666669</v>
      </c>
    </row>
    <row r="78" spans="1:45" ht="30" customHeight="1" outlineLevel="1" x14ac:dyDescent="0.25">
      <c r="A78" s="450" t="s">
        <v>2102</v>
      </c>
      <c r="B78" s="450" t="s">
        <v>518</v>
      </c>
      <c r="C78" s="450" t="s">
        <v>518</v>
      </c>
      <c r="D78" s="450" t="s">
        <v>1697</v>
      </c>
      <c r="E78" s="684" t="s">
        <v>1685</v>
      </c>
      <c r="F78" s="450"/>
      <c r="G78" s="450"/>
      <c r="H78" s="684" t="s">
        <v>1694</v>
      </c>
      <c r="I78" s="1039" t="s">
        <v>1962</v>
      </c>
      <c r="J78" s="1156">
        <v>280000000</v>
      </c>
      <c r="K78" s="684">
        <v>1</v>
      </c>
      <c r="L78" s="1156">
        <f>CAPEX_202510[[#This Row],[Đơn giá ( chưa bao gồm VAT)]]*CAPEX_202510[[#This Row],[Số lượng]]</f>
        <v>280000000</v>
      </c>
      <c r="M78" s="450"/>
      <c r="N78" s="1028">
        <v>46357</v>
      </c>
      <c r="O78" s="1163">
        <v>36</v>
      </c>
      <c r="P78" s="1040" t="str">
        <f>CAPEX_202510[[#This Row],[Loại tài sản]]</f>
        <v>Máy móc, thiết bị</v>
      </c>
      <c r="Q78" s="1041" t="s">
        <v>2019</v>
      </c>
      <c r="R78" s="448"/>
      <c r="S78" s="448"/>
      <c r="T78" s="1040"/>
      <c r="U78" s="448"/>
      <c r="V78" s="448"/>
      <c r="W78" s="448"/>
      <c r="X78" s="1030" t="s">
        <v>2124</v>
      </c>
      <c r="Y78" s="687" t="str">
        <f>LEFT(CAPEX_202510[[#This Row],[Mã tài khoản (Mã Chi phí_L4)]],3)</f>
        <v>627</v>
      </c>
      <c r="Z78" s="1162">
        <v>6273006501</v>
      </c>
      <c r="AA78" s="1040" t="s">
        <v>469</v>
      </c>
      <c r="AB78" s="1040" t="s">
        <v>579</v>
      </c>
      <c r="AC78" s="1159">
        <v>280000000</v>
      </c>
      <c r="AD78" s="1158">
        <f>CAPEX_202510[[#This Row],[Giá trị nguyên giá]]-CAPEX_202510[[#This Row],[Giá trị còn lại]]</f>
        <v>0</v>
      </c>
      <c r="AE78" s="1159">
        <v>280000000</v>
      </c>
      <c r="AF78" s="1159">
        <v>7777777.777777778</v>
      </c>
      <c r="AG78" s="1159">
        <v>7777777.777777778</v>
      </c>
      <c r="AH78" s="1159">
        <v>7777777.777777778</v>
      </c>
      <c r="AI78" s="1159">
        <v>7777777.777777778</v>
      </c>
      <c r="AJ78" s="1159">
        <v>7777777.777777778</v>
      </c>
      <c r="AK78" s="1159">
        <v>7777777.777777778</v>
      </c>
      <c r="AL78" s="1159">
        <v>7777777.777777778</v>
      </c>
      <c r="AM78" s="1159">
        <v>7777777.777777778</v>
      </c>
      <c r="AN78" s="1159">
        <v>7777777.777777778</v>
      </c>
      <c r="AO78" s="1159">
        <v>7777777.777777778</v>
      </c>
      <c r="AP78" s="1159">
        <v>7777777.777777778</v>
      </c>
      <c r="AQ78" s="1159">
        <v>7777777.777777778</v>
      </c>
      <c r="AR78" s="412">
        <f t="shared" si="5"/>
        <v>93333333.333333328</v>
      </c>
      <c r="AS78" s="412">
        <f t="shared" si="6"/>
        <v>186666666.66666669</v>
      </c>
    </row>
    <row r="79" spans="1:45" ht="30" customHeight="1" outlineLevel="1" x14ac:dyDescent="0.25">
      <c r="A79" s="450" t="s">
        <v>2103</v>
      </c>
      <c r="B79" s="450" t="s">
        <v>518</v>
      </c>
      <c r="C79" s="450" t="s">
        <v>518</v>
      </c>
      <c r="D79" s="450" t="s">
        <v>1697</v>
      </c>
      <c r="E79" s="684" t="s">
        <v>1685</v>
      </c>
      <c r="F79" s="450"/>
      <c r="G79" s="450"/>
      <c r="H79" s="684" t="s">
        <v>1694</v>
      </c>
      <c r="I79" s="1039" t="s">
        <v>1962</v>
      </c>
      <c r="J79" s="1156">
        <v>280000000</v>
      </c>
      <c r="K79" s="684">
        <v>1</v>
      </c>
      <c r="L79" s="1156">
        <f>CAPEX_202510[[#This Row],[Đơn giá ( chưa bao gồm VAT)]]*CAPEX_202510[[#This Row],[Số lượng]]</f>
        <v>280000000</v>
      </c>
      <c r="M79" s="450"/>
      <c r="N79" s="1028">
        <v>46054</v>
      </c>
      <c r="O79" s="1163">
        <v>36</v>
      </c>
      <c r="P79" s="1040" t="str">
        <f>CAPEX_202510[[#This Row],[Loại tài sản]]</f>
        <v>Máy móc, thiết bị</v>
      </c>
      <c r="Q79" s="1041" t="s">
        <v>2019</v>
      </c>
      <c r="R79" s="448"/>
      <c r="S79" s="448"/>
      <c r="T79" s="1040"/>
      <c r="U79" s="448"/>
      <c r="V79" s="448"/>
      <c r="W79" s="448"/>
      <c r="X79" s="1030" t="s">
        <v>2125</v>
      </c>
      <c r="Y79" s="687" t="str">
        <f>LEFT(CAPEX_202510[[#This Row],[Mã tài khoản (Mã Chi phí_L4)]],3)</f>
        <v>627</v>
      </c>
      <c r="Z79" s="1162">
        <v>6273006501</v>
      </c>
      <c r="AA79" s="1040" t="s">
        <v>469</v>
      </c>
      <c r="AB79" s="1040" t="s">
        <v>579</v>
      </c>
      <c r="AC79" s="1159">
        <v>280000000</v>
      </c>
      <c r="AD79" s="1158">
        <f>CAPEX_202510[[#This Row],[Giá trị nguyên giá]]-CAPEX_202510[[#This Row],[Giá trị còn lại]]</f>
        <v>0</v>
      </c>
      <c r="AE79" s="1159">
        <v>280000000</v>
      </c>
      <c r="AF79" s="1159">
        <v>7777777.777777778</v>
      </c>
      <c r="AG79" s="1159">
        <v>7777777.777777778</v>
      </c>
      <c r="AH79" s="1159">
        <v>7777777.777777778</v>
      </c>
      <c r="AI79" s="1159">
        <v>7777777.777777778</v>
      </c>
      <c r="AJ79" s="1159">
        <v>7777777.777777778</v>
      </c>
      <c r="AK79" s="1159">
        <v>7777777.777777778</v>
      </c>
      <c r="AL79" s="1159">
        <v>7777777.777777778</v>
      </c>
      <c r="AM79" s="1159">
        <v>7777777.777777778</v>
      </c>
      <c r="AN79" s="1159">
        <v>7777777.777777778</v>
      </c>
      <c r="AO79" s="1159">
        <v>7777777.777777778</v>
      </c>
      <c r="AP79" s="1159">
        <v>7777777.777777778</v>
      </c>
      <c r="AQ79" s="1159">
        <v>7777777.777777778</v>
      </c>
      <c r="AR79" s="412">
        <f t="shared" ref="AR79" si="7">SUM(AF79:AQ79)</f>
        <v>93333333.333333328</v>
      </c>
      <c r="AS79" s="412">
        <f t="shared" si="6"/>
        <v>186666666.66666669</v>
      </c>
    </row>
    <row r="80" spans="1:45" ht="30" customHeight="1" outlineLevel="1" x14ac:dyDescent="0.25">
      <c r="A80" s="450" t="s">
        <v>2151</v>
      </c>
      <c r="B80" s="1188" t="s">
        <v>521</v>
      </c>
      <c r="C80" s="1188" t="s">
        <v>521</v>
      </c>
      <c r="D80" s="450" t="s">
        <v>1691</v>
      </c>
      <c r="E80" s="684" t="s">
        <v>1685</v>
      </c>
      <c r="F80" s="450"/>
      <c r="G80" s="450"/>
      <c r="H80" s="684" t="s">
        <v>1694</v>
      </c>
      <c r="I80" s="1188" t="s">
        <v>2152</v>
      </c>
      <c r="J80" s="1156">
        <v>1907788.2352941176</v>
      </c>
      <c r="K80" s="450">
        <v>12</v>
      </c>
      <c r="L80" s="1156">
        <f>CAPEX_202510[[#This Row],[Đơn giá ( chưa bao gồm VAT)]]*CAPEX_202510[[#This Row],[Số lượng]]</f>
        <v>22893458.823529411</v>
      </c>
      <c r="M80" s="450"/>
      <c r="N80" s="1028">
        <v>46023</v>
      </c>
      <c r="O80" s="1143">
        <v>12</v>
      </c>
      <c r="P80" s="1040" t="str">
        <f>CAPEX_202510[[#This Row],[Loại tài sản]]</f>
        <v>Dụng cụ quản lý</v>
      </c>
      <c r="Q80" s="1189" t="s">
        <v>2023</v>
      </c>
      <c r="R80" s="1161"/>
      <c r="S80" s="1144"/>
      <c r="T80" s="682"/>
      <c r="U80" s="448"/>
      <c r="V80" s="448"/>
      <c r="W80" s="1146"/>
      <c r="X80" s="1030" t="s">
        <v>2153</v>
      </c>
      <c r="Y80" s="687" t="str">
        <f>LEFT(CAPEX_202510[[#This Row],[Mã tài khoản (Mã Chi phí_L4)]],3)</f>
        <v>622</v>
      </c>
      <c r="Z80" s="1162">
        <v>6220003001</v>
      </c>
      <c r="AA80" s="1040" t="s">
        <v>430</v>
      </c>
      <c r="AB80" s="1040" t="s">
        <v>570</v>
      </c>
      <c r="AC80" s="1159">
        <v>22893458.823529407</v>
      </c>
      <c r="AD80" s="1158">
        <f t="shared" ref="AD80" si="8">AC80-AE80</f>
        <v>0</v>
      </c>
      <c r="AE80" s="1159">
        <v>22893458.823529407</v>
      </c>
      <c r="AF80" s="1159">
        <v>1907788.2352941176</v>
      </c>
      <c r="AG80" s="1159">
        <v>1907788.2352941176</v>
      </c>
      <c r="AH80" s="1159">
        <v>1907788.2352941176</v>
      </c>
      <c r="AI80" s="1159">
        <v>1907788.2352941176</v>
      </c>
      <c r="AJ80" s="1159">
        <v>1907788.2352941176</v>
      </c>
      <c r="AK80" s="1159">
        <v>1907788.2352941176</v>
      </c>
      <c r="AL80" s="1159">
        <v>1907788.2352941176</v>
      </c>
      <c r="AM80" s="1159">
        <v>1907788.2352941176</v>
      </c>
      <c r="AN80" s="1159">
        <v>1907788.2352941176</v>
      </c>
      <c r="AO80" s="1159">
        <v>1907788.2352941176</v>
      </c>
      <c r="AP80" s="1159">
        <v>1907788.2352941176</v>
      </c>
      <c r="AQ80" s="1159">
        <v>1907788.2352941176</v>
      </c>
      <c r="AR80" s="412">
        <f t="shared" ref="AR80" si="9">SUM(AF80:AQ80)</f>
        <v>22893458.823529419</v>
      </c>
      <c r="AS80" s="412">
        <f t="shared" si="6"/>
        <v>0</v>
      </c>
    </row>
    <row r="81" spans="1:45" ht="30" customHeight="1" outlineLevel="1" x14ac:dyDescent="0.25">
      <c r="A81" s="450" t="s">
        <v>2154</v>
      </c>
      <c r="B81" s="1188" t="s">
        <v>521</v>
      </c>
      <c r="C81" s="1188" t="s">
        <v>521</v>
      </c>
      <c r="D81" s="450" t="s">
        <v>1691</v>
      </c>
      <c r="E81" s="684" t="s">
        <v>1685</v>
      </c>
      <c r="F81" s="450"/>
      <c r="G81" s="450"/>
      <c r="H81" s="684" t="s">
        <v>1694</v>
      </c>
      <c r="I81" s="1188" t="s">
        <v>2152</v>
      </c>
      <c r="J81" s="1156">
        <v>587011.76470588159</v>
      </c>
      <c r="K81" s="450">
        <v>12</v>
      </c>
      <c r="L81" s="1156">
        <f>CAPEX_202510[[#This Row],[Đơn giá ( chưa bao gồm VAT)]]*CAPEX_202510[[#This Row],[Số lượng]]</f>
        <v>7044141.1764705796</v>
      </c>
      <c r="M81" s="450"/>
      <c r="N81" s="1028">
        <v>46023</v>
      </c>
      <c r="O81" s="1143">
        <v>12</v>
      </c>
      <c r="P81" s="1040" t="str">
        <f>CAPEX_202510[[#This Row],[Loại tài sản]]</f>
        <v>Dụng cụ quản lý</v>
      </c>
      <c r="Q81" s="1189" t="s">
        <v>2023</v>
      </c>
      <c r="R81" s="1161"/>
      <c r="S81" s="1144"/>
      <c r="T81" s="682"/>
      <c r="U81" s="448"/>
      <c r="V81" s="448"/>
      <c r="W81" s="1146"/>
      <c r="X81" s="1030" t="s">
        <v>2153</v>
      </c>
      <c r="Y81" s="687" t="str">
        <f>LEFT(CAPEX_202510[[#This Row],[Mã tài khoản (Mã Chi phí_L4)]],3)</f>
        <v>627</v>
      </c>
      <c r="Z81" s="1162">
        <v>6271003001</v>
      </c>
      <c r="AA81" s="1040" t="s">
        <v>430</v>
      </c>
      <c r="AB81" s="1040" t="s">
        <v>570</v>
      </c>
      <c r="AC81" s="1159">
        <v>7044141.1764705796</v>
      </c>
      <c r="AD81" s="1158">
        <f t="shared" ref="AD81" si="10">AC81-AE81</f>
        <v>0</v>
      </c>
      <c r="AE81" s="1159">
        <v>7044141.1764705796</v>
      </c>
      <c r="AF81" s="1159">
        <v>587011.76470588159</v>
      </c>
      <c r="AG81" s="1159">
        <v>587011.76470588159</v>
      </c>
      <c r="AH81" s="1159">
        <v>587011.76470588159</v>
      </c>
      <c r="AI81" s="1159">
        <v>587011.76470588159</v>
      </c>
      <c r="AJ81" s="1159">
        <v>587011.76470588159</v>
      </c>
      <c r="AK81" s="1159">
        <v>587011.76470588159</v>
      </c>
      <c r="AL81" s="1159">
        <v>587011.76470588159</v>
      </c>
      <c r="AM81" s="1159">
        <v>587011.76470588159</v>
      </c>
      <c r="AN81" s="1159">
        <v>587011.76470588159</v>
      </c>
      <c r="AO81" s="1159">
        <v>587011.76470588159</v>
      </c>
      <c r="AP81" s="1159">
        <v>587011.76470588159</v>
      </c>
      <c r="AQ81" s="1159">
        <v>587011.76470588159</v>
      </c>
      <c r="AR81" s="412">
        <f t="shared" ref="AR81" si="11">SUM(AF81:AQ81)</f>
        <v>7044141.1764705786</v>
      </c>
      <c r="AS81" s="412">
        <f t="shared" ref="AS81" si="12">AE81-AR81</f>
        <v>0</v>
      </c>
    </row>
    <row r="82" spans="1:45" ht="30" customHeight="1" outlineLevel="1" x14ac:dyDescent="0.25">
      <c r="A82" s="450" t="s">
        <v>2155</v>
      </c>
      <c r="B82" s="1188" t="s">
        <v>521</v>
      </c>
      <c r="C82" s="1188" t="s">
        <v>521</v>
      </c>
      <c r="D82" s="450" t="s">
        <v>1691</v>
      </c>
      <c r="E82" s="684" t="s">
        <v>1685</v>
      </c>
      <c r="F82" s="450"/>
      <c r="G82" s="450"/>
      <c r="H82" s="684" t="s">
        <v>1694</v>
      </c>
      <c r="I82" s="1188" t="s">
        <v>2152</v>
      </c>
      <c r="J82" s="1156">
        <v>666225</v>
      </c>
      <c r="K82" s="450">
        <v>12</v>
      </c>
      <c r="L82" s="1156">
        <f>CAPEX_202510[[#This Row],[Đơn giá ( chưa bao gồm VAT)]]*CAPEX_202510[[#This Row],[Số lượng]]</f>
        <v>7994700</v>
      </c>
      <c r="M82" s="450"/>
      <c r="N82" s="1028">
        <v>46023</v>
      </c>
      <c r="O82" s="1143">
        <v>12</v>
      </c>
      <c r="P82" s="1040" t="str">
        <f>CAPEX_202510[[#This Row],[Loại tài sản]]</f>
        <v>Dụng cụ quản lý</v>
      </c>
      <c r="Q82" s="1189" t="s">
        <v>2156</v>
      </c>
      <c r="R82" s="1161"/>
      <c r="S82" s="1144"/>
      <c r="T82" s="682"/>
      <c r="U82" s="448"/>
      <c r="V82" s="448"/>
      <c r="W82" s="1146"/>
      <c r="X82" s="1030" t="s">
        <v>2157</v>
      </c>
      <c r="Y82" s="687" t="str">
        <f>LEFT(CAPEX_202510[[#This Row],[Mã tài khoản (Mã Chi phí_L4)]],3)</f>
        <v>642</v>
      </c>
      <c r="Z82" s="1162">
        <v>6421003001</v>
      </c>
      <c r="AA82" s="1040" t="s">
        <v>430</v>
      </c>
      <c r="AB82" s="1040" t="s">
        <v>570</v>
      </c>
      <c r="AC82" s="1159">
        <v>7994700</v>
      </c>
      <c r="AD82" s="1158">
        <f t="shared" ref="AD82" si="13">AC82-AE82</f>
        <v>0</v>
      </c>
      <c r="AE82" s="1159">
        <v>7994700</v>
      </c>
      <c r="AF82" s="1159">
        <v>666225</v>
      </c>
      <c r="AG82" s="1159">
        <v>666225</v>
      </c>
      <c r="AH82" s="1159">
        <v>666225</v>
      </c>
      <c r="AI82" s="1159">
        <v>666225</v>
      </c>
      <c r="AJ82" s="1159">
        <v>666225</v>
      </c>
      <c r="AK82" s="1159">
        <v>666225</v>
      </c>
      <c r="AL82" s="1159">
        <v>666225</v>
      </c>
      <c r="AM82" s="1159">
        <v>666225</v>
      </c>
      <c r="AN82" s="1159">
        <v>666225</v>
      </c>
      <c r="AO82" s="1159">
        <v>666225</v>
      </c>
      <c r="AP82" s="1159">
        <v>666225</v>
      </c>
      <c r="AQ82" s="1159">
        <v>666225</v>
      </c>
      <c r="AR82" s="412">
        <f t="shared" ref="AR82" si="14">SUM(AF82:AQ82)</f>
        <v>7994700</v>
      </c>
      <c r="AS82" s="412">
        <f t="shared" ref="AS82" si="15">AE82-AR82</f>
        <v>0</v>
      </c>
    </row>
    <row r="83" spans="1:45" ht="30" customHeight="1" outlineLevel="1" x14ac:dyDescent="0.25">
      <c r="A83" s="450" t="s">
        <v>2158</v>
      </c>
      <c r="B83" s="1188" t="s">
        <v>521</v>
      </c>
      <c r="C83" s="1188" t="s">
        <v>521</v>
      </c>
      <c r="D83" s="450" t="s">
        <v>1691</v>
      </c>
      <c r="E83" s="684" t="s">
        <v>1685</v>
      </c>
      <c r="F83" s="450"/>
      <c r="G83" s="450"/>
      <c r="H83" s="684" t="s">
        <v>1694</v>
      </c>
      <c r="I83" s="1188" t="s">
        <v>2160</v>
      </c>
      <c r="J83" s="1156">
        <v>315000</v>
      </c>
      <c r="K83" s="450">
        <v>12</v>
      </c>
      <c r="L83" s="1156">
        <f>CAPEX_202510[[#This Row],[Đơn giá ( chưa bao gồm VAT)]]*CAPEX_202510[[#This Row],[Số lượng]]</f>
        <v>3780000</v>
      </c>
      <c r="M83" s="450"/>
      <c r="N83" s="1028">
        <v>46023</v>
      </c>
      <c r="O83" s="1143">
        <v>12</v>
      </c>
      <c r="P83" s="1040" t="str">
        <f>CAPEX_202510[[#This Row],[Loại tài sản]]</f>
        <v>Dụng cụ quản lý</v>
      </c>
      <c r="Q83" s="1190" t="s">
        <v>2167</v>
      </c>
      <c r="R83" s="1161"/>
      <c r="S83" s="1144"/>
      <c r="T83" s="682"/>
      <c r="U83" s="448"/>
      <c r="V83" s="448"/>
      <c r="W83" s="1146"/>
      <c r="X83" s="1030" t="s">
        <v>2159</v>
      </c>
      <c r="Y83" s="687" t="str">
        <f>LEFT(CAPEX_202510[[#This Row],[Mã tài khoản (Mã Chi phí_L4)]],3)</f>
        <v>627</v>
      </c>
      <c r="Z83" s="1162">
        <v>6277003702</v>
      </c>
      <c r="AA83" s="1040" t="s">
        <v>84</v>
      </c>
      <c r="AB83" s="1040" t="s">
        <v>576</v>
      </c>
      <c r="AC83" s="1159">
        <v>3780000</v>
      </c>
      <c r="AD83" s="1158">
        <f t="shared" ref="AD83" si="16">AC83-AE83</f>
        <v>0</v>
      </c>
      <c r="AE83" s="1159">
        <v>3780000</v>
      </c>
      <c r="AF83" s="1159">
        <v>315000</v>
      </c>
      <c r="AG83" s="1159">
        <v>315000</v>
      </c>
      <c r="AH83" s="1159">
        <v>315000</v>
      </c>
      <c r="AI83" s="1159">
        <v>315000</v>
      </c>
      <c r="AJ83" s="1159">
        <v>315000</v>
      </c>
      <c r="AK83" s="1159">
        <v>315000</v>
      </c>
      <c r="AL83" s="1159">
        <v>315000</v>
      </c>
      <c r="AM83" s="1159">
        <v>315000</v>
      </c>
      <c r="AN83" s="1159">
        <v>315000</v>
      </c>
      <c r="AO83" s="1159">
        <v>315000</v>
      </c>
      <c r="AP83" s="1159">
        <v>315000</v>
      </c>
      <c r="AQ83" s="1159">
        <v>315000</v>
      </c>
      <c r="AR83" s="412">
        <f t="shared" ref="AR83" si="17">SUM(AF83:AQ83)</f>
        <v>3780000</v>
      </c>
      <c r="AS83" s="412">
        <f t="shared" ref="AS83" si="18">AE83-AR83</f>
        <v>0</v>
      </c>
    </row>
    <row r="84" spans="1:45" ht="30" customHeight="1" outlineLevel="1" x14ac:dyDescent="0.25">
      <c r="A84" s="450" t="s">
        <v>2161</v>
      </c>
      <c r="B84" s="1188" t="s">
        <v>521</v>
      </c>
      <c r="C84" s="1188" t="s">
        <v>521</v>
      </c>
      <c r="D84" s="450" t="s">
        <v>1691</v>
      </c>
      <c r="E84" s="684" t="s">
        <v>1685</v>
      </c>
      <c r="F84" s="450"/>
      <c r="G84" s="450"/>
      <c r="H84" s="684" t="s">
        <v>1694</v>
      </c>
      <c r="I84" s="1188" t="s">
        <v>2162</v>
      </c>
      <c r="J84" s="1156">
        <v>416666.66666666669</v>
      </c>
      <c r="K84" s="450">
        <v>12</v>
      </c>
      <c r="L84" s="1156">
        <f>CAPEX_202510[[#This Row],[Đơn giá ( chưa bao gồm VAT)]]*CAPEX_202510[[#This Row],[Số lượng]]</f>
        <v>5000000</v>
      </c>
      <c r="M84" s="450"/>
      <c r="N84" s="1028">
        <v>46023</v>
      </c>
      <c r="O84" s="1143">
        <v>12</v>
      </c>
      <c r="P84" s="1040" t="str">
        <f>CAPEX_202510[[#This Row],[Loại tài sản]]</f>
        <v>Dụng cụ quản lý</v>
      </c>
      <c r="Q84" s="1190" t="s">
        <v>2167</v>
      </c>
      <c r="R84" s="1161"/>
      <c r="S84" s="1144"/>
      <c r="T84" s="682"/>
      <c r="U84" s="448"/>
      <c r="V84" s="448"/>
      <c r="W84" s="1146"/>
      <c r="X84" s="1030" t="s">
        <v>2168</v>
      </c>
      <c r="Y84" s="687" t="str">
        <f>LEFT(CAPEX_202510[[#This Row],[Mã tài khoản (Mã Chi phí_L4)]],3)</f>
        <v>627</v>
      </c>
      <c r="Z84" s="1162">
        <v>6277003702</v>
      </c>
      <c r="AA84" s="1040" t="s">
        <v>84</v>
      </c>
      <c r="AB84" s="1040" t="s">
        <v>576</v>
      </c>
      <c r="AC84" s="1159">
        <v>5000000</v>
      </c>
      <c r="AD84" s="1158">
        <f t="shared" ref="AD84" si="19">AC84-AE84</f>
        <v>0</v>
      </c>
      <c r="AE84" s="1159">
        <v>5000000</v>
      </c>
      <c r="AF84" s="1159">
        <v>416666.66666666669</v>
      </c>
      <c r="AG84" s="1159">
        <v>416666.66666666669</v>
      </c>
      <c r="AH84" s="1159">
        <v>416666.66666666669</v>
      </c>
      <c r="AI84" s="1159">
        <v>416666.66666666669</v>
      </c>
      <c r="AJ84" s="1159">
        <v>416666.66666666669</v>
      </c>
      <c r="AK84" s="1159">
        <v>416666.66666666669</v>
      </c>
      <c r="AL84" s="1159">
        <v>416666.66666666669</v>
      </c>
      <c r="AM84" s="1159">
        <v>416666.66666666669</v>
      </c>
      <c r="AN84" s="1159">
        <v>416666.66666666669</v>
      </c>
      <c r="AO84" s="1159">
        <v>416666.66666666669</v>
      </c>
      <c r="AP84" s="1159">
        <v>416666.66666666669</v>
      </c>
      <c r="AQ84" s="1159">
        <v>416666.66666666669</v>
      </c>
      <c r="AR84" s="412">
        <f t="shared" ref="AR84" si="20">SUM(AF84:AQ84)</f>
        <v>5000000</v>
      </c>
      <c r="AS84" s="412">
        <f t="shared" ref="AS84" si="21">AE84-AR84</f>
        <v>0</v>
      </c>
    </row>
    <row r="85" spans="1:45" ht="30" customHeight="1" outlineLevel="1" x14ac:dyDescent="0.25">
      <c r="A85" s="450" t="s">
        <v>2164</v>
      </c>
      <c r="B85" s="1188" t="s">
        <v>521</v>
      </c>
      <c r="C85" s="1188" t="s">
        <v>521</v>
      </c>
      <c r="D85" s="450" t="s">
        <v>1691</v>
      </c>
      <c r="E85" s="684" t="s">
        <v>1685</v>
      </c>
      <c r="F85" s="450"/>
      <c r="G85" s="450"/>
      <c r="H85" s="684" t="s">
        <v>1694</v>
      </c>
      <c r="I85" s="1188" t="s">
        <v>2162</v>
      </c>
      <c r="J85" s="1156">
        <v>1250000</v>
      </c>
      <c r="K85" s="450">
        <v>12</v>
      </c>
      <c r="L85" s="1156">
        <f>CAPEX_202510[[#This Row],[Đơn giá ( chưa bao gồm VAT)]]*CAPEX_202510[[#This Row],[Số lượng]]</f>
        <v>15000000</v>
      </c>
      <c r="M85" s="450"/>
      <c r="N85" s="1028">
        <v>46023</v>
      </c>
      <c r="O85" s="1143">
        <v>12</v>
      </c>
      <c r="P85" s="1040" t="str">
        <f>CAPEX_202510[[#This Row],[Loại tài sản]]</f>
        <v>Dụng cụ quản lý</v>
      </c>
      <c r="Q85" s="1190" t="s">
        <v>2167</v>
      </c>
      <c r="R85" s="1161"/>
      <c r="S85" s="1144"/>
      <c r="T85" s="682"/>
      <c r="U85" s="448"/>
      <c r="V85" s="448"/>
      <c r="W85" s="1146"/>
      <c r="X85" s="1030" t="s">
        <v>2163</v>
      </c>
      <c r="Y85" s="687" t="str">
        <f>LEFT(CAPEX_202510[[#This Row],[Mã tài khoản (Mã Chi phí_L4)]],3)</f>
        <v>627</v>
      </c>
      <c r="Z85" s="1162">
        <v>6277003702</v>
      </c>
      <c r="AA85" s="1040" t="s">
        <v>84</v>
      </c>
      <c r="AB85" s="1040" t="s">
        <v>576</v>
      </c>
      <c r="AC85" s="1159">
        <v>15000000</v>
      </c>
      <c r="AD85" s="1158">
        <f t="shared" ref="AD85" si="22">AC85-AE85</f>
        <v>0</v>
      </c>
      <c r="AE85" s="1159">
        <v>15000000</v>
      </c>
      <c r="AF85" s="1159">
        <v>1250000</v>
      </c>
      <c r="AG85" s="1159">
        <v>1250000</v>
      </c>
      <c r="AH85" s="1159">
        <v>1250000</v>
      </c>
      <c r="AI85" s="1159">
        <v>1250000</v>
      </c>
      <c r="AJ85" s="1159">
        <v>1250000</v>
      </c>
      <c r="AK85" s="1159">
        <v>1250000</v>
      </c>
      <c r="AL85" s="1159">
        <v>1250000</v>
      </c>
      <c r="AM85" s="1159">
        <v>1250000</v>
      </c>
      <c r="AN85" s="1159">
        <v>1250000</v>
      </c>
      <c r="AO85" s="1159">
        <v>1250000</v>
      </c>
      <c r="AP85" s="1159">
        <v>1250000</v>
      </c>
      <c r="AQ85" s="1159">
        <v>1250000</v>
      </c>
      <c r="AR85" s="412">
        <f t="shared" ref="AR85" si="23">SUM(AF85:AQ85)</f>
        <v>15000000</v>
      </c>
      <c r="AS85" s="412">
        <f t="shared" ref="AS85" si="24">AE85-AR85</f>
        <v>0</v>
      </c>
    </row>
    <row r="86" spans="1:45" ht="30" customHeight="1" outlineLevel="1" x14ac:dyDescent="0.25">
      <c r="A86" s="450" t="s">
        <v>2165</v>
      </c>
      <c r="B86" s="1188" t="s">
        <v>521</v>
      </c>
      <c r="C86" s="1188" t="s">
        <v>521</v>
      </c>
      <c r="D86" s="450" t="s">
        <v>1691</v>
      </c>
      <c r="E86" s="684" t="s">
        <v>1685</v>
      </c>
      <c r="F86" s="450"/>
      <c r="G86" s="450"/>
      <c r="H86" s="684" t="s">
        <v>1694</v>
      </c>
      <c r="I86" s="1188" t="s">
        <v>2162</v>
      </c>
      <c r="J86" s="1156">
        <v>666666.66666666663</v>
      </c>
      <c r="K86" s="450">
        <v>12</v>
      </c>
      <c r="L86" s="1156">
        <f>CAPEX_202510[[#This Row],[Đơn giá ( chưa bao gồm VAT)]]*CAPEX_202510[[#This Row],[Số lượng]]</f>
        <v>8000000</v>
      </c>
      <c r="M86" s="450"/>
      <c r="N86" s="1028">
        <v>46023</v>
      </c>
      <c r="O86" s="1143">
        <v>12</v>
      </c>
      <c r="P86" s="1040" t="str">
        <f>CAPEX_202510[[#This Row],[Loại tài sản]]</f>
        <v>Dụng cụ quản lý</v>
      </c>
      <c r="Q86" s="1190" t="s">
        <v>2167</v>
      </c>
      <c r="R86" s="1161"/>
      <c r="S86" s="1144"/>
      <c r="T86" s="682"/>
      <c r="U86" s="448"/>
      <c r="V86" s="448"/>
      <c r="W86" s="1146"/>
      <c r="X86" s="1030" t="s">
        <v>2169</v>
      </c>
      <c r="Y86" s="687" t="str">
        <f>LEFT(CAPEX_202510[[#This Row],[Mã tài khoản (Mã Chi phí_L4)]],3)</f>
        <v>627</v>
      </c>
      <c r="Z86" s="1162">
        <v>6277003702</v>
      </c>
      <c r="AA86" s="1040" t="s">
        <v>84</v>
      </c>
      <c r="AB86" s="1040" t="s">
        <v>576</v>
      </c>
      <c r="AC86" s="407">
        <v>8000000</v>
      </c>
      <c r="AD86" s="1160">
        <f t="shared" ref="AD86" si="25">AC86-AE86</f>
        <v>0</v>
      </c>
      <c r="AE86" s="407">
        <v>8000000</v>
      </c>
      <c r="AF86" s="407">
        <v>666666.66666666663</v>
      </c>
      <c r="AG86" s="407">
        <v>666666.66666666663</v>
      </c>
      <c r="AH86" s="407">
        <v>666666.66666666663</v>
      </c>
      <c r="AI86" s="407">
        <v>666666.66666666663</v>
      </c>
      <c r="AJ86" s="407">
        <v>666666.66666666663</v>
      </c>
      <c r="AK86" s="407">
        <v>666666.66666666663</v>
      </c>
      <c r="AL86" s="407">
        <v>666666.66666666663</v>
      </c>
      <c r="AM86" s="407">
        <v>666666.66666666663</v>
      </c>
      <c r="AN86" s="407">
        <v>666666.66666666663</v>
      </c>
      <c r="AO86" s="407">
        <v>666666.66666666663</v>
      </c>
      <c r="AP86" s="407">
        <v>666666.66666666663</v>
      </c>
      <c r="AQ86" s="407">
        <v>666666.66666666663</v>
      </c>
      <c r="AR86" s="1025">
        <f t="shared" ref="AR86" si="26">SUM(AF86:AQ86)</f>
        <v>8000000.0000000009</v>
      </c>
      <c r="AS86" s="1025">
        <f t="shared" ref="AS86" si="27">AE86-AR86</f>
        <v>0</v>
      </c>
    </row>
    <row r="87" spans="1:45" ht="39" customHeight="1" outlineLevel="1" x14ac:dyDescent="0.25">
      <c r="A87" s="450" t="s">
        <v>2166</v>
      </c>
      <c r="B87" s="450" t="s">
        <v>518</v>
      </c>
      <c r="C87" s="450" t="s">
        <v>518</v>
      </c>
      <c r="D87" s="450" t="s">
        <v>1697</v>
      </c>
      <c r="E87" s="684" t="s">
        <v>1685</v>
      </c>
      <c r="F87" s="450"/>
      <c r="G87" s="450"/>
      <c r="H87" s="684" t="s">
        <v>1694</v>
      </c>
      <c r="I87" s="1188" t="s">
        <v>2196</v>
      </c>
      <c r="J87" s="1156">
        <v>126000</v>
      </c>
      <c r="K87" s="450">
        <v>221</v>
      </c>
      <c r="L87" s="1156">
        <f>CAPEX_202510[[#This Row],[Đơn giá ( chưa bao gồm VAT)]]*CAPEX_202510[[#This Row],[Số lượng]]</f>
        <v>27846000</v>
      </c>
      <c r="M87" s="450"/>
      <c r="N87" s="1028">
        <v>46023</v>
      </c>
      <c r="O87" s="1143">
        <v>12</v>
      </c>
      <c r="P87" s="1040" t="str">
        <f>CAPEX_202510[[#This Row],[Loại tài sản]]</f>
        <v>Máy móc, thiết bị</v>
      </c>
      <c r="Q87" s="1190" t="s">
        <v>2018</v>
      </c>
      <c r="R87" s="1161"/>
      <c r="S87" s="1144"/>
      <c r="T87" s="682"/>
      <c r="U87" s="448"/>
      <c r="V87" s="448"/>
      <c r="W87" s="1146"/>
      <c r="X87" s="1030" t="s">
        <v>2171</v>
      </c>
      <c r="Y87" s="687" t="str">
        <f>LEFT(CAPEX_202510[[#This Row],[Mã tài khoản (Mã Chi phí_L4)]],3)</f>
        <v>627</v>
      </c>
      <c r="Z87" s="1162">
        <v>6273006501</v>
      </c>
      <c r="AA87" s="1040" t="s">
        <v>469</v>
      </c>
      <c r="AB87" s="1040" t="s">
        <v>579</v>
      </c>
      <c r="AC87" s="1159">
        <v>27846000</v>
      </c>
      <c r="AD87" s="1158">
        <f t="shared" ref="AD87" si="28">AC87-AE87</f>
        <v>0</v>
      </c>
      <c r="AE87" s="1159">
        <v>27846000</v>
      </c>
      <c r="AF87" s="1159">
        <v>2320500</v>
      </c>
      <c r="AG87" s="1159">
        <v>2320500</v>
      </c>
      <c r="AH87" s="1159">
        <v>2320500</v>
      </c>
      <c r="AI87" s="1159">
        <v>2320500</v>
      </c>
      <c r="AJ87" s="1159">
        <v>2320500</v>
      </c>
      <c r="AK87" s="1159">
        <v>2320500</v>
      </c>
      <c r="AL87" s="1159">
        <v>2320500</v>
      </c>
      <c r="AM87" s="1159">
        <v>2320500</v>
      </c>
      <c r="AN87" s="1159">
        <v>2320500</v>
      </c>
      <c r="AO87" s="1159">
        <v>2320500</v>
      </c>
      <c r="AP87" s="1159">
        <v>2320500</v>
      </c>
      <c r="AQ87" s="1159">
        <v>2320500</v>
      </c>
      <c r="AR87" s="412">
        <f t="shared" ref="AR87" si="29">SUM(AF87:AQ87)</f>
        <v>27846000</v>
      </c>
      <c r="AS87" s="412">
        <f t="shared" ref="AS87" si="30">AE87-AR87</f>
        <v>0</v>
      </c>
    </row>
    <row r="88" spans="1:45" ht="39" customHeight="1" outlineLevel="1" x14ac:dyDescent="0.25">
      <c r="A88" s="450" t="s">
        <v>2170</v>
      </c>
      <c r="B88" s="450" t="s">
        <v>518</v>
      </c>
      <c r="C88" s="450" t="s">
        <v>518</v>
      </c>
      <c r="D88" s="450" t="s">
        <v>1697</v>
      </c>
      <c r="E88" s="684" t="s">
        <v>1685</v>
      </c>
      <c r="F88" s="450"/>
      <c r="G88" s="450"/>
      <c r="H88" s="684" t="s">
        <v>1694</v>
      </c>
      <c r="I88" s="1188" t="s">
        <v>1962</v>
      </c>
      <c r="J88" s="1156">
        <v>833333.33333333337</v>
      </c>
      <c r="K88" s="450">
        <v>12</v>
      </c>
      <c r="L88" s="1156">
        <f>CAPEX_202510[[#This Row],[Đơn giá ( chưa bao gồm VAT)]]*CAPEX_202510[[#This Row],[Số lượng]]</f>
        <v>10000000</v>
      </c>
      <c r="M88" s="450"/>
      <c r="N88" s="1028">
        <v>46023</v>
      </c>
      <c r="O88" s="1143">
        <v>12</v>
      </c>
      <c r="P88" s="1040" t="str">
        <f>CAPEX_202510[[#This Row],[Loại tài sản]]</f>
        <v>Máy móc, thiết bị</v>
      </c>
      <c r="Q88" s="1190" t="s">
        <v>2018</v>
      </c>
      <c r="R88" s="1161"/>
      <c r="S88" s="1144"/>
      <c r="T88" s="682"/>
      <c r="U88" s="448"/>
      <c r="V88" s="448"/>
      <c r="W88" s="1146"/>
      <c r="X88" s="1030" t="s">
        <v>2173</v>
      </c>
      <c r="Y88" s="687" t="str">
        <f>LEFT(CAPEX_202510[[#This Row],[Mã tài khoản (Mã Chi phí_L4)]],3)</f>
        <v>627</v>
      </c>
      <c r="Z88" s="1162">
        <v>6273006501</v>
      </c>
      <c r="AA88" s="1040" t="s">
        <v>469</v>
      </c>
      <c r="AB88" s="1040" t="s">
        <v>579</v>
      </c>
      <c r="AC88" s="1159">
        <v>10000000</v>
      </c>
      <c r="AD88" s="1158">
        <f t="shared" ref="AD88" si="31">AC88-AE88</f>
        <v>0</v>
      </c>
      <c r="AE88" s="1159">
        <v>10000000</v>
      </c>
      <c r="AF88" s="1159">
        <v>833333.33333333337</v>
      </c>
      <c r="AG88" s="1159">
        <v>833333.33333333337</v>
      </c>
      <c r="AH88" s="1159">
        <v>833333.33333333337</v>
      </c>
      <c r="AI88" s="1159">
        <v>833333.33333333337</v>
      </c>
      <c r="AJ88" s="1159">
        <v>833333.33333333337</v>
      </c>
      <c r="AK88" s="1159">
        <v>833333.33333333337</v>
      </c>
      <c r="AL88" s="1159">
        <v>833333.33333333337</v>
      </c>
      <c r="AM88" s="1159">
        <v>833333.33333333337</v>
      </c>
      <c r="AN88" s="1159">
        <v>833333.33333333337</v>
      </c>
      <c r="AO88" s="1159">
        <v>833333.33333333337</v>
      </c>
      <c r="AP88" s="1159">
        <v>833333.33333333337</v>
      </c>
      <c r="AQ88" s="1159">
        <v>833333.33333333337</v>
      </c>
      <c r="AR88" s="412">
        <f t="shared" ref="AR88" si="32">SUM(AF88:AQ88)</f>
        <v>10000000</v>
      </c>
      <c r="AS88" s="412">
        <f t="shared" ref="AS88" si="33">AE88-AR88</f>
        <v>0</v>
      </c>
    </row>
    <row r="89" spans="1:45" ht="39" customHeight="1" outlineLevel="1" x14ac:dyDescent="0.25">
      <c r="A89" s="450" t="s">
        <v>2172</v>
      </c>
      <c r="B89" s="450" t="s">
        <v>518</v>
      </c>
      <c r="C89" s="450" t="s">
        <v>518</v>
      </c>
      <c r="D89" s="450" t="s">
        <v>1691</v>
      </c>
      <c r="E89" s="684" t="s">
        <v>1685</v>
      </c>
      <c r="F89" s="450"/>
      <c r="G89" s="450"/>
      <c r="H89" s="684" t="s">
        <v>1694</v>
      </c>
      <c r="I89" s="1188"/>
      <c r="J89" s="1156">
        <v>2000000</v>
      </c>
      <c r="K89" s="450">
        <v>4</v>
      </c>
      <c r="L89" s="1156">
        <f>CAPEX_202510[[#This Row],[Đơn giá ( chưa bao gồm VAT)]]*CAPEX_202510[[#This Row],[Số lượng]]</f>
        <v>8000000</v>
      </c>
      <c r="M89" s="450"/>
      <c r="N89" s="1028">
        <v>46023</v>
      </c>
      <c r="O89" s="1143">
        <v>12</v>
      </c>
      <c r="P89" s="1040" t="str">
        <f>CAPEX_202510[[#This Row],[Loại tài sản]]</f>
        <v>Dụng cụ quản lý</v>
      </c>
      <c r="Q89" s="1194">
        <v>6423002402</v>
      </c>
      <c r="R89" s="1161"/>
      <c r="S89" s="1144"/>
      <c r="T89" s="682"/>
      <c r="U89" s="448"/>
      <c r="V89" s="448"/>
      <c r="W89" s="1146"/>
      <c r="X89" s="1030" t="s">
        <v>2175</v>
      </c>
      <c r="Y89" s="687" t="str">
        <f>LEFT(CAPEX_202510[[#This Row],[Mã tài khoản (Mã Chi phí_L4)]],3)</f>
        <v>642</v>
      </c>
      <c r="Z89" s="1162">
        <v>6423002402</v>
      </c>
      <c r="AA89" s="1040" t="s">
        <v>436</v>
      </c>
      <c r="AB89" s="1040" t="s">
        <v>580</v>
      </c>
      <c r="AC89" s="1159">
        <v>8000000</v>
      </c>
      <c r="AD89" s="1158">
        <f t="shared" ref="AD89" si="34">AC89-AE89</f>
        <v>0</v>
      </c>
      <c r="AE89" s="1159">
        <v>8000000</v>
      </c>
      <c r="AF89" s="1159">
        <v>2000000</v>
      </c>
      <c r="AG89" s="1159">
        <v>0</v>
      </c>
      <c r="AH89" s="1159">
        <v>0</v>
      </c>
      <c r="AI89" s="1159">
        <v>2000000</v>
      </c>
      <c r="AJ89" s="1159">
        <v>0</v>
      </c>
      <c r="AK89" s="1159">
        <v>0</v>
      </c>
      <c r="AL89" s="1159">
        <v>2000000</v>
      </c>
      <c r="AM89" s="1159">
        <v>0</v>
      </c>
      <c r="AN89" s="1159">
        <v>0</v>
      </c>
      <c r="AO89" s="1159">
        <v>2000000</v>
      </c>
      <c r="AP89" s="1159">
        <v>0</v>
      </c>
      <c r="AQ89" s="1159">
        <v>0</v>
      </c>
      <c r="AR89" s="412">
        <f t="shared" ref="AR89" si="35">SUM(AF89:AQ89)</f>
        <v>8000000</v>
      </c>
      <c r="AS89" s="412">
        <f t="shared" ref="AS89" si="36">AE89-AR89</f>
        <v>0</v>
      </c>
    </row>
    <row r="90" spans="1:45" ht="39" customHeight="1" outlineLevel="1" x14ac:dyDescent="0.25">
      <c r="A90" s="450" t="s">
        <v>2174</v>
      </c>
      <c r="B90" s="450" t="s">
        <v>518</v>
      </c>
      <c r="C90" s="450" t="s">
        <v>518</v>
      </c>
      <c r="D90" s="450" t="s">
        <v>1683</v>
      </c>
      <c r="E90" s="684" t="s">
        <v>1685</v>
      </c>
      <c r="F90" s="450"/>
      <c r="G90" s="450"/>
      <c r="H90" s="684" t="s">
        <v>1694</v>
      </c>
      <c r="I90" s="1188" t="s">
        <v>2200</v>
      </c>
      <c r="J90" s="1156">
        <v>2000000</v>
      </c>
      <c r="K90" s="450">
        <v>12</v>
      </c>
      <c r="L90" s="1156">
        <f>CAPEX_202510[[#This Row],[Đơn giá ( chưa bao gồm VAT)]]*CAPEX_202510[[#This Row],[Số lượng]]</f>
        <v>24000000</v>
      </c>
      <c r="M90" s="450"/>
      <c r="N90" s="1028">
        <v>46023</v>
      </c>
      <c r="O90" s="1143">
        <v>12</v>
      </c>
      <c r="P90" s="1040" t="str">
        <f>CAPEX_202510[[#This Row],[Loại tài sản]]</f>
        <v>Nhà cửa, vật kiến trúc</v>
      </c>
      <c r="Q90" s="1190" t="s">
        <v>2018</v>
      </c>
      <c r="R90" s="1161"/>
      <c r="S90" s="1144"/>
      <c r="T90" s="682"/>
      <c r="U90" s="448"/>
      <c r="V90" s="448"/>
      <c r="W90" s="1146"/>
      <c r="X90" s="1030" t="s">
        <v>2177</v>
      </c>
      <c r="Y90" s="687" t="str">
        <f>LEFT(CAPEX_202510[[#This Row],[Mã tài khoản (Mã Chi phí_L4)]],3)</f>
        <v>627</v>
      </c>
      <c r="Z90" s="1162">
        <v>6273002001</v>
      </c>
      <c r="AA90" s="1040" t="s">
        <v>606</v>
      </c>
      <c r="AB90" s="1040" t="s">
        <v>579</v>
      </c>
      <c r="AC90" s="1159">
        <v>24000000</v>
      </c>
      <c r="AD90" s="1158">
        <f t="shared" ref="AD90" si="37">AC90-AE90</f>
        <v>0</v>
      </c>
      <c r="AE90" s="1159">
        <v>24000000</v>
      </c>
      <c r="AF90" s="1159">
        <v>2000000</v>
      </c>
      <c r="AG90" s="1159">
        <v>2000000</v>
      </c>
      <c r="AH90" s="1159">
        <v>2000000</v>
      </c>
      <c r="AI90" s="1159">
        <v>2000000</v>
      </c>
      <c r="AJ90" s="1159">
        <v>2000000</v>
      </c>
      <c r="AK90" s="1159">
        <v>2000000</v>
      </c>
      <c r="AL90" s="1159">
        <v>2000000</v>
      </c>
      <c r="AM90" s="1159">
        <v>2000000</v>
      </c>
      <c r="AN90" s="1159">
        <v>2000000</v>
      </c>
      <c r="AO90" s="1159">
        <v>2000000</v>
      </c>
      <c r="AP90" s="1159">
        <v>2000000</v>
      </c>
      <c r="AQ90" s="1159">
        <v>2000000</v>
      </c>
      <c r="AR90" s="412">
        <f t="shared" ref="AR90" si="38">SUM(AF90:AQ90)</f>
        <v>24000000</v>
      </c>
      <c r="AS90" s="412">
        <f t="shared" ref="AS90" si="39">AE90-AR90</f>
        <v>0</v>
      </c>
    </row>
    <row r="91" spans="1:45" ht="39" customHeight="1" outlineLevel="1" x14ac:dyDescent="0.25">
      <c r="A91" s="450" t="s">
        <v>2176</v>
      </c>
      <c r="B91" s="450" t="s">
        <v>518</v>
      </c>
      <c r="C91" s="450" t="s">
        <v>518</v>
      </c>
      <c r="D91" s="450" t="s">
        <v>1683</v>
      </c>
      <c r="E91" s="684" t="s">
        <v>1685</v>
      </c>
      <c r="F91" s="450"/>
      <c r="G91" s="450"/>
      <c r="H91" s="684" t="s">
        <v>1694</v>
      </c>
      <c r="I91" s="1188"/>
      <c r="J91" s="1156">
        <v>416666.66666666669</v>
      </c>
      <c r="K91" s="450">
        <v>12</v>
      </c>
      <c r="L91" s="1156">
        <f>CAPEX_202510[[#This Row],[Đơn giá ( chưa bao gồm VAT)]]*CAPEX_202510[[#This Row],[Số lượng]]</f>
        <v>5000000</v>
      </c>
      <c r="M91" s="450"/>
      <c r="N91" s="1028">
        <v>46023</v>
      </c>
      <c r="O91" s="1143">
        <v>12</v>
      </c>
      <c r="P91" s="1040" t="str">
        <f>CAPEX_202510[[#This Row],[Loại tài sản]]</f>
        <v>Nhà cửa, vật kiến trúc</v>
      </c>
      <c r="Q91" s="1190" t="s">
        <v>2018</v>
      </c>
      <c r="R91" s="1161"/>
      <c r="S91" s="1144"/>
      <c r="T91" s="682"/>
      <c r="U91" s="448"/>
      <c r="V91" s="448"/>
      <c r="W91" s="1146"/>
      <c r="X91" s="1030" t="s">
        <v>2179</v>
      </c>
      <c r="Y91" s="687" t="str">
        <f>LEFT(CAPEX_202510[[#This Row],[Mã tài khoản (Mã Chi phí_L4)]],3)</f>
        <v>627</v>
      </c>
      <c r="Z91" s="1162">
        <v>6273002001</v>
      </c>
      <c r="AA91" s="1040" t="s">
        <v>606</v>
      </c>
      <c r="AB91" s="1040" t="s">
        <v>579</v>
      </c>
      <c r="AC91" s="1159">
        <v>5000000</v>
      </c>
      <c r="AD91" s="1158">
        <f t="shared" ref="AD91" si="40">AC91-AE91</f>
        <v>0</v>
      </c>
      <c r="AE91" s="1159">
        <v>5000000</v>
      </c>
      <c r="AF91" s="1159">
        <v>416666.66666666669</v>
      </c>
      <c r="AG91" s="1159">
        <v>416666.66666666669</v>
      </c>
      <c r="AH91" s="1159">
        <v>416666.66666666669</v>
      </c>
      <c r="AI91" s="1159">
        <v>416666.66666666669</v>
      </c>
      <c r="AJ91" s="1159">
        <v>416666.66666666669</v>
      </c>
      <c r="AK91" s="1159">
        <v>416666.66666666669</v>
      </c>
      <c r="AL91" s="1159">
        <v>416666.66666666669</v>
      </c>
      <c r="AM91" s="1159">
        <v>416666.66666666669</v>
      </c>
      <c r="AN91" s="1159">
        <v>416666.66666666669</v>
      </c>
      <c r="AO91" s="1159">
        <v>416666.66666666669</v>
      </c>
      <c r="AP91" s="1159">
        <v>416666.66666666669</v>
      </c>
      <c r="AQ91" s="1159">
        <v>416666.66666666669</v>
      </c>
      <c r="AR91" s="412">
        <f t="shared" ref="AR91" si="41">SUM(AF91:AQ91)</f>
        <v>5000000</v>
      </c>
      <c r="AS91" s="412">
        <f t="shared" ref="AS91" si="42">AE91-AR91</f>
        <v>0</v>
      </c>
    </row>
    <row r="92" spans="1:45" ht="39" customHeight="1" outlineLevel="1" x14ac:dyDescent="0.25">
      <c r="A92" s="450" t="s">
        <v>2178</v>
      </c>
      <c r="B92" s="450" t="s">
        <v>518</v>
      </c>
      <c r="C92" s="450" t="s">
        <v>518</v>
      </c>
      <c r="D92" s="450" t="s">
        <v>1702</v>
      </c>
      <c r="E92" s="684" t="s">
        <v>1685</v>
      </c>
      <c r="F92" s="450"/>
      <c r="G92" s="450"/>
      <c r="H92" s="684" t="s">
        <v>1694</v>
      </c>
      <c r="I92" s="1188" t="s">
        <v>2197</v>
      </c>
      <c r="J92" s="1156">
        <v>2275875</v>
      </c>
      <c r="K92" s="450">
        <v>12</v>
      </c>
      <c r="L92" s="1156">
        <f>CAPEX_202510[[#This Row],[Đơn giá ( chưa bao gồm VAT)]]*CAPEX_202510[[#This Row],[Số lượng]]</f>
        <v>27310500</v>
      </c>
      <c r="M92" s="450"/>
      <c r="N92" s="1028">
        <v>46023</v>
      </c>
      <c r="O92" s="1143">
        <v>12</v>
      </c>
      <c r="P92" s="1040" t="str">
        <f>CAPEX_202510[[#This Row],[Loại tài sản]]</f>
        <v>Phương tiện vận tải</v>
      </c>
      <c r="Q92" s="1190" t="s">
        <v>2018</v>
      </c>
      <c r="R92" s="1161"/>
      <c r="S92" s="1144"/>
      <c r="T92" s="682"/>
      <c r="U92" s="448"/>
      <c r="V92" s="448"/>
      <c r="W92" s="1146"/>
      <c r="X92" s="1030" t="s">
        <v>2181</v>
      </c>
      <c r="Y92" s="687" t="str">
        <f>LEFT(CAPEX_202510[[#This Row],[Mã tài khoản (Mã Chi phí_L4)]],3)</f>
        <v>627</v>
      </c>
      <c r="Z92" s="1162">
        <v>6277002204</v>
      </c>
      <c r="AA92" s="1040" t="s">
        <v>605</v>
      </c>
      <c r="AB92" s="1040" t="s">
        <v>579</v>
      </c>
      <c r="AC92" s="1159">
        <v>27310500</v>
      </c>
      <c r="AD92" s="1158">
        <f t="shared" ref="AD92" si="43">AC92-AE92</f>
        <v>0</v>
      </c>
      <c r="AE92" s="1159">
        <v>27310500</v>
      </c>
      <c r="AF92" s="1159">
        <v>2275875</v>
      </c>
      <c r="AG92" s="1159">
        <v>2275875</v>
      </c>
      <c r="AH92" s="1159">
        <v>2275875</v>
      </c>
      <c r="AI92" s="1159">
        <v>2275875</v>
      </c>
      <c r="AJ92" s="1159">
        <v>2275875</v>
      </c>
      <c r="AK92" s="1159">
        <v>2275875</v>
      </c>
      <c r="AL92" s="1159">
        <v>2275875</v>
      </c>
      <c r="AM92" s="1159">
        <v>2275875</v>
      </c>
      <c r="AN92" s="1159">
        <v>2275875</v>
      </c>
      <c r="AO92" s="1159">
        <v>2275875</v>
      </c>
      <c r="AP92" s="1159">
        <v>2275875</v>
      </c>
      <c r="AQ92" s="1159">
        <v>2275875</v>
      </c>
      <c r="AR92" s="412">
        <f t="shared" ref="AR92" si="44">SUM(AF92:AQ92)</f>
        <v>27310500</v>
      </c>
      <c r="AS92" s="412">
        <f t="shared" ref="AS92" si="45">AE92-AR92</f>
        <v>0</v>
      </c>
    </row>
    <row r="93" spans="1:45" ht="39" customHeight="1" outlineLevel="1" x14ac:dyDescent="0.25">
      <c r="A93" s="450" t="s">
        <v>2180</v>
      </c>
      <c r="B93" s="450" t="s">
        <v>522</v>
      </c>
      <c r="C93" s="450" t="s">
        <v>522</v>
      </c>
      <c r="D93" s="450" t="s">
        <v>1691</v>
      </c>
      <c r="E93" s="684" t="s">
        <v>1685</v>
      </c>
      <c r="F93" s="450"/>
      <c r="G93" s="450"/>
      <c r="H93" s="684" t="s">
        <v>1694</v>
      </c>
      <c r="I93" s="1188" t="s">
        <v>2095</v>
      </c>
      <c r="J93" s="1156">
        <v>1585667.5833333333</v>
      </c>
      <c r="K93" s="450">
        <v>12</v>
      </c>
      <c r="L93" s="1156">
        <f>CAPEX_202510[[#This Row],[Đơn giá ( chưa bao gồm VAT)]]*CAPEX_202510[[#This Row],[Số lượng]]</f>
        <v>19028011</v>
      </c>
      <c r="M93" s="450"/>
      <c r="N93" s="1028">
        <v>46023</v>
      </c>
      <c r="O93" s="1143">
        <v>12</v>
      </c>
      <c r="P93" s="1040" t="str">
        <f>CAPEX_202510[[#This Row],[Loại tài sản]]</f>
        <v>Dụng cụ quản lý</v>
      </c>
      <c r="Q93" s="1190" t="s">
        <v>2183</v>
      </c>
      <c r="R93" s="1161"/>
      <c r="S93" s="1144"/>
      <c r="T93" s="682"/>
      <c r="U93" s="448"/>
      <c r="V93" s="448"/>
      <c r="W93" s="1146"/>
      <c r="X93" s="1030" t="s">
        <v>485</v>
      </c>
      <c r="Y93" s="687" t="str">
        <f>LEFT(CAPEX_202510[[#This Row],[Mã tài khoản (Mã Chi phí_L4)]],3)</f>
        <v>627</v>
      </c>
      <c r="Z93" s="1162">
        <v>6277002301</v>
      </c>
      <c r="AA93" s="1040" t="s">
        <v>485</v>
      </c>
      <c r="AB93" s="1040" t="s">
        <v>577</v>
      </c>
      <c r="AC93" s="1159">
        <v>19028011</v>
      </c>
      <c r="AD93" s="1158">
        <f t="shared" ref="AD93:AD94" si="46">AC93-AE93</f>
        <v>0</v>
      </c>
      <c r="AE93" s="1159">
        <v>19028011</v>
      </c>
      <c r="AF93" s="1159">
        <v>1585667.5833333333</v>
      </c>
      <c r="AG93" s="1159">
        <v>1585667.5833333333</v>
      </c>
      <c r="AH93" s="1159">
        <v>1585667.5833333333</v>
      </c>
      <c r="AI93" s="1159">
        <v>1585667.5833333333</v>
      </c>
      <c r="AJ93" s="1159">
        <v>1585667.5833333333</v>
      </c>
      <c r="AK93" s="1159">
        <v>1585667.5833333333</v>
      </c>
      <c r="AL93" s="1159">
        <v>1585667.5833333333</v>
      </c>
      <c r="AM93" s="1159">
        <v>1585667.5833333333</v>
      </c>
      <c r="AN93" s="1159">
        <v>1585667.5833333333</v>
      </c>
      <c r="AO93" s="1159">
        <v>1585667.5833333333</v>
      </c>
      <c r="AP93" s="1159">
        <v>1585667.5833333333</v>
      </c>
      <c r="AQ93" s="1159">
        <v>1585667.5833333333</v>
      </c>
      <c r="AR93" s="412">
        <f t="shared" ref="AR93:AR94" si="47">SUM(AF93:AQ93)</f>
        <v>19028011</v>
      </c>
      <c r="AS93" s="412">
        <f t="shared" ref="AS93:AS94" si="48">AE93-AR93</f>
        <v>0</v>
      </c>
    </row>
    <row r="94" spans="1:45" ht="39" customHeight="1" outlineLevel="1" x14ac:dyDescent="0.25">
      <c r="A94" s="450" t="s">
        <v>2182</v>
      </c>
      <c r="B94" s="450" t="s">
        <v>518</v>
      </c>
      <c r="C94" s="450" t="s">
        <v>518</v>
      </c>
      <c r="D94" s="450" t="s">
        <v>1697</v>
      </c>
      <c r="E94" s="684" t="s">
        <v>1685</v>
      </c>
      <c r="F94" s="450"/>
      <c r="G94" s="450"/>
      <c r="H94" s="684" t="s">
        <v>1694</v>
      </c>
      <c r="I94" s="1188" t="s">
        <v>2198</v>
      </c>
      <c r="J94" s="1156">
        <v>490629.18214285705</v>
      </c>
      <c r="K94" s="450">
        <v>98</v>
      </c>
      <c r="L94" s="1156">
        <f>CAPEX_202510[[#This Row],[Đơn giá ( chưa bao gồm VAT)]]*CAPEX_202510[[#This Row],[Số lượng]]</f>
        <v>48081659.849999994</v>
      </c>
      <c r="M94" s="450"/>
      <c r="N94" s="1028">
        <v>46023</v>
      </c>
      <c r="O94" s="1143">
        <v>12</v>
      </c>
      <c r="P94" s="1040" t="str">
        <f>CAPEX_202510[[#This Row],[Loại tài sản]]</f>
        <v>Máy móc, thiết bị</v>
      </c>
      <c r="Q94" s="1190" t="s">
        <v>2018</v>
      </c>
      <c r="R94" s="1161"/>
      <c r="S94" s="1144"/>
      <c r="T94" s="682"/>
      <c r="U94" s="448"/>
      <c r="V94" s="448"/>
      <c r="W94" s="1146"/>
      <c r="X94" s="1030" t="s">
        <v>2185</v>
      </c>
      <c r="Y94" s="687" t="str">
        <f>LEFT(CAPEX_202510[[#This Row],[Mã tài khoản (Mã Chi phí_L4)]],3)</f>
        <v>627</v>
      </c>
      <c r="Z94" s="1162">
        <v>6273006501</v>
      </c>
      <c r="AA94" s="1040" t="s">
        <v>469</v>
      </c>
      <c r="AB94" s="1040" t="s">
        <v>579</v>
      </c>
      <c r="AC94" s="1159">
        <v>48081659.849999994</v>
      </c>
      <c r="AD94" s="1158">
        <f t="shared" si="46"/>
        <v>0</v>
      </c>
      <c r="AE94" s="1159">
        <v>48081659.849999994</v>
      </c>
      <c r="AF94" s="1159">
        <v>4522494.8999999994</v>
      </c>
      <c r="AG94" s="1159">
        <v>3679872</v>
      </c>
      <c r="AH94" s="1159">
        <v>2435922.2999999998</v>
      </c>
      <c r="AI94" s="1159">
        <v>5755644.3000000007</v>
      </c>
      <c r="AJ94" s="1159">
        <v>0</v>
      </c>
      <c r="AK94" s="1159">
        <v>9311381.0999999996</v>
      </c>
      <c r="AL94" s="1159">
        <v>3534999.3000000003</v>
      </c>
      <c r="AM94" s="1159">
        <v>5133377.5500000007</v>
      </c>
      <c r="AN94" s="1159">
        <v>1525923</v>
      </c>
      <c r="AO94" s="1159">
        <v>2625000</v>
      </c>
      <c r="AP94" s="1159">
        <v>909999.3</v>
      </c>
      <c r="AQ94" s="1159">
        <v>8647046.1000000015</v>
      </c>
      <c r="AR94" s="412">
        <f t="shared" si="47"/>
        <v>48081659.850000001</v>
      </c>
      <c r="AS94" s="412">
        <f t="shared" si="48"/>
        <v>0</v>
      </c>
    </row>
    <row r="95" spans="1:45" ht="39" customHeight="1" outlineLevel="1" x14ac:dyDescent="0.25">
      <c r="A95" s="450" t="s">
        <v>2184</v>
      </c>
      <c r="B95" s="450" t="s">
        <v>518</v>
      </c>
      <c r="C95" s="450" t="s">
        <v>518</v>
      </c>
      <c r="D95" s="450" t="s">
        <v>1697</v>
      </c>
      <c r="E95" s="684" t="s">
        <v>1685</v>
      </c>
      <c r="F95" s="450"/>
      <c r="G95" s="450"/>
      <c r="H95" s="684" t="s">
        <v>1694</v>
      </c>
      <c r="I95" s="1188" t="s">
        <v>1962</v>
      </c>
      <c r="J95" s="1156">
        <v>120000</v>
      </c>
      <c r="K95" s="450">
        <v>100</v>
      </c>
      <c r="L95" s="1156">
        <f>CAPEX_202510[[#This Row],[Đơn giá ( chưa bao gồm VAT)]]*CAPEX_202510[[#This Row],[Số lượng]]</f>
        <v>12000000</v>
      </c>
      <c r="M95" s="450"/>
      <c r="N95" s="1028">
        <v>46023</v>
      </c>
      <c r="O95" s="1143">
        <v>12</v>
      </c>
      <c r="P95" s="1040" t="str">
        <f>CAPEX_202510[[#This Row],[Loại tài sản]]</f>
        <v>Máy móc, thiết bị</v>
      </c>
      <c r="Q95" s="1190" t="s">
        <v>2018</v>
      </c>
      <c r="R95" s="1161"/>
      <c r="S95" s="1144"/>
      <c r="T95" s="682"/>
      <c r="U95" s="448"/>
      <c r="V95" s="448"/>
      <c r="W95" s="1146"/>
      <c r="X95" s="1030" t="s">
        <v>2187</v>
      </c>
      <c r="Y95" s="687" t="str">
        <f>LEFT(CAPEX_202510[[#This Row],[Mã tài khoản (Mã Chi phí_L4)]],3)</f>
        <v>627</v>
      </c>
      <c r="Z95" s="1162">
        <v>6273006501</v>
      </c>
      <c r="AA95" s="1040" t="s">
        <v>469</v>
      </c>
      <c r="AB95" s="1040" t="s">
        <v>579</v>
      </c>
      <c r="AC95" s="1159">
        <v>12000000</v>
      </c>
      <c r="AD95" s="1158">
        <f t="shared" ref="AD95" si="49">AC95-AE95</f>
        <v>0</v>
      </c>
      <c r="AE95" s="1159">
        <v>12000000</v>
      </c>
      <c r="AF95" s="1159">
        <v>1000000</v>
      </c>
      <c r="AG95" s="1159">
        <v>1000000</v>
      </c>
      <c r="AH95" s="1159">
        <v>1000000</v>
      </c>
      <c r="AI95" s="1159">
        <v>1000000</v>
      </c>
      <c r="AJ95" s="1159">
        <v>1000000</v>
      </c>
      <c r="AK95" s="1159">
        <v>1000000</v>
      </c>
      <c r="AL95" s="1159">
        <v>1000000</v>
      </c>
      <c r="AM95" s="1159">
        <v>1000000</v>
      </c>
      <c r="AN95" s="1159">
        <v>1000000</v>
      </c>
      <c r="AO95" s="1159">
        <v>1000000</v>
      </c>
      <c r="AP95" s="1159">
        <v>1000000</v>
      </c>
      <c r="AQ95" s="1159">
        <v>1000000</v>
      </c>
      <c r="AR95" s="412">
        <f t="shared" ref="AR95" si="50">SUM(AF95:AQ95)</f>
        <v>12000000</v>
      </c>
      <c r="AS95" s="412">
        <f t="shared" ref="AS95" si="51">AE95-AR95</f>
        <v>0</v>
      </c>
    </row>
    <row r="96" spans="1:45" ht="39" customHeight="1" outlineLevel="1" x14ac:dyDescent="0.25">
      <c r="A96" s="450" t="s">
        <v>2186</v>
      </c>
      <c r="B96" s="450" t="s">
        <v>518</v>
      </c>
      <c r="C96" s="450" t="s">
        <v>518</v>
      </c>
      <c r="D96" s="450" t="s">
        <v>1691</v>
      </c>
      <c r="E96" s="684" t="s">
        <v>1685</v>
      </c>
      <c r="F96" s="450"/>
      <c r="G96" s="450"/>
      <c r="H96" s="684" t="s">
        <v>1694</v>
      </c>
      <c r="I96" s="1188" t="s">
        <v>2200</v>
      </c>
      <c r="J96" s="1156">
        <v>2814000</v>
      </c>
      <c r="K96" s="450">
        <v>2</v>
      </c>
      <c r="L96" s="1156">
        <f>CAPEX_202510[[#This Row],[Đơn giá ( chưa bao gồm VAT)]]*CAPEX_202510[[#This Row],[Số lượng]]</f>
        <v>5628000</v>
      </c>
      <c r="M96" s="450"/>
      <c r="N96" s="1028">
        <v>46023</v>
      </c>
      <c r="O96" s="1143">
        <v>6</v>
      </c>
      <c r="P96" s="1040" t="str">
        <f>CAPEX_202510[[#This Row],[Loại tài sản]]</f>
        <v>Dụng cụ quản lý</v>
      </c>
      <c r="Q96" s="1190" t="s">
        <v>2018</v>
      </c>
      <c r="R96" s="1161"/>
      <c r="S96" s="1144"/>
      <c r="T96" s="682"/>
      <c r="U96" s="448"/>
      <c r="V96" s="448"/>
      <c r="W96" s="1146"/>
      <c r="X96" s="1030" t="s">
        <v>2189</v>
      </c>
      <c r="Y96" s="687" t="str">
        <f>LEFT(CAPEX_202510[[#This Row],[Mã tài khoản (Mã Chi phí_L4)]],3)</f>
        <v>627</v>
      </c>
      <c r="Z96" s="1162">
        <v>6273001908</v>
      </c>
      <c r="AA96" s="1040" t="s">
        <v>435</v>
      </c>
      <c r="AB96" s="1040" t="s">
        <v>580</v>
      </c>
      <c r="AC96" s="1159">
        <v>5628000</v>
      </c>
      <c r="AD96" s="1158">
        <f t="shared" ref="AD96" si="52">AC96-AE96</f>
        <v>0</v>
      </c>
      <c r="AE96" s="1159">
        <v>5628000</v>
      </c>
      <c r="AF96" s="1159">
        <v>938000</v>
      </c>
      <c r="AG96" s="1159">
        <v>938000</v>
      </c>
      <c r="AH96" s="1159">
        <v>938000</v>
      </c>
      <c r="AI96" s="1159">
        <v>938000</v>
      </c>
      <c r="AJ96" s="1159">
        <v>938000</v>
      </c>
      <c r="AK96" s="1159">
        <v>938000</v>
      </c>
      <c r="AL96" s="1159">
        <v>0</v>
      </c>
      <c r="AM96" s="1159">
        <v>0</v>
      </c>
      <c r="AN96" s="1159">
        <v>0</v>
      </c>
      <c r="AO96" s="1159">
        <v>0</v>
      </c>
      <c r="AP96" s="1159">
        <v>0</v>
      </c>
      <c r="AQ96" s="1159">
        <v>0</v>
      </c>
      <c r="AR96" s="412">
        <f t="shared" ref="AR96" si="53">SUM(AF96:AQ96)</f>
        <v>5628000</v>
      </c>
      <c r="AS96" s="412">
        <f t="shared" ref="AS96" si="54">AE96-AR96</f>
        <v>0</v>
      </c>
    </row>
    <row r="97" spans="1:45" ht="39" customHeight="1" outlineLevel="1" x14ac:dyDescent="0.25">
      <c r="A97" s="450" t="s">
        <v>2188</v>
      </c>
      <c r="B97" s="1188" t="s">
        <v>521</v>
      </c>
      <c r="C97" s="1188" t="s">
        <v>521</v>
      </c>
      <c r="D97" s="450" t="s">
        <v>1691</v>
      </c>
      <c r="E97" s="684" t="s">
        <v>1685</v>
      </c>
      <c r="F97" s="450"/>
      <c r="G97" s="450"/>
      <c r="H97" s="684" t="s">
        <v>1694</v>
      </c>
      <c r="I97" s="1188" t="s">
        <v>2199</v>
      </c>
      <c r="J97" s="1156">
        <v>1230361.5625</v>
      </c>
      <c r="K97" s="450">
        <v>12</v>
      </c>
      <c r="L97" s="1156">
        <f>CAPEX_202510[[#This Row],[Đơn giá ( chưa bao gồm VAT)]]*CAPEX_202510[[#This Row],[Số lượng]]</f>
        <v>14764338.75</v>
      </c>
      <c r="M97" s="450"/>
      <c r="N97" s="1028">
        <v>46023</v>
      </c>
      <c r="O97" s="1143">
        <v>12</v>
      </c>
      <c r="P97" s="1040" t="str">
        <f>CAPEX_202510[[#This Row],[Loại tài sản]]</f>
        <v>Dụng cụ quản lý</v>
      </c>
      <c r="Q97" s="1190" t="s">
        <v>2027</v>
      </c>
      <c r="R97" s="1161"/>
      <c r="S97" s="1144"/>
      <c r="T97" s="682"/>
      <c r="U97" s="448"/>
      <c r="V97" s="448"/>
      <c r="W97" s="1146"/>
      <c r="X97" s="1030" t="s">
        <v>2191</v>
      </c>
      <c r="Y97" s="687" t="str">
        <f>LEFT(CAPEX_202510[[#This Row],[Mã tài khoản (Mã Chi phí_L4)]],3)</f>
        <v>627</v>
      </c>
      <c r="Z97" s="1162">
        <v>6277003101</v>
      </c>
      <c r="AA97" s="1040" t="s">
        <v>441</v>
      </c>
      <c r="AB97" s="1040" t="s">
        <v>570</v>
      </c>
      <c r="AC97" s="1159">
        <v>14764338.75</v>
      </c>
      <c r="AD97" s="1158">
        <f t="shared" ref="AD97" si="55">AC97-AE97</f>
        <v>0</v>
      </c>
      <c r="AE97" s="1159">
        <v>14764338.75</v>
      </c>
      <c r="AF97" s="1159">
        <v>1230361.5625</v>
      </c>
      <c r="AG97" s="1159">
        <v>1230361.5625</v>
      </c>
      <c r="AH97" s="1159">
        <v>1230361.5625</v>
      </c>
      <c r="AI97" s="1159">
        <v>1230361.5625</v>
      </c>
      <c r="AJ97" s="1159">
        <v>1230361.5625</v>
      </c>
      <c r="AK97" s="1159">
        <v>1230361.5625</v>
      </c>
      <c r="AL97" s="1159">
        <v>1230361.5625</v>
      </c>
      <c r="AM97" s="1159">
        <v>1230361.5625</v>
      </c>
      <c r="AN97" s="1159">
        <v>1230361.5625</v>
      </c>
      <c r="AO97" s="1159">
        <v>1230361.5625</v>
      </c>
      <c r="AP97" s="1159">
        <v>1230361.5625</v>
      </c>
      <c r="AQ97" s="1159">
        <v>1230361.5625</v>
      </c>
      <c r="AR97" s="412">
        <f t="shared" ref="AR97" si="56">SUM(AF97:AQ97)</f>
        <v>14764338.75</v>
      </c>
      <c r="AS97" s="412">
        <f t="shared" ref="AS97" si="57">AE97-AR97</f>
        <v>0</v>
      </c>
    </row>
    <row r="98" spans="1:45" ht="39" customHeight="1" outlineLevel="1" x14ac:dyDescent="0.25">
      <c r="A98" s="450" t="s">
        <v>2190</v>
      </c>
      <c r="B98" s="1188" t="s">
        <v>521</v>
      </c>
      <c r="C98" s="1188" t="s">
        <v>521</v>
      </c>
      <c r="D98" s="450" t="s">
        <v>1691</v>
      </c>
      <c r="E98" s="684" t="s">
        <v>1685</v>
      </c>
      <c r="F98" s="450"/>
      <c r="G98" s="450"/>
      <c r="H98" s="684" t="s">
        <v>1694</v>
      </c>
      <c r="I98" s="1188" t="s">
        <v>2201</v>
      </c>
      <c r="J98" s="1156">
        <v>1527804.5125000002</v>
      </c>
      <c r="K98" s="450">
        <v>12</v>
      </c>
      <c r="L98" s="1156">
        <f>CAPEX_202510[[#This Row],[Đơn giá ( chưa bao gồm VAT)]]*CAPEX_202510[[#This Row],[Số lượng]]</f>
        <v>18333654.150000002</v>
      </c>
      <c r="M98" s="450"/>
      <c r="N98" s="1028">
        <v>46023</v>
      </c>
      <c r="O98" s="1143">
        <v>12</v>
      </c>
      <c r="P98" s="1040" t="str">
        <f>CAPEX_202510[[#This Row],[Loại tài sản]]</f>
        <v>Dụng cụ quản lý</v>
      </c>
      <c r="Q98" s="1190" t="s">
        <v>2027</v>
      </c>
      <c r="R98" s="1161"/>
      <c r="S98" s="1144"/>
      <c r="T98" s="682"/>
      <c r="U98" s="448"/>
      <c r="V98" s="448"/>
      <c r="W98" s="1146"/>
      <c r="X98" s="1030" t="s">
        <v>2193</v>
      </c>
      <c r="Y98" s="687" t="str">
        <f>LEFT(CAPEX_202510[[#This Row],[Mã tài khoản (Mã Chi phí_L4)]],3)</f>
        <v>642</v>
      </c>
      <c r="Z98" s="1162">
        <v>6427003101</v>
      </c>
      <c r="AA98" s="1040" t="s">
        <v>441</v>
      </c>
      <c r="AB98" s="1040" t="s">
        <v>570</v>
      </c>
      <c r="AC98" s="1159">
        <v>18333654.150000002</v>
      </c>
      <c r="AD98" s="1158">
        <f t="shared" ref="AD98:AD100" si="58">AC98-AE98</f>
        <v>0</v>
      </c>
      <c r="AE98" s="1159">
        <v>18333654.150000002</v>
      </c>
      <c r="AF98" s="1159">
        <v>1527804.5125000002</v>
      </c>
      <c r="AG98" s="1159">
        <v>1527804.5125000002</v>
      </c>
      <c r="AH98" s="1159">
        <v>1527804.5125000002</v>
      </c>
      <c r="AI98" s="1159">
        <v>1527804.5125000002</v>
      </c>
      <c r="AJ98" s="1159">
        <v>1527804.5125000002</v>
      </c>
      <c r="AK98" s="1159">
        <v>1527804.5125000002</v>
      </c>
      <c r="AL98" s="1159">
        <v>1527804.5125000002</v>
      </c>
      <c r="AM98" s="1159">
        <v>1527804.5125000002</v>
      </c>
      <c r="AN98" s="1159">
        <v>1527804.5125000002</v>
      </c>
      <c r="AO98" s="1159">
        <v>1527804.5125000002</v>
      </c>
      <c r="AP98" s="1159">
        <v>1527804.5125000002</v>
      </c>
      <c r="AQ98" s="1159">
        <v>1527804.5125000002</v>
      </c>
      <c r="AR98" s="412">
        <f t="shared" ref="AR98:AR101" si="59">SUM(AF98:AQ98)</f>
        <v>18333654.149999999</v>
      </c>
      <c r="AS98" s="412">
        <f t="shared" ref="AS98:AS99" si="60">AE98-AR98</f>
        <v>0</v>
      </c>
    </row>
    <row r="99" spans="1:45" ht="48.65" customHeight="1" outlineLevel="1" x14ac:dyDescent="0.25">
      <c r="A99" s="450" t="s">
        <v>2192</v>
      </c>
      <c r="B99" s="450" t="s">
        <v>518</v>
      </c>
      <c r="C99" s="450" t="s">
        <v>518</v>
      </c>
      <c r="D99" s="450" t="s">
        <v>1691</v>
      </c>
      <c r="E99" s="684" t="s">
        <v>1685</v>
      </c>
      <c r="F99" s="450"/>
      <c r="G99" s="450"/>
      <c r="H99" s="684" t="s">
        <v>1694</v>
      </c>
      <c r="I99" s="1188" t="s">
        <v>2202</v>
      </c>
      <c r="J99" s="1156">
        <v>1300000</v>
      </c>
      <c r="K99" s="450">
        <v>15</v>
      </c>
      <c r="L99" s="1156">
        <f>CAPEX_202510[[#This Row],[Đơn giá ( chưa bao gồm VAT)]]*CAPEX_202510[[#This Row],[Số lượng]]</f>
        <v>19500000</v>
      </c>
      <c r="M99" s="450"/>
      <c r="N99" s="1028">
        <v>46023</v>
      </c>
      <c r="O99" s="1143">
        <v>12</v>
      </c>
      <c r="P99" s="1040" t="str">
        <f>CAPEX_202510[[#This Row],[Loại tài sản]]</f>
        <v>Dụng cụ quản lý</v>
      </c>
      <c r="Q99" s="1190" t="s">
        <v>2018</v>
      </c>
      <c r="R99" s="1161"/>
      <c r="S99" s="1144"/>
      <c r="T99" s="682"/>
      <c r="U99" s="448"/>
      <c r="V99" s="448"/>
      <c r="W99" s="1146"/>
      <c r="X99" s="1030" t="s">
        <v>2194</v>
      </c>
      <c r="Y99" s="687" t="str">
        <f>LEFT(CAPEX_202510[[#This Row],[Mã tài khoản (Mã Chi phí_L4)]],3)</f>
        <v>627</v>
      </c>
      <c r="Z99" s="1162" t="s">
        <v>1070</v>
      </c>
      <c r="AA99" s="1040" t="s">
        <v>1071</v>
      </c>
      <c r="AB99" s="1040" t="s">
        <v>594</v>
      </c>
      <c r="AC99" s="1159">
        <v>19500000</v>
      </c>
      <c r="AD99" s="1158">
        <f t="shared" si="58"/>
        <v>0</v>
      </c>
      <c r="AE99" s="1159">
        <v>19500000</v>
      </c>
      <c r="AF99" s="1159">
        <v>2750000</v>
      </c>
      <c r="AG99" s="1159">
        <v>1250000</v>
      </c>
      <c r="AH99" s="1159">
        <v>1250000</v>
      </c>
      <c r="AI99" s="1159">
        <v>1250000</v>
      </c>
      <c r="AJ99" s="1159">
        <v>1250000</v>
      </c>
      <c r="AK99" s="1159">
        <v>2750000</v>
      </c>
      <c r="AL99" s="1159">
        <v>1250000</v>
      </c>
      <c r="AM99" s="1159">
        <v>1250000</v>
      </c>
      <c r="AN99" s="1159">
        <v>1250000</v>
      </c>
      <c r="AO99" s="1159">
        <v>1250000</v>
      </c>
      <c r="AP99" s="1159">
        <v>1250000</v>
      </c>
      <c r="AQ99" s="1159">
        <v>2750000</v>
      </c>
      <c r="AR99" s="412">
        <f t="shared" si="59"/>
        <v>19500000</v>
      </c>
      <c r="AS99" s="412">
        <f t="shared" si="60"/>
        <v>0</v>
      </c>
    </row>
    <row r="100" spans="1:45" ht="39" customHeight="1" outlineLevel="1" x14ac:dyDescent="0.25">
      <c r="A100" s="450" t="s">
        <v>2203</v>
      </c>
      <c r="B100" s="1188" t="s">
        <v>521</v>
      </c>
      <c r="C100" s="1188" t="s">
        <v>521</v>
      </c>
      <c r="D100" s="450" t="s">
        <v>1691</v>
      </c>
      <c r="E100" s="684" t="s">
        <v>1685</v>
      </c>
      <c r="F100" s="450"/>
      <c r="G100" s="450"/>
      <c r="H100" s="684" t="s">
        <v>1694</v>
      </c>
      <c r="I100" s="1188" t="s">
        <v>1982</v>
      </c>
      <c r="J100" s="1156">
        <v>30550000</v>
      </c>
      <c r="K100" s="450">
        <v>2</v>
      </c>
      <c r="L100" s="1156">
        <f>CAPEX_202510[[#This Row],[Đơn giá ( chưa bao gồm VAT)]]*CAPEX_202510[[#This Row],[Số lượng]]</f>
        <v>61100000</v>
      </c>
      <c r="M100" s="450"/>
      <c r="N100" s="1028">
        <v>46023</v>
      </c>
      <c r="O100" s="1143">
        <v>36</v>
      </c>
      <c r="P100" s="1040" t="str">
        <f>CAPEX_202510[[#This Row],[Loại tài sản]]</f>
        <v>Dụng cụ quản lý</v>
      </c>
      <c r="Q100" s="1194" t="s">
        <v>2020</v>
      </c>
      <c r="R100" s="1161"/>
      <c r="S100" s="1144"/>
      <c r="T100" s="682"/>
      <c r="U100" s="448"/>
      <c r="V100" s="448"/>
      <c r="W100" s="1146"/>
      <c r="X100" s="1030" t="s">
        <v>1983</v>
      </c>
      <c r="Y100" s="687" t="str">
        <f>LEFT(CAPEX_202510[[#This Row],[Mã tài khoản (Mã Chi phí_L4)]],3)</f>
        <v>642</v>
      </c>
      <c r="Z100" s="1162">
        <v>6423002402</v>
      </c>
      <c r="AA100" s="1040" t="s">
        <v>436</v>
      </c>
      <c r="AB100" s="1040" t="s">
        <v>580</v>
      </c>
      <c r="AC100" s="1159">
        <v>61100000</v>
      </c>
      <c r="AD100" s="1158">
        <f t="shared" si="58"/>
        <v>0</v>
      </c>
      <c r="AE100" s="1159">
        <v>61100000</v>
      </c>
      <c r="AF100" s="1159">
        <v>1697222.2222222222</v>
      </c>
      <c r="AG100" s="1159">
        <v>1697222.2222222222</v>
      </c>
      <c r="AH100" s="1159">
        <v>1697222.2222222222</v>
      </c>
      <c r="AI100" s="1159">
        <v>1697222.2222222222</v>
      </c>
      <c r="AJ100" s="1159">
        <v>1697222.2222222222</v>
      </c>
      <c r="AK100" s="1159">
        <v>1697222.2222222222</v>
      </c>
      <c r="AL100" s="1159">
        <v>1697222.2222222222</v>
      </c>
      <c r="AM100" s="1159">
        <v>1697222.2222222222</v>
      </c>
      <c r="AN100" s="1159">
        <v>1697222.2222222222</v>
      </c>
      <c r="AO100" s="1159">
        <v>1697222.2222222222</v>
      </c>
      <c r="AP100" s="1159">
        <v>1697222.2222222222</v>
      </c>
      <c r="AQ100" s="1159">
        <v>1697222.2222222222</v>
      </c>
      <c r="AR100" s="412">
        <f t="shared" si="59"/>
        <v>20366666.666666672</v>
      </c>
      <c r="AS100" s="412">
        <f>AE100-AR100</f>
        <v>40733333.333333328</v>
      </c>
    </row>
    <row r="101" spans="1:45" ht="22.5" customHeight="1" outlineLevel="1" x14ac:dyDescent="0.25">
      <c r="A101" s="450" t="s">
        <v>2204</v>
      </c>
      <c r="B101" s="1188" t="s">
        <v>521</v>
      </c>
      <c r="C101" s="1188" t="s">
        <v>521</v>
      </c>
      <c r="D101" s="450" t="s">
        <v>1691</v>
      </c>
      <c r="E101" s="684" t="s">
        <v>1685</v>
      </c>
      <c r="F101" s="450"/>
      <c r="G101" s="450"/>
      <c r="H101" s="684" t="s">
        <v>1694</v>
      </c>
      <c r="I101" s="1188" t="s">
        <v>1988</v>
      </c>
      <c r="J101" s="1156">
        <v>31500000</v>
      </c>
      <c r="K101" s="450">
        <v>1</v>
      </c>
      <c r="L101" s="1156">
        <f>CAPEX_202510[[#This Row],[Đơn giá ( chưa bao gồm VAT)]]*CAPEX_202510[[#This Row],[Số lượng]]</f>
        <v>31500000</v>
      </c>
      <c r="M101" s="450"/>
      <c r="N101" s="1028">
        <v>46023</v>
      </c>
      <c r="O101" s="1143">
        <v>36</v>
      </c>
      <c r="P101" s="1040" t="str">
        <f>CAPEX_202510[[#This Row],[Loại tài sản]]</f>
        <v>Dụng cụ quản lý</v>
      </c>
      <c r="Q101" s="1194" t="s">
        <v>2020</v>
      </c>
      <c r="R101" s="1161"/>
      <c r="S101" s="1144"/>
      <c r="T101" s="682"/>
      <c r="U101" s="448"/>
      <c r="V101" s="448"/>
      <c r="W101" s="1146"/>
      <c r="X101" s="1030" t="s">
        <v>1989</v>
      </c>
      <c r="Y101" s="687" t="str">
        <f>LEFT(CAPEX_202510[[#This Row],[Mã tài khoản (Mã Chi phí_L4)]],3)</f>
        <v>642</v>
      </c>
      <c r="Z101" s="1162">
        <v>6423002402</v>
      </c>
      <c r="AA101" s="1040" t="s">
        <v>436</v>
      </c>
      <c r="AB101" s="1040" t="s">
        <v>580</v>
      </c>
      <c r="AC101" s="1159">
        <v>31500000</v>
      </c>
      <c r="AD101" s="1158"/>
      <c r="AE101" s="1159">
        <v>31500000</v>
      </c>
      <c r="AF101" s="1159">
        <v>875000</v>
      </c>
      <c r="AG101" s="1159">
        <v>875000</v>
      </c>
      <c r="AH101" s="1159">
        <v>875000</v>
      </c>
      <c r="AI101" s="1159">
        <v>875000</v>
      </c>
      <c r="AJ101" s="1159">
        <v>875000</v>
      </c>
      <c r="AK101" s="1159">
        <v>875000</v>
      </c>
      <c r="AL101" s="1159">
        <v>875000</v>
      </c>
      <c r="AM101" s="1159">
        <v>875000</v>
      </c>
      <c r="AN101" s="1159">
        <v>875000</v>
      </c>
      <c r="AO101" s="1159">
        <v>875000</v>
      </c>
      <c r="AP101" s="1159">
        <v>875000</v>
      </c>
      <c r="AQ101" s="1159">
        <v>875000</v>
      </c>
      <c r="AR101" s="412">
        <f t="shared" si="59"/>
        <v>10500000</v>
      </c>
      <c r="AS101" s="412">
        <f>AE101-AR101</f>
        <v>21000000</v>
      </c>
    </row>
    <row r="102" spans="1:45" ht="24.65" customHeight="1" outlineLevel="1" x14ac:dyDescent="0.25">
      <c r="A102" s="450" t="s">
        <v>2205</v>
      </c>
      <c r="B102" s="1188" t="s">
        <v>521</v>
      </c>
      <c r="C102" s="1188" t="s">
        <v>521</v>
      </c>
      <c r="D102" s="450" t="s">
        <v>1691</v>
      </c>
      <c r="E102" s="684" t="s">
        <v>1685</v>
      </c>
      <c r="F102" s="450"/>
      <c r="G102" s="450"/>
      <c r="H102" s="684" t="s">
        <v>1694</v>
      </c>
      <c r="I102" s="450" t="s">
        <v>2209</v>
      </c>
      <c r="J102" s="1156">
        <v>23971111.111111108</v>
      </c>
      <c r="K102" s="450">
        <v>1</v>
      </c>
      <c r="L102" s="1156">
        <f>CAPEX_202510[[#This Row],[Đơn giá ( chưa bao gồm VAT)]]*CAPEX_202510[[#This Row],[Số lượng]]</f>
        <v>23971111.111111108</v>
      </c>
      <c r="M102" s="450"/>
      <c r="N102" s="1028">
        <v>46023</v>
      </c>
      <c r="O102" s="1143">
        <v>12</v>
      </c>
      <c r="P102" s="1040" t="str">
        <f>CAPEX_202510[[#This Row],[Loại tài sản]]</f>
        <v>Dụng cụ quản lý</v>
      </c>
      <c r="Q102" s="1194">
        <v>6423003002</v>
      </c>
      <c r="R102" s="1161" t="str">
        <f>LEFT(CAPEX_202510[[#This Row],[Tài khoản COA chi phí khấu hao]],3)</f>
        <v>642</v>
      </c>
      <c r="S102" s="1144"/>
      <c r="T102" s="682"/>
      <c r="U102" s="448"/>
      <c r="V102" s="448"/>
      <c r="W102" s="1146"/>
      <c r="X102" s="1030" t="s">
        <v>2206</v>
      </c>
      <c r="Y102" s="687" t="str">
        <f>LEFT(CAPEX_202510[[#This Row],[Mã tài khoản (Mã Chi phí_L4)]],3)</f>
        <v>642</v>
      </c>
      <c r="Z102" s="1162">
        <v>6423003002</v>
      </c>
      <c r="AA102" s="1040" t="s">
        <v>449</v>
      </c>
      <c r="AB102" s="1040" t="s">
        <v>580</v>
      </c>
      <c r="AC102" s="1159">
        <v>23971111.111111108</v>
      </c>
      <c r="AD102" s="1158">
        <f>AC102-AE102</f>
        <v>0</v>
      </c>
      <c r="AE102" s="1159">
        <v>23971111.111111108</v>
      </c>
      <c r="AF102" s="1159">
        <v>1997592.5925925924</v>
      </c>
      <c r="AG102" s="1159">
        <v>1997592.5925925924</v>
      </c>
      <c r="AH102" s="1159">
        <v>1997592.5925925924</v>
      </c>
      <c r="AI102" s="1159">
        <v>1997592.5925925924</v>
      </c>
      <c r="AJ102" s="1159">
        <v>1997592.5925925924</v>
      </c>
      <c r="AK102" s="1159">
        <v>1997592.5925925924</v>
      </c>
      <c r="AL102" s="1159">
        <v>1997592.5925925924</v>
      </c>
      <c r="AM102" s="1159">
        <v>1997592.5925925924</v>
      </c>
      <c r="AN102" s="1159">
        <v>1997592.5925925924</v>
      </c>
      <c r="AO102" s="1159">
        <v>1997592.5925925924</v>
      </c>
      <c r="AP102" s="1159">
        <v>1997592.5925925924</v>
      </c>
      <c r="AQ102" s="1159">
        <v>1997592.5925925924</v>
      </c>
      <c r="AR102" s="412">
        <f>SUM(AF102:AQ102)</f>
        <v>23971111.111111116</v>
      </c>
      <c r="AS102" s="412">
        <f t="shared" ref="AS102:AS112" si="61">AE102-AR102</f>
        <v>0</v>
      </c>
    </row>
    <row r="103" spans="1:45" ht="27.65" customHeight="1" outlineLevel="1" x14ac:dyDescent="0.25">
      <c r="A103" s="450" t="s">
        <v>2207</v>
      </c>
      <c r="B103" s="1188" t="s">
        <v>521</v>
      </c>
      <c r="C103" s="1188" t="s">
        <v>521</v>
      </c>
      <c r="D103" s="450" t="s">
        <v>1691</v>
      </c>
      <c r="E103" s="684" t="s">
        <v>1685</v>
      </c>
      <c r="F103" s="450"/>
      <c r="G103" s="450"/>
      <c r="H103" s="684" t="s">
        <v>1694</v>
      </c>
      <c r="I103" s="450" t="s">
        <v>2208</v>
      </c>
      <c r="J103" s="1156">
        <v>30962000</v>
      </c>
      <c r="K103" s="450">
        <v>1</v>
      </c>
      <c r="L103" s="1156">
        <f>CAPEX_202510[[#This Row],[Đơn giá ( chưa bao gồm VAT)]]*CAPEX_202510[[#This Row],[Số lượng]]</f>
        <v>30962000</v>
      </c>
      <c r="M103" s="450"/>
      <c r="N103" s="1028">
        <v>46023</v>
      </c>
      <c r="O103" s="1143">
        <v>12</v>
      </c>
      <c r="P103" s="1040" t="str">
        <f>CAPEX_202510[[#This Row],[Loại tài sản]]</f>
        <v>Dụng cụ quản lý</v>
      </c>
      <c r="Q103" s="1194">
        <v>6427004903</v>
      </c>
      <c r="R103" s="1161"/>
      <c r="S103" s="1144"/>
      <c r="T103" s="682"/>
      <c r="U103" s="448"/>
      <c r="V103" s="448"/>
      <c r="W103" s="1146"/>
      <c r="X103" s="1030" t="s">
        <v>444</v>
      </c>
      <c r="Y103" s="687" t="str">
        <f>LEFT(CAPEX_202510[[#This Row],[Mã tài khoản (Mã Chi phí_L4)]],3)</f>
        <v>642</v>
      </c>
      <c r="Z103" s="1162">
        <v>6427004903</v>
      </c>
      <c r="AA103" s="1040" t="s">
        <v>444</v>
      </c>
      <c r="AB103" s="1040" t="s">
        <v>592</v>
      </c>
      <c r="AC103" s="1159">
        <v>30962000</v>
      </c>
      <c r="AD103" s="1158">
        <f>AC103-AE103</f>
        <v>0</v>
      </c>
      <c r="AE103" s="1159">
        <v>30962000</v>
      </c>
      <c r="AF103" s="1159">
        <v>2580166.666666667</v>
      </c>
      <c r="AG103" s="1159">
        <v>2580166.666666667</v>
      </c>
      <c r="AH103" s="1159">
        <v>2580166.666666667</v>
      </c>
      <c r="AI103" s="1159">
        <v>2580166.666666667</v>
      </c>
      <c r="AJ103" s="1159">
        <v>2580166.666666667</v>
      </c>
      <c r="AK103" s="1159">
        <v>2580166.666666667</v>
      </c>
      <c r="AL103" s="1159">
        <v>2580166.666666667</v>
      </c>
      <c r="AM103" s="1159">
        <v>2580166.666666667</v>
      </c>
      <c r="AN103" s="1159">
        <v>2580166.666666667</v>
      </c>
      <c r="AO103" s="1159">
        <v>2580166.666666667</v>
      </c>
      <c r="AP103" s="1159">
        <v>2580166.666666667</v>
      </c>
      <c r="AQ103" s="1159">
        <v>2580166.666666667</v>
      </c>
      <c r="AR103" s="412">
        <f t="shared" si="1"/>
        <v>30962000.000000011</v>
      </c>
      <c r="AS103" s="412">
        <f t="shared" si="61"/>
        <v>0</v>
      </c>
    </row>
    <row r="104" spans="1:45" ht="27.65" customHeight="1" outlineLevel="1" x14ac:dyDescent="0.25">
      <c r="A104" s="450" t="s">
        <v>2211</v>
      </c>
      <c r="B104" s="1188" t="s">
        <v>521</v>
      </c>
      <c r="C104" s="1188" t="s">
        <v>521</v>
      </c>
      <c r="D104" s="450" t="s">
        <v>1691</v>
      </c>
      <c r="E104" s="684" t="s">
        <v>1685</v>
      </c>
      <c r="F104" s="450"/>
      <c r="G104" s="450"/>
      <c r="H104" s="684" t="s">
        <v>1694</v>
      </c>
      <c r="I104" s="450"/>
      <c r="J104" s="1156">
        <v>41965854.748603351</v>
      </c>
      <c r="K104" s="450">
        <v>1</v>
      </c>
      <c r="L104" s="1156">
        <f>CAPEX_202510[[#This Row],[Đơn giá ( chưa bao gồm VAT)]]*CAPEX_202510[[#This Row],[Số lượng]]</f>
        <v>41965854.748603351</v>
      </c>
      <c r="M104" s="450"/>
      <c r="N104" s="1028">
        <v>46023</v>
      </c>
      <c r="O104" s="1143">
        <v>12</v>
      </c>
      <c r="P104" s="1040" t="str">
        <f>CAPEX_202510[[#This Row],[Loại tài sản]]</f>
        <v>Dụng cụ quản lý</v>
      </c>
      <c r="Q104" s="1194" t="s">
        <v>2021</v>
      </c>
      <c r="R104" s="1161" t="str">
        <f>LEFT(CAPEX_202510[[#This Row],[Tài khoản COA chi phí khấu hao]],3)</f>
        <v>642</v>
      </c>
      <c r="S104" s="1144"/>
      <c r="T104" s="682"/>
      <c r="U104" s="448"/>
      <c r="V104" s="448"/>
      <c r="W104" s="1146"/>
      <c r="X104" s="1030" t="s">
        <v>2212</v>
      </c>
      <c r="Y104" s="687" t="str">
        <f>LEFT(CAPEX_202510[[#This Row],[Mã tài khoản (Mã Chi phí_L4)]],3)</f>
        <v>642</v>
      </c>
      <c r="Z104" s="1162" t="s">
        <v>1494</v>
      </c>
      <c r="AA104" s="1040" t="s">
        <v>1018</v>
      </c>
      <c r="AB104" s="1040" t="s">
        <v>1019</v>
      </c>
      <c r="AC104" s="1159">
        <v>41965854.748603351</v>
      </c>
      <c r="AD104" s="1158">
        <f t="shared" ref="AD104" si="62">AC104-AE104</f>
        <v>0</v>
      </c>
      <c r="AE104" s="1159">
        <v>41965854.748603351</v>
      </c>
      <c r="AF104" s="1159">
        <v>3497154.5623836126</v>
      </c>
      <c r="AG104" s="1159">
        <v>3497154.5623836126</v>
      </c>
      <c r="AH104" s="1159">
        <v>3497154.5623836126</v>
      </c>
      <c r="AI104" s="1159">
        <v>3497154.5623836126</v>
      </c>
      <c r="AJ104" s="1159">
        <v>3497154.5623836126</v>
      </c>
      <c r="AK104" s="1159">
        <v>3497154.5623836126</v>
      </c>
      <c r="AL104" s="1159">
        <v>3497154.5623836126</v>
      </c>
      <c r="AM104" s="1159">
        <v>3497154.5623836126</v>
      </c>
      <c r="AN104" s="1159">
        <v>3497154.5623836126</v>
      </c>
      <c r="AO104" s="1159">
        <v>3497154.5623836126</v>
      </c>
      <c r="AP104" s="1159">
        <v>3497154.5623836126</v>
      </c>
      <c r="AQ104" s="1159">
        <v>3497154.5623836126</v>
      </c>
      <c r="AR104" s="412">
        <f t="shared" ref="AR104" si="63">SUM(AF104:AQ104)</f>
        <v>41965854.748603366</v>
      </c>
      <c r="AS104" s="412">
        <f t="shared" si="61"/>
        <v>0</v>
      </c>
    </row>
    <row r="105" spans="1:45" ht="27.65" customHeight="1" outlineLevel="1" x14ac:dyDescent="0.25">
      <c r="A105" s="450" t="s">
        <v>2221</v>
      </c>
      <c r="B105" s="450" t="s">
        <v>518</v>
      </c>
      <c r="C105" s="450" t="s">
        <v>518</v>
      </c>
      <c r="D105" s="450" t="s">
        <v>1697</v>
      </c>
      <c r="E105" s="684" t="s">
        <v>1685</v>
      </c>
      <c r="F105" s="450"/>
      <c r="G105" s="450"/>
      <c r="H105" s="684" t="s">
        <v>1694</v>
      </c>
      <c r="I105" s="450"/>
      <c r="J105" s="1156">
        <f>20000000*4/12</f>
        <v>6666666.666666667</v>
      </c>
      <c r="K105" s="450">
        <v>12</v>
      </c>
      <c r="L105" s="1156">
        <f>CAPEX_202510[[#This Row],[Đơn giá ( chưa bao gồm VAT)]]*CAPEX_202510[[#This Row],[Số lượng]]</f>
        <v>80000000</v>
      </c>
      <c r="M105" s="450"/>
      <c r="N105" s="1028">
        <v>46023</v>
      </c>
      <c r="O105" s="1143">
        <v>12</v>
      </c>
      <c r="P105" s="450" t="s">
        <v>1697</v>
      </c>
      <c r="Q105" s="1190" t="s">
        <v>2018</v>
      </c>
      <c r="R105" s="1161" t="str">
        <f>LEFT(CAPEX_202510[[#This Row],[Tài khoản COA chi phí khấu hao]],3)</f>
        <v>632</v>
      </c>
      <c r="S105" s="1144"/>
      <c r="T105" s="682"/>
      <c r="U105" s="448"/>
      <c r="V105" s="448"/>
      <c r="W105" s="1146"/>
      <c r="X105" s="1030" t="s">
        <v>2224</v>
      </c>
      <c r="Y105" s="687" t="str">
        <f>LEFT(CAPEX_202510[[#This Row],[Mã tài khoản (Mã Chi phí_L4)]],3)</f>
        <v>627</v>
      </c>
      <c r="Z105" s="1162">
        <v>6273006501</v>
      </c>
      <c r="AA105" s="1040" t="s">
        <v>469</v>
      </c>
      <c r="AB105" s="1040" t="s">
        <v>579</v>
      </c>
      <c r="AC105" s="1159">
        <v>80000000</v>
      </c>
      <c r="AD105" s="1158">
        <f t="shared" ref="AD105:AD107" si="64">AC105-AE105</f>
        <v>0</v>
      </c>
      <c r="AE105" s="1159">
        <v>80000000</v>
      </c>
      <c r="AF105" s="1159">
        <v>6666666.666666667</v>
      </c>
      <c r="AG105" s="1159">
        <v>6666666.666666667</v>
      </c>
      <c r="AH105" s="1159">
        <v>6666666.666666667</v>
      </c>
      <c r="AI105" s="1159">
        <v>6666666.666666667</v>
      </c>
      <c r="AJ105" s="1159">
        <v>6666666.666666667</v>
      </c>
      <c r="AK105" s="1159">
        <v>6666666.666666667</v>
      </c>
      <c r="AL105" s="1159">
        <v>6666666.666666667</v>
      </c>
      <c r="AM105" s="1159">
        <v>6666666.666666667</v>
      </c>
      <c r="AN105" s="1159">
        <v>6666666.666666667</v>
      </c>
      <c r="AO105" s="1159">
        <v>6666666.666666667</v>
      </c>
      <c r="AP105" s="1159">
        <v>6666666.666666667</v>
      </c>
      <c r="AQ105" s="1159">
        <v>6666666.666666667</v>
      </c>
      <c r="AR105" s="1025">
        <f t="shared" ref="AR105:AR107" si="65">SUM(AF105:AQ105)</f>
        <v>80000000</v>
      </c>
      <c r="AS105" s="412">
        <f t="shared" si="61"/>
        <v>0</v>
      </c>
    </row>
    <row r="106" spans="1:45" ht="27.65" customHeight="1" outlineLevel="1" x14ac:dyDescent="0.25">
      <c r="A106" s="450" t="s">
        <v>2222</v>
      </c>
      <c r="B106" s="450" t="s">
        <v>518</v>
      </c>
      <c r="C106" s="450" t="s">
        <v>518</v>
      </c>
      <c r="D106" s="450" t="s">
        <v>1697</v>
      </c>
      <c r="E106" s="684" t="s">
        <v>1685</v>
      </c>
      <c r="F106" s="450"/>
      <c r="G106" s="450"/>
      <c r="H106" s="684" t="s">
        <v>1694</v>
      </c>
      <c r="I106" s="450"/>
      <c r="J106" s="1156">
        <f>71000*1000/12</f>
        <v>5916666.666666667</v>
      </c>
      <c r="K106" s="450">
        <v>12</v>
      </c>
      <c r="L106" s="1156">
        <f>CAPEX_202510[[#This Row],[Đơn giá ( chưa bao gồm VAT)]]*CAPEX_202510[[#This Row],[Số lượng]]</f>
        <v>71000000</v>
      </c>
      <c r="M106" s="450"/>
      <c r="N106" s="1028">
        <v>46023</v>
      </c>
      <c r="O106" s="1143">
        <v>12</v>
      </c>
      <c r="P106" s="450" t="s">
        <v>1697</v>
      </c>
      <c r="Q106" s="1190" t="s">
        <v>2018</v>
      </c>
      <c r="R106" s="1161" t="str">
        <f>LEFT(CAPEX_202510[[#This Row],[Tài khoản COA chi phí khấu hao]],3)</f>
        <v>632</v>
      </c>
      <c r="S106" s="1144"/>
      <c r="T106" s="682"/>
      <c r="U106" s="448"/>
      <c r="V106" s="448"/>
      <c r="W106" s="1146"/>
      <c r="X106" s="1030" t="s">
        <v>2225</v>
      </c>
      <c r="Y106" s="687" t="str">
        <f>LEFT(CAPEX_202510[[#This Row],[Mã tài khoản (Mã Chi phí_L4)]],3)</f>
        <v>627</v>
      </c>
      <c r="Z106" s="1162">
        <v>6273006501</v>
      </c>
      <c r="AA106" s="1040" t="s">
        <v>469</v>
      </c>
      <c r="AB106" s="1040" t="s">
        <v>579</v>
      </c>
      <c r="AC106" s="1159">
        <v>71000000</v>
      </c>
      <c r="AD106" s="1158">
        <f t="shared" si="64"/>
        <v>0</v>
      </c>
      <c r="AE106" s="1159">
        <v>71000000</v>
      </c>
      <c r="AF106" s="1159">
        <v>5916666.666666667</v>
      </c>
      <c r="AG106" s="1159">
        <v>5916666.666666667</v>
      </c>
      <c r="AH106" s="1159">
        <v>5916666.666666667</v>
      </c>
      <c r="AI106" s="1159">
        <v>5916666.666666667</v>
      </c>
      <c r="AJ106" s="1159">
        <v>5916666.666666667</v>
      </c>
      <c r="AK106" s="1159">
        <v>5916666.666666667</v>
      </c>
      <c r="AL106" s="1159">
        <v>5916666.666666667</v>
      </c>
      <c r="AM106" s="1159">
        <v>5916666.666666667</v>
      </c>
      <c r="AN106" s="1159">
        <v>5916666.666666667</v>
      </c>
      <c r="AO106" s="1159">
        <v>5916666.666666667</v>
      </c>
      <c r="AP106" s="1159">
        <v>5916666.666666667</v>
      </c>
      <c r="AQ106" s="1159">
        <v>5916666.666666667</v>
      </c>
      <c r="AR106" s="1025">
        <f t="shared" si="65"/>
        <v>70999999.999999985</v>
      </c>
      <c r="AS106" s="412">
        <f t="shared" si="61"/>
        <v>0</v>
      </c>
    </row>
    <row r="107" spans="1:45" ht="27.65" customHeight="1" outlineLevel="1" x14ac:dyDescent="0.25">
      <c r="A107" s="450" t="s">
        <v>2223</v>
      </c>
      <c r="B107" s="450" t="s">
        <v>518</v>
      </c>
      <c r="C107" s="450" t="s">
        <v>518</v>
      </c>
      <c r="D107" s="450" t="s">
        <v>1697</v>
      </c>
      <c r="E107" s="684" t="s">
        <v>1685</v>
      </c>
      <c r="F107" s="450"/>
      <c r="G107" s="450"/>
      <c r="H107" s="684" t="s">
        <v>1694</v>
      </c>
      <c r="I107" s="450"/>
      <c r="J107" s="1156">
        <f>5000000*6/12</f>
        <v>2500000</v>
      </c>
      <c r="K107" s="450">
        <v>12</v>
      </c>
      <c r="L107" s="1156">
        <f>CAPEX_202510[[#This Row],[Đơn giá ( chưa bao gồm VAT)]]*CAPEX_202510[[#This Row],[Số lượng]]</f>
        <v>30000000</v>
      </c>
      <c r="M107" s="450"/>
      <c r="N107" s="1028">
        <v>46023</v>
      </c>
      <c r="O107" s="1143">
        <v>12</v>
      </c>
      <c r="P107" s="450" t="s">
        <v>1697</v>
      </c>
      <c r="Q107" s="1190" t="s">
        <v>2018</v>
      </c>
      <c r="R107" s="1161" t="str">
        <f>LEFT(CAPEX_202510[[#This Row],[Tài khoản COA chi phí khấu hao]],3)</f>
        <v>632</v>
      </c>
      <c r="S107" s="1144"/>
      <c r="T107" s="682"/>
      <c r="U107" s="448"/>
      <c r="V107" s="448"/>
      <c r="W107" s="1146"/>
      <c r="X107" s="1030" t="s">
        <v>2226</v>
      </c>
      <c r="Y107" s="687" t="str">
        <f>LEFT(CAPEX_202510[[#This Row],[Mã tài khoản (Mã Chi phí_L4)]],3)</f>
        <v>627</v>
      </c>
      <c r="Z107" s="1162">
        <v>6273006501</v>
      </c>
      <c r="AA107" s="1040" t="s">
        <v>469</v>
      </c>
      <c r="AB107" s="1040" t="s">
        <v>579</v>
      </c>
      <c r="AC107" s="1159">
        <v>30000000</v>
      </c>
      <c r="AD107" s="1158">
        <f t="shared" si="64"/>
        <v>0</v>
      </c>
      <c r="AE107" s="1159">
        <v>30000000</v>
      </c>
      <c r="AF107" s="1159">
        <v>2500000</v>
      </c>
      <c r="AG107" s="1159">
        <v>2500000</v>
      </c>
      <c r="AH107" s="1159">
        <v>2500000</v>
      </c>
      <c r="AI107" s="1159">
        <v>2500000</v>
      </c>
      <c r="AJ107" s="1159">
        <v>2500000</v>
      </c>
      <c r="AK107" s="1159">
        <v>2500000</v>
      </c>
      <c r="AL107" s="1159">
        <v>2500000</v>
      </c>
      <c r="AM107" s="1159">
        <v>2500000</v>
      </c>
      <c r="AN107" s="1159">
        <v>2500000</v>
      </c>
      <c r="AO107" s="1159">
        <v>2500000</v>
      </c>
      <c r="AP107" s="1159">
        <v>2500000</v>
      </c>
      <c r="AQ107" s="1159">
        <v>2500000</v>
      </c>
      <c r="AR107" s="1025">
        <f t="shared" si="65"/>
        <v>30000000</v>
      </c>
      <c r="AS107" s="412">
        <f t="shared" si="61"/>
        <v>0</v>
      </c>
    </row>
    <row r="108" spans="1:45" x14ac:dyDescent="0.25">
      <c r="A108" s="1202"/>
      <c r="B108" s="1203"/>
      <c r="C108" s="1203"/>
      <c r="D108" s="1202"/>
      <c r="E108" s="1202"/>
      <c r="F108" s="1202"/>
      <c r="G108" s="1202"/>
      <c r="H108" s="1202"/>
      <c r="I108" s="1202"/>
      <c r="J108" s="1204"/>
      <c r="K108" s="1202"/>
      <c r="L108" s="1204"/>
      <c r="M108" s="1202"/>
      <c r="N108" s="1205"/>
      <c r="O108" s="1206"/>
      <c r="P108" s="1207"/>
      <c r="Q108" s="1208"/>
      <c r="R108" s="1209"/>
      <c r="S108" s="1210"/>
      <c r="T108" s="1211"/>
      <c r="U108" s="1212"/>
      <c r="V108" s="1212"/>
      <c r="W108" s="1213"/>
      <c r="X108" s="1214"/>
      <c r="Y108" s="1215"/>
      <c r="Z108" s="1216"/>
      <c r="AA108" s="1207"/>
      <c r="AB108" s="1207"/>
      <c r="AC108" s="1217"/>
      <c r="AD108" s="1217"/>
      <c r="AE108" s="1217"/>
      <c r="AF108" s="1217"/>
      <c r="AG108" s="1217"/>
      <c r="AH108" s="1217"/>
      <c r="AI108" s="1217"/>
      <c r="AJ108" s="1217"/>
      <c r="AK108" s="1217"/>
      <c r="AL108" s="1217"/>
      <c r="AM108" s="1217"/>
      <c r="AN108" s="1217"/>
      <c r="AO108" s="1217"/>
      <c r="AP108" s="1217"/>
      <c r="AQ108" s="1217"/>
      <c r="AR108" s="1218"/>
      <c r="AS108" s="412">
        <f t="shared" si="61"/>
        <v>0</v>
      </c>
    </row>
    <row r="109" spans="1:45" x14ac:dyDescent="0.25">
      <c r="A109" s="1202"/>
      <c r="B109" s="1203"/>
      <c r="C109" s="1203"/>
      <c r="D109" s="1202"/>
      <c r="E109" s="1202"/>
      <c r="F109" s="1202"/>
      <c r="G109" s="1202"/>
      <c r="H109" s="1202"/>
      <c r="I109" s="1202"/>
      <c r="J109" s="1204"/>
      <c r="K109" s="1202"/>
      <c r="L109" s="1204"/>
      <c r="M109" s="1202"/>
      <c r="N109" s="1205"/>
      <c r="O109" s="1206"/>
      <c r="P109" s="1207"/>
      <c r="Q109" s="1208"/>
      <c r="R109" s="1209"/>
      <c r="S109" s="1210"/>
      <c r="T109" s="1211"/>
      <c r="U109" s="1212"/>
      <c r="V109" s="1212"/>
      <c r="W109" s="1213"/>
      <c r="X109" s="1214"/>
      <c r="Y109" s="1215"/>
      <c r="Z109" s="1216"/>
      <c r="AA109" s="1207"/>
      <c r="AB109" s="1207"/>
      <c r="AC109" s="1217"/>
      <c r="AD109" s="1217"/>
      <c r="AE109" s="1217"/>
      <c r="AF109" s="1217"/>
      <c r="AG109" s="1217"/>
      <c r="AH109" s="1217"/>
      <c r="AI109" s="1217"/>
      <c r="AJ109" s="1217"/>
      <c r="AK109" s="1217"/>
      <c r="AL109" s="1217"/>
      <c r="AM109" s="1217"/>
      <c r="AN109" s="1217"/>
      <c r="AO109" s="1217"/>
      <c r="AP109" s="1217"/>
      <c r="AQ109" s="1217"/>
      <c r="AR109" s="1218"/>
      <c r="AS109" s="412">
        <f t="shared" si="61"/>
        <v>0</v>
      </c>
    </row>
    <row r="110" spans="1:45" x14ac:dyDescent="0.25">
      <c r="A110" s="1202"/>
      <c r="B110" s="1203"/>
      <c r="C110" s="1203"/>
      <c r="D110" s="1202"/>
      <c r="E110" s="1202"/>
      <c r="F110" s="1202"/>
      <c r="G110" s="1202"/>
      <c r="H110" s="1202"/>
      <c r="I110" s="1202"/>
      <c r="J110" s="1204"/>
      <c r="K110" s="1202"/>
      <c r="L110" s="1204"/>
      <c r="M110" s="1202"/>
      <c r="N110" s="1205"/>
      <c r="O110" s="1206"/>
      <c r="P110" s="1207"/>
      <c r="Q110" s="1208"/>
      <c r="R110" s="1209"/>
      <c r="S110" s="1210"/>
      <c r="T110" s="1211"/>
      <c r="U110" s="1212"/>
      <c r="V110" s="1212"/>
      <c r="W110" s="1213"/>
      <c r="X110" s="1214"/>
      <c r="Y110" s="1215"/>
      <c r="Z110" s="1216"/>
      <c r="AA110" s="1207"/>
      <c r="AB110" s="1207"/>
      <c r="AC110" s="1217"/>
      <c r="AD110" s="1217"/>
      <c r="AE110" s="1217"/>
      <c r="AF110" s="1217"/>
      <c r="AG110" s="1217"/>
      <c r="AH110" s="1217"/>
      <c r="AI110" s="1217"/>
      <c r="AJ110" s="1217"/>
      <c r="AK110" s="1217"/>
      <c r="AL110" s="1217"/>
      <c r="AM110" s="1217"/>
      <c r="AN110" s="1217"/>
      <c r="AO110" s="1217"/>
      <c r="AP110" s="1217"/>
      <c r="AQ110" s="1217"/>
      <c r="AR110" s="1218"/>
      <c r="AS110" s="412">
        <f t="shared" si="61"/>
        <v>0</v>
      </c>
    </row>
    <row r="111" spans="1:45" x14ac:dyDescent="0.25">
      <c r="A111" s="1202"/>
      <c r="B111" s="1203"/>
      <c r="C111" s="1203"/>
      <c r="D111" s="1202"/>
      <c r="E111" s="1202"/>
      <c r="F111" s="1202"/>
      <c r="G111" s="1202"/>
      <c r="H111" s="1202"/>
      <c r="I111" s="1202"/>
      <c r="J111" s="1204"/>
      <c r="K111" s="1202"/>
      <c r="L111" s="1204"/>
      <c r="M111" s="1202"/>
      <c r="N111" s="1205"/>
      <c r="O111" s="1206"/>
      <c r="P111" s="1207"/>
      <c r="Q111" s="1208"/>
      <c r="R111" s="1209"/>
      <c r="S111" s="1210"/>
      <c r="T111" s="1211"/>
      <c r="U111" s="1212"/>
      <c r="V111" s="1212"/>
      <c r="W111" s="1213"/>
      <c r="X111" s="1214"/>
      <c r="Y111" s="1215"/>
      <c r="Z111" s="1216"/>
      <c r="AA111" s="1207"/>
      <c r="AB111" s="1207"/>
      <c r="AC111" s="1252"/>
      <c r="AD111" s="1252"/>
      <c r="AE111" s="1252"/>
      <c r="AF111" s="1252"/>
      <c r="AG111" s="1252"/>
      <c r="AH111" s="1252"/>
      <c r="AI111" s="1252"/>
      <c r="AJ111" s="1252"/>
      <c r="AK111" s="1252"/>
      <c r="AL111" s="1252"/>
      <c r="AM111" s="1252"/>
      <c r="AN111" s="1252"/>
      <c r="AO111" s="1252"/>
      <c r="AP111" s="1252"/>
      <c r="AQ111" s="1252"/>
      <c r="AR111" s="1253"/>
      <c r="AS111" s="412">
        <f t="shared" si="61"/>
        <v>0</v>
      </c>
    </row>
    <row r="112" spans="1:45" x14ac:dyDescent="0.25">
      <c r="A112" s="1202"/>
      <c r="B112" s="1203"/>
      <c r="C112" s="1203"/>
      <c r="D112" s="1202"/>
      <c r="E112" s="1202"/>
      <c r="F112" s="1202"/>
      <c r="G112" s="1202"/>
      <c r="H112" s="1202"/>
      <c r="I112" s="1202"/>
      <c r="J112" s="1204"/>
      <c r="K112" s="1202"/>
      <c r="L112" s="1204"/>
      <c r="M112" s="1202"/>
      <c r="N112" s="1205"/>
      <c r="O112" s="1206"/>
      <c r="P112" s="1207"/>
      <c r="Q112" s="1208"/>
      <c r="R112" s="1209"/>
      <c r="S112" s="1210"/>
      <c r="T112" s="1211"/>
      <c r="U112" s="1212"/>
      <c r="V112" s="1212"/>
      <c r="W112" s="1213"/>
      <c r="X112" s="1214"/>
      <c r="Y112" s="1215"/>
      <c r="Z112" s="1216"/>
      <c r="AA112" s="1207"/>
      <c r="AB112" s="1207"/>
      <c r="AC112" s="1217"/>
      <c r="AD112" s="1217"/>
      <c r="AE112" s="1217"/>
      <c r="AF112" s="1217"/>
      <c r="AG112" s="1217"/>
      <c r="AH112" s="1217"/>
      <c r="AI112" s="1217"/>
      <c r="AJ112" s="1217"/>
      <c r="AK112" s="1217"/>
      <c r="AL112" s="1217"/>
      <c r="AM112" s="1217"/>
      <c r="AN112" s="1217"/>
      <c r="AO112" s="1217"/>
      <c r="AP112" s="1217"/>
      <c r="AQ112" s="1217"/>
      <c r="AR112" s="1218"/>
      <c r="AS112" s="412">
        <f t="shared" si="61"/>
        <v>0</v>
      </c>
    </row>
    <row r="113" spans="1:45" ht="14.5" x14ac:dyDescent="0.3">
      <c r="A113" s="457"/>
      <c r="B113" s="457"/>
      <c r="C113" s="458" t="s">
        <v>1766</v>
      </c>
      <c r="D113" s="457"/>
      <c r="E113" s="457"/>
      <c r="F113" s="457"/>
      <c r="G113" s="457"/>
      <c r="H113" s="457"/>
      <c r="I113" s="457"/>
      <c r="J113" s="457"/>
      <c r="K113" s="457"/>
      <c r="L113" s="457"/>
      <c r="M113" s="457"/>
      <c r="N113" s="457"/>
      <c r="O113" s="457"/>
      <c r="P113" s="457"/>
      <c r="Q113" s="457"/>
      <c r="R113" s="457"/>
      <c r="S113" s="457"/>
      <c r="T113" s="457"/>
      <c r="U113" s="420"/>
      <c r="V113" s="457"/>
      <c r="W113" s="457"/>
      <c r="X113" s="457"/>
      <c r="Y113" s="564">
        <v>627</v>
      </c>
      <c r="Z113" s="459"/>
      <c r="AA113" s="457"/>
      <c r="AB113" s="457"/>
      <c r="AC113" s="1251">
        <f>SUMIFS($AC$8:$AC$112,$Y$8:$Y$112,$Y113)</f>
        <v>4905263443.7764711</v>
      </c>
      <c r="AD113" s="1251">
        <f t="shared" ref="AD113:AR113" si="66">SUMIFS(AD$8:AD$112,$Y$8:$Y$112,$Y113)</f>
        <v>740516793</v>
      </c>
      <c r="AE113" s="1251">
        <f t="shared" si="66"/>
        <v>4164746650.7764707</v>
      </c>
      <c r="AF113" s="1251">
        <f t="shared" si="66"/>
        <v>225614372.25498375</v>
      </c>
      <c r="AG113" s="1251">
        <f t="shared" si="66"/>
        <v>222086747.35498372</v>
      </c>
      <c r="AH113" s="1251">
        <f t="shared" si="66"/>
        <v>219476132.65498373</v>
      </c>
      <c r="AI113" s="1251">
        <f t="shared" si="66"/>
        <v>219839604.65498373</v>
      </c>
      <c r="AJ113" s="1251">
        <f t="shared" si="66"/>
        <v>213868902.35498372</v>
      </c>
      <c r="AK113" s="1251">
        <f t="shared" si="66"/>
        <v>222878678.45498371</v>
      </c>
      <c r="AL113" s="1251">
        <f t="shared" si="66"/>
        <v>214455959.65498373</v>
      </c>
      <c r="AM113" s="1251">
        <f t="shared" si="66"/>
        <v>215430463.90498373</v>
      </c>
      <c r="AN113" s="1251">
        <f t="shared" si="66"/>
        <v>211493716.35498372</v>
      </c>
      <c r="AO113" s="1251">
        <f t="shared" si="66"/>
        <v>212592793.35498372</v>
      </c>
      <c r="AP113" s="1251">
        <f t="shared" si="66"/>
        <v>210877792.65498373</v>
      </c>
      <c r="AQ113" s="1251">
        <f t="shared" si="66"/>
        <v>220114839.45498371</v>
      </c>
      <c r="AR113" s="1251">
        <f t="shared" si="66"/>
        <v>2608730003.1098037</v>
      </c>
      <c r="AS113" s="392">
        <f>AE113-AR113</f>
        <v>1556016647.666667</v>
      </c>
    </row>
    <row r="114" spans="1:45" ht="14.5" x14ac:dyDescent="0.3">
      <c r="A114" s="457"/>
      <c r="B114" s="457"/>
      <c r="C114" s="458" t="s">
        <v>1767</v>
      </c>
      <c r="D114" s="457"/>
      <c r="E114" s="457"/>
      <c r="F114" s="457"/>
      <c r="G114" s="457"/>
      <c r="H114" s="457"/>
      <c r="I114" s="457"/>
      <c r="J114" s="457"/>
      <c r="K114" s="457"/>
      <c r="L114" s="457"/>
      <c r="M114" s="457"/>
      <c r="N114" s="457"/>
      <c r="O114" s="457"/>
      <c r="P114" s="457"/>
      <c r="Q114" s="457"/>
      <c r="R114" s="457"/>
      <c r="S114" s="457"/>
      <c r="T114" s="457"/>
      <c r="U114" s="420"/>
      <c r="V114" s="457"/>
      <c r="W114" s="457"/>
      <c r="X114" s="457"/>
      <c r="Y114" s="564">
        <v>642</v>
      </c>
      <c r="Z114" s="459"/>
      <c r="AA114" s="457"/>
      <c r="AB114" s="457"/>
      <c r="AC114" s="1251">
        <f>SUMIFS($AC$8:$AC$107,$Y$8:$Y$107,$Y114)</f>
        <v>437084610.00971442</v>
      </c>
      <c r="AD114" s="1251">
        <f t="shared" ref="AD114:AR115" si="67">SUMIFS(AD$8:AD$107,$Y$8:$Y$107,$Y114)</f>
        <v>94380889</v>
      </c>
      <c r="AE114" s="1251">
        <f t="shared" si="67"/>
        <v>342703721.00971448</v>
      </c>
      <c r="AF114" s="1251">
        <f t="shared" si="67"/>
        <v>24843867.556365095</v>
      </c>
      <c r="AG114" s="1251">
        <f t="shared" si="67"/>
        <v>22843867.556365095</v>
      </c>
      <c r="AH114" s="1251">
        <f t="shared" si="67"/>
        <v>22025955.556365095</v>
      </c>
      <c r="AI114" s="1251">
        <f t="shared" si="67"/>
        <v>22198001.556365095</v>
      </c>
      <c r="AJ114" s="1251">
        <f t="shared" si="67"/>
        <v>19900385.556365095</v>
      </c>
      <c r="AK114" s="1251">
        <f t="shared" si="67"/>
        <v>18227722.556365095</v>
      </c>
      <c r="AL114" s="1251">
        <f t="shared" si="67"/>
        <v>19538557.556365095</v>
      </c>
      <c r="AM114" s="1251">
        <f t="shared" si="67"/>
        <v>17394073.556365095</v>
      </c>
      <c r="AN114" s="1251">
        <f t="shared" si="67"/>
        <v>15923533.556365093</v>
      </c>
      <c r="AO114" s="1251">
        <f t="shared" si="67"/>
        <v>17923533.556365095</v>
      </c>
      <c r="AP114" s="1251">
        <f t="shared" si="67"/>
        <v>15923533.556365093</v>
      </c>
      <c r="AQ114" s="1251">
        <f t="shared" si="67"/>
        <v>15923533.556365093</v>
      </c>
      <c r="AR114" s="1251">
        <f t="shared" si="67"/>
        <v>232666565.67638114</v>
      </c>
      <c r="AS114" s="392">
        <f>AE114-AR114</f>
        <v>110037155.33333334</v>
      </c>
    </row>
    <row r="115" spans="1:45" ht="14.5" x14ac:dyDescent="0.3">
      <c r="A115" s="457"/>
      <c r="B115" s="457"/>
      <c r="C115" s="458"/>
      <c r="D115" s="457"/>
      <c r="E115" s="457"/>
      <c r="F115" s="457"/>
      <c r="G115" s="457"/>
      <c r="H115" s="457"/>
      <c r="I115" s="457"/>
      <c r="J115" s="457"/>
      <c r="K115" s="457"/>
      <c r="L115" s="457"/>
      <c r="M115" s="457"/>
      <c r="N115" s="457"/>
      <c r="O115" s="457"/>
      <c r="P115" s="457"/>
      <c r="Q115" s="457"/>
      <c r="R115" s="457"/>
      <c r="S115" s="457"/>
      <c r="T115" s="457"/>
      <c r="U115" s="420"/>
      <c r="V115" s="457"/>
      <c r="W115" s="457"/>
      <c r="X115" s="457"/>
      <c r="Y115" s="564">
        <v>622</v>
      </c>
      <c r="Z115" s="459"/>
      <c r="AA115" s="457"/>
      <c r="AB115" s="457"/>
      <c r="AC115" s="1251">
        <f>SUMIFS($AC$8:$AC$107,$Y$8:$Y$107,$Y115)</f>
        <v>22893458.823529407</v>
      </c>
      <c r="AD115" s="1251">
        <f t="shared" si="67"/>
        <v>0</v>
      </c>
      <c r="AE115" s="1251">
        <f t="shared" si="67"/>
        <v>22893458.823529407</v>
      </c>
      <c r="AF115" s="1251">
        <f t="shared" si="67"/>
        <v>1907788.2352941176</v>
      </c>
      <c r="AG115" s="1251">
        <f t="shared" si="67"/>
        <v>1907788.2352941176</v>
      </c>
      <c r="AH115" s="1251">
        <f t="shared" si="67"/>
        <v>1907788.2352941176</v>
      </c>
      <c r="AI115" s="1251">
        <f t="shared" si="67"/>
        <v>1907788.2352941176</v>
      </c>
      <c r="AJ115" s="1251">
        <f t="shared" si="67"/>
        <v>1907788.2352941176</v>
      </c>
      <c r="AK115" s="1251">
        <f t="shared" si="67"/>
        <v>1907788.2352941176</v>
      </c>
      <c r="AL115" s="1251">
        <f t="shared" si="67"/>
        <v>1907788.2352941176</v>
      </c>
      <c r="AM115" s="1251">
        <f t="shared" si="67"/>
        <v>1907788.2352941176</v>
      </c>
      <c r="AN115" s="1251">
        <f t="shared" si="67"/>
        <v>1907788.2352941176</v>
      </c>
      <c r="AO115" s="1251">
        <f t="shared" si="67"/>
        <v>1907788.2352941176</v>
      </c>
      <c r="AP115" s="1251">
        <f t="shared" si="67"/>
        <v>1907788.2352941176</v>
      </c>
      <c r="AQ115" s="1251">
        <f t="shared" si="67"/>
        <v>1907788.2352941176</v>
      </c>
      <c r="AR115" s="1251">
        <f t="shared" si="67"/>
        <v>22893458.823529419</v>
      </c>
      <c r="AS115" s="392">
        <f>AE115-AR115</f>
        <v>0</v>
      </c>
    </row>
    <row r="116" spans="1:45" ht="13" x14ac:dyDescent="0.3">
      <c r="A116" s="457"/>
      <c r="B116" s="457"/>
      <c r="C116" s="458" t="s">
        <v>1768</v>
      </c>
      <c r="D116" s="457"/>
      <c r="E116" s="457"/>
      <c r="F116" s="457"/>
      <c r="G116" s="457"/>
      <c r="H116" s="457"/>
      <c r="I116" s="457"/>
      <c r="J116" s="457"/>
      <c r="K116" s="457"/>
      <c r="L116" s="457"/>
      <c r="M116" s="457"/>
      <c r="N116" s="457"/>
      <c r="O116" s="457"/>
      <c r="P116" s="457"/>
      <c r="Q116" s="457"/>
      <c r="R116" s="457"/>
      <c r="S116" s="457"/>
      <c r="T116" s="457"/>
      <c r="U116" s="420"/>
      <c r="V116" s="457"/>
      <c r="W116" s="457"/>
      <c r="X116" s="457"/>
      <c r="Y116" s="564"/>
      <c r="Z116" s="459"/>
      <c r="AA116" s="457"/>
      <c r="AB116" s="457"/>
      <c r="AC116" s="392">
        <f>AC113+AC114+AC115</f>
        <v>5365241512.6097145</v>
      </c>
      <c r="AD116" s="392">
        <f t="shared" ref="AD116:AR116" si="68">AD113+AD114+AD115</f>
        <v>834897682</v>
      </c>
      <c r="AE116" s="392">
        <f t="shared" si="68"/>
        <v>4530343830.6097145</v>
      </c>
      <c r="AF116" s="392">
        <f t="shared" si="68"/>
        <v>252366028.04664296</v>
      </c>
      <c r="AG116" s="392">
        <f t="shared" si="68"/>
        <v>246838403.14664292</v>
      </c>
      <c r="AH116" s="392">
        <f t="shared" si="68"/>
        <v>243409876.44664294</v>
      </c>
      <c r="AI116" s="392">
        <f t="shared" si="68"/>
        <v>243945394.44664294</v>
      </c>
      <c r="AJ116" s="392">
        <f t="shared" si="68"/>
        <v>235677076.14664292</v>
      </c>
      <c r="AK116" s="392">
        <f t="shared" si="68"/>
        <v>243014189.24664292</v>
      </c>
      <c r="AL116" s="392">
        <f t="shared" si="68"/>
        <v>235902305.44664294</v>
      </c>
      <c r="AM116" s="392">
        <f t="shared" si="68"/>
        <v>234732325.69664294</v>
      </c>
      <c r="AN116" s="392">
        <f t="shared" si="68"/>
        <v>229325038.14664292</v>
      </c>
      <c r="AO116" s="392">
        <f t="shared" si="68"/>
        <v>232424115.14664292</v>
      </c>
      <c r="AP116" s="392">
        <f t="shared" si="68"/>
        <v>228709114.44664294</v>
      </c>
      <c r="AQ116" s="392">
        <f t="shared" si="68"/>
        <v>237946161.24664292</v>
      </c>
      <c r="AR116" s="392">
        <f t="shared" si="68"/>
        <v>2864290027.609714</v>
      </c>
      <c r="AS116" s="392">
        <f>AS113+AS114+AS115</f>
        <v>1666053803.0000002</v>
      </c>
    </row>
    <row r="118" spans="1:45" x14ac:dyDescent="0.25">
      <c r="AF118" s="1195"/>
      <c r="AG118" s="1195"/>
      <c r="AH118" s="1195"/>
      <c r="AI118" s="1195"/>
      <c r="AJ118" s="1195"/>
      <c r="AK118" s="1195"/>
      <c r="AL118" s="1195"/>
      <c r="AM118" s="1195"/>
      <c r="AN118" s="1195"/>
      <c r="AO118" s="1195"/>
      <c r="AP118" s="1195"/>
      <c r="AQ118" s="1195"/>
      <c r="AS118" s="437">
        <f>AS116-AS8-AS57</f>
        <v>0</v>
      </c>
    </row>
  </sheetData>
  <phoneticPr fontId="8" type="noConversion"/>
  <conditionalFormatting sqref="D1">
    <cfRule type="duplicateValues" dxfId="12" priority="1"/>
  </conditionalFormatting>
  <conditionalFormatting sqref="D1:D3">
    <cfRule type="containsText" dxfId="11" priority="2" operator="containsText" text="xxx">
      <formula>NOT(ISERROR(SEARCH("xxx",D1)))</formula>
    </cfRule>
  </conditionalFormatting>
  <conditionalFormatting sqref="D2">
    <cfRule type="duplicateValues" dxfId="10" priority="8"/>
  </conditionalFormatting>
  <conditionalFormatting sqref="D3">
    <cfRule type="duplicateValues" dxfId="9" priority="5"/>
  </conditionalFormatting>
  <conditionalFormatting sqref="Z7">
    <cfRule type="containsText" dxfId="8" priority="4" operator="containsText" text="xxx">
      <formula>NOT(ISERROR(SEARCH("xxx",Z7)))</formula>
    </cfRule>
  </conditionalFormatting>
  <conditionalFormatting sqref="AA7">
    <cfRule type="containsText" dxfId="7" priority="3" operator="containsText" text="xxx">
      <formula>NOT(ISERROR(SEARCH("xxx",AA7)))</formula>
    </cfRule>
  </conditionalFormatting>
  <dataValidations count="1">
    <dataValidation type="list" allowBlank="1" showInputMessage="1" showErrorMessage="1" sqref="V8:V112" xr:uid="{6E6E231C-769C-48DE-88C9-14F75FBDC84E}">
      <formula1>INDIRECT("MD_Possible_CAPEX[Khả năng đầu tư]")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F1BC-EAD3-44F5-8A7C-FBCD424F47C0}">
  <sheetPr>
    <tabColor rgb="FFFFFF00"/>
  </sheetPr>
  <dimension ref="B3:H51"/>
  <sheetViews>
    <sheetView topLeftCell="A17" workbookViewId="0">
      <selection activeCell="C34" sqref="C34"/>
    </sheetView>
  </sheetViews>
  <sheetFormatPr defaultColWidth="8.81640625" defaultRowHeight="12.5" x14ac:dyDescent="0.35"/>
  <cols>
    <col min="1" max="1" width="8.81640625" style="1"/>
    <col min="2" max="2" width="17.81640625" style="1" customWidth="1"/>
    <col min="3" max="3" width="26.54296875" style="1" bestFit="1" customWidth="1"/>
    <col min="4" max="4" width="39.81640625" style="1" bestFit="1" customWidth="1"/>
    <col min="5" max="5" width="43" style="1" bestFit="1" customWidth="1"/>
    <col min="6" max="6" width="14.26953125" style="1" customWidth="1"/>
    <col min="7" max="7" width="8.81640625" style="1"/>
    <col min="8" max="8" width="12.453125" style="1" customWidth="1"/>
    <col min="9" max="16384" width="8.81640625" style="1"/>
  </cols>
  <sheetData>
    <row r="3" spans="2:8" ht="16.75" customHeight="1" x14ac:dyDescent="0.35">
      <c r="B3" s="681" t="s">
        <v>684</v>
      </c>
      <c r="C3" s="462" t="s">
        <v>568</v>
      </c>
      <c r="D3" s="462" t="s">
        <v>470</v>
      </c>
      <c r="E3" s="463" t="s">
        <v>567</v>
      </c>
      <c r="F3" s="377" t="s">
        <v>2230</v>
      </c>
      <c r="G3" s="381" t="s">
        <v>2231</v>
      </c>
      <c r="H3" s="603" t="s">
        <v>2232</v>
      </c>
    </row>
    <row r="4" spans="2:8" ht="16.75" customHeight="1" x14ac:dyDescent="0.35">
      <c r="B4" s="464" t="s">
        <v>681</v>
      </c>
      <c r="C4" s="465">
        <v>6274001901</v>
      </c>
      <c r="D4" s="466" t="s">
        <v>495</v>
      </c>
      <c r="E4" s="466" t="s">
        <v>665</v>
      </c>
      <c r="F4" s="1193" t="s">
        <v>2233</v>
      </c>
      <c r="G4" s="1193" t="s">
        <v>1123</v>
      </c>
      <c r="H4" s="1312">
        <v>0</v>
      </c>
    </row>
    <row r="5" spans="2:8" ht="16.75" customHeight="1" x14ac:dyDescent="0.35">
      <c r="B5" s="464" t="s">
        <v>681</v>
      </c>
      <c r="C5" s="465">
        <v>6274001902</v>
      </c>
      <c r="D5" s="466" t="s">
        <v>666</v>
      </c>
      <c r="E5" s="466" t="s">
        <v>667</v>
      </c>
      <c r="F5" s="1193" t="s">
        <v>2233</v>
      </c>
      <c r="G5" s="1193" t="s">
        <v>1123</v>
      </c>
      <c r="H5" s="1312">
        <v>0</v>
      </c>
    </row>
    <row r="6" spans="2:8" ht="16.75" customHeight="1" x14ac:dyDescent="0.35">
      <c r="B6" s="464" t="s">
        <v>681</v>
      </c>
      <c r="C6" s="465">
        <v>6274001903</v>
      </c>
      <c r="D6" s="466" t="s">
        <v>668</v>
      </c>
      <c r="E6" s="466" t="s">
        <v>667</v>
      </c>
      <c r="F6" s="1193" t="s">
        <v>2233</v>
      </c>
      <c r="G6" s="1193" t="s">
        <v>1123</v>
      </c>
      <c r="H6" s="1312">
        <v>0</v>
      </c>
    </row>
    <row r="7" spans="2:8" ht="16.75" customHeight="1" x14ac:dyDescent="0.35">
      <c r="B7" s="464" t="s">
        <v>681</v>
      </c>
      <c r="C7" s="465">
        <v>6274001904</v>
      </c>
      <c r="D7" s="466" t="s">
        <v>497</v>
      </c>
      <c r="E7" s="466" t="s">
        <v>669</v>
      </c>
      <c r="F7" s="1193" t="s">
        <v>2233</v>
      </c>
      <c r="G7" s="1193" t="s">
        <v>1123</v>
      </c>
      <c r="H7" s="1312">
        <v>0</v>
      </c>
    </row>
    <row r="8" spans="2:8" ht="16.75" customHeight="1" x14ac:dyDescent="0.35">
      <c r="B8" s="464" t="s">
        <v>681</v>
      </c>
      <c r="C8" s="465">
        <v>6274001905</v>
      </c>
      <c r="D8" s="466" t="s">
        <v>498</v>
      </c>
      <c r="E8" s="466" t="s">
        <v>670</v>
      </c>
      <c r="F8" s="1193" t="s">
        <v>2233</v>
      </c>
      <c r="G8" s="1193" t="s">
        <v>1123</v>
      </c>
      <c r="H8" s="1312">
        <v>0</v>
      </c>
    </row>
    <row r="9" spans="2:8" ht="16.75" customHeight="1" x14ac:dyDescent="0.35">
      <c r="B9" s="464" t="s">
        <v>681</v>
      </c>
      <c r="C9" s="465">
        <v>6274001906</v>
      </c>
      <c r="D9" s="466" t="s">
        <v>671</v>
      </c>
      <c r="E9" s="466" t="s">
        <v>667</v>
      </c>
      <c r="F9" s="1193" t="s">
        <v>2233</v>
      </c>
      <c r="G9" s="1193" t="s">
        <v>1123</v>
      </c>
      <c r="H9" s="1312">
        <v>0</v>
      </c>
    </row>
    <row r="10" spans="2:8" ht="16.75" customHeight="1" x14ac:dyDescent="0.35">
      <c r="B10" s="464" t="s">
        <v>681</v>
      </c>
      <c r="C10" s="465">
        <v>6274001907</v>
      </c>
      <c r="D10" s="466" t="s">
        <v>672</v>
      </c>
      <c r="E10" s="466" t="s">
        <v>673</v>
      </c>
      <c r="F10" s="1193" t="s">
        <v>2233</v>
      </c>
      <c r="G10" s="1193" t="s">
        <v>1123</v>
      </c>
      <c r="H10" s="1312">
        <v>0</v>
      </c>
    </row>
    <row r="11" spans="2:8" ht="16.75" customHeight="1" x14ac:dyDescent="0.35">
      <c r="B11" s="464" t="s">
        <v>681</v>
      </c>
      <c r="C11" s="465">
        <v>6274001909</v>
      </c>
      <c r="D11" s="466" t="s">
        <v>501</v>
      </c>
      <c r="E11" s="466" t="s">
        <v>674</v>
      </c>
      <c r="F11" s="1193" t="s">
        <v>2233</v>
      </c>
      <c r="G11" s="1193" t="s">
        <v>1123</v>
      </c>
      <c r="H11" s="1312">
        <v>0</v>
      </c>
    </row>
    <row r="12" spans="2:8" ht="16.75" customHeight="1" x14ac:dyDescent="0.35">
      <c r="B12" s="464" t="s">
        <v>681</v>
      </c>
      <c r="C12" s="465">
        <v>6274001910</v>
      </c>
      <c r="D12" s="466" t="s">
        <v>502</v>
      </c>
      <c r="E12" s="466" t="s">
        <v>675</v>
      </c>
      <c r="F12" s="1193" t="s">
        <v>2233</v>
      </c>
      <c r="G12" s="1193" t="s">
        <v>1123</v>
      </c>
      <c r="H12" s="1312">
        <v>0</v>
      </c>
    </row>
    <row r="13" spans="2:8" ht="16.75" customHeight="1" x14ac:dyDescent="0.35">
      <c r="B13" s="464" t="s">
        <v>681</v>
      </c>
      <c r="C13" s="465">
        <v>6274001915</v>
      </c>
      <c r="D13" s="466" t="s">
        <v>507</v>
      </c>
      <c r="E13" s="466" t="s">
        <v>676</v>
      </c>
      <c r="F13" s="1193" t="s">
        <v>2233</v>
      </c>
      <c r="G13" s="1193" t="s">
        <v>1123</v>
      </c>
      <c r="H13" s="1312">
        <v>0</v>
      </c>
    </row>
    <row r="14" spans="2:8" ht="16.75" customHeight="1" x14ac:dyDescent="0.35">
      <c r="B14" s="464" t="s">
        <v>680</v>
      </c>
      <c r="C14" s="465">
        <v>6424001901</v>
      </c>
      <c r="D14" s="466" t="s">
        <v>495</v>
      </c>
      <c r="E14" s="466" t="s">
        <v>665</v>
      </c>
      <c r="F14" s="1193" t="s">
        <v>2234</v>
      </c>
      <c r="G14" s="1193">
        <v>40</v>
      </c>
      <c r="H14" s="1312">
        <v>0</v>
      </c>
    </row>
    <row r="15" spans="2:8" ht="16.75" customHeight="1" x14ac:dyDescent="0.35">
      <c r="B15" s="464" t="s">
        <v>680</v>
      </c>
      <c r="C15" s="465">
        <v>6424001903</v>
      </c>
      <c r="D15" s="466" t="s">
        <v>496</v>
      </c>
      <c r="E15" s="466" t="s">
        <v>667</v>
      </c>
      <c r="F15" s="1193" t="s">
        <v>2234</v>
      </c>
      <c r="G15" s="1193">
        <v>40</v>
      </c>
      <c r="H15" s="1312">
        <v>0</v>
      </c>
    </row>
    <row r="16" spans="2:8" ht="16.75" customHeight="1" x14ac:dyDescent="0.35">
      <c r="B16" s="464" t="s">
        <v>680</v>
      </c>
      <c r="C16" s="465">
        <v>6424001904</v>
      </c>
      <c r="D16" s="466" t="s">
        <v>497</v>
      </c>
      <c r="E16" s="466" t="s">
        <v>669</v>
      </c>
      <c r="F16" s="1193" t="s">
        <v>2234</v>
      </c>
      <c r="G16" s="1193">
        <v>40</v>
      </c>
      <c r="H16" s="1312">
        <v>0</v>
      </c>
    </row>
    <row r="17" spans="2:8" ht="16.75" customHeight="1" x14ac:dyDescent="0.35">
      <c r="B17" s="464" t="s">
        <v>680</v>
      </c>
      <c r="C17" s="465">
        <v>6424001905</v>
      </c>
      <c r="D17" s="466" t="s">
        <v>498</v>
      </c>
      <c r="E17" s="466" t="s">
        <v>670</v>
      </c>
      <c r="F17" s="1193" t="s">
        <v>2234</v>
      </c>
      <c r="G17" s="1193">
        <v>40</v>
      </c>
      <c r="H17" s="1312">
        <v>0</v>
      </c>
    </row>
    <row r="18" spans="2:8" ht="16.75" customHeight="1" x14ac:dyDescent="0.35">
      <c r="B18" s="464" t="s">
        <v>680</v>
      </c>
      <c r="C18" s="465">
        <v>6424001906</v>
      </c>
      <c r="D18" s="466" t="s">
        <v>499</v>
      </c>
      <c r="E18" s="466" t="s">
        <v>669</v>
      </c>
      <c r="F18" s="1193" t="s">
        <v>2234</v>
      </c>
      <c r="G18" s="1193">
        <v>40</v>
      </c>
      <c r="H18" s="1312">
        <v>0</v>
      </c>
    </row>
    <row r="19" spans="2:8" ht="16.75" customHeight="1" x14ac:dyDescent="0.35">
      <c r="B19" s="464" t="s">
        <v>680</v>
      </c>
      <c r="C19" s="465">
        <v>6424001907</v>
      </c>
      <c r="D19" s="466" t="s">
        <v>500</v>
      </c>
      <c r="E19" s="466" t="s">
        <v>673</v>
      </c>
      <c r="F19" s="1193" t="s">
        <v>2234</v>
      </c>
      <c r="G19" s="1193">
        <v>40</v>
      </c>
      <c r="H19" s="1312">
        <v>0</v>
      </c>
    </row>
    <row r="20" spans="2:8" ht="16.75" customHeight="1" x14ac:dyDescent="0.35">
      <c r="B20" s="464" t="s">
        <v>680</v>
      </c>
      <c r="C20" s="465">
        <v>6424001909</v>
      </c>
      <c r="D20" s="466" t="s">
        <v>501</v>
      </c>
      <c r="E20" s="466" t="s">
        <v>674</v>
      </c>
      <c r="F20" s="1193" t="s">
        <v>2234</v>
      </c>
      <c r="G20" s="1193">
        <v>40</v>
      </c>
      <c r="H20" s="1312">
        <v>0</v>
      </c>
    </row>
    <row r="21" spans="2:8" ht="16.75" customHeight="1" x14ac:dyDescent="0.35">
      <c r="B21" s="464" t="s">
        <v>680</v>
      </c>
      <c r="C21" s="465">
        <v>6424001910</v>
      </c>
      <c r="D21" s="466" t="s">
        <v>502</v>
      </c>
      <c r="E21" s="466" t="s">
        <v>675</v>
      </c>
      <c r="F21" s="1193" t="s">
        <v>2234</v>
      </c>
      <c r="G21" s="1193">
        <v>40</v>
      </c>
      <c r="H21" s="1312">
        <v>0</v>
      </c>
    </row>
    <row r="22" spans="2:8" ht="16.75" customHeight="1" x14ac:dyDescent="0.35">
      <c r="B22" s="464" t="s">
        <v>680</v>
      </c>
      <c r="C22" s="465">
        <v>6424001911</v>
      </c>
      <c r="D22" s="466" t="s">
        <v>503</v>
      </c>
      <c r="E22" s="466" t="s">
        <v>677</v>
      </c>
      <c r="F22" s="1193" t="s">
        <v>2234</v>
      </c>
      <c r="G22" s="1193">
        <v>40</v>
      </c>
      <c r="H22" s="1312">
        <v>0</v>
      </c>
    </row>
    <row r="23" spans="2:8" ht="16.75" customHeight="1" x14ac:dyDescent="0.35">
      <c r="B23" s="464" t="s">
        <v>680</v>
      </c>
      <c r="C23" s="465">
        <v>6424001912</v>
      </c>
      <c r="D23" s="466" t="s">
        <v>504</v>
      </c>
      <c r="E23" s="466" t="s">
        <v>677</v>
      </c>
      <c r="F23" s="1193" t="s">
        <v>2234</v>
      </c>
      <c r="G23" s="1193">
        <v>40</v>
      </c>
      <c r="H23" s="1312">
        <v>0</v>
      </c>
    </row>
    <row r="24" spans="2:8" ht="16.75" customHeight="1" x14ac:dyDescent="0.35">
      <c r="B24" s="464" t="s">
        <v>680</v>
      </c>
      <c r="C24" s="465">
        <v>6424001913</v>
      </c>
      <c r="D24" s="466" t="s">
        <v>505</v>
      </c>
      <c r="E24" s="466" t="s">
        <v>677</v>
      </c>
      <c r="F24" s="1193" t="s">
        <v>2234</v>
      </c>
      <c r="G24" s="1193">
        <v>40</v>
      </c>
      <c r="H24" s="1312">
        <v>0</v>
      </c>
    </row>
    <row r="25" spans="2:8" ht="16.75" customHeight="1" x14ac:dyDescent="0.35">
      <c r="B25" s="464" t="s">
        <v>680</v>
      </c>
      <c r="C25" s="465">
        <v>6424001914</v>
      </c>
      <c r="D25" s="466" t="s">
        <v>506</v>
      </c>
      <c r="E25" s="466" t="s">
        <v>678</v>
      </c>
      <c r="F25" s="1193" t="s">
        <v>2234</v>
      </c>
      <c r="G25" s="1193">
        <v>40</v>
      </c>
      <c r="H25" s="1312">
        <v>0</v>
      </c>
    </row>
    <row r="26" spans="2:8" ht="16.75" customHeight="1" x14ac:dyDescent="0.35">
      <c r="B26" s="464" t="s">
        <v>680</v>
      </c>
      <c r="C26" s="465">
        <v>6424001915</v>
      </c>
      <c r="D26" s="466" t="s">
        <v>507</v>
      </c>
      <c r="E26" s="466" t="s">
        <v>676</v>
      </c>
      <c r="F26" s="1193" t="s">
        <v>2234</v>
      </c>
      <c r="G26" s="1193">
        <v>40</v>
      </c>
      <c r="H26" s="1312">
        <v>0</v>
      </c>
    </row>
    <row r="27" spans="2:8" ht="16.75" customHeight="1" x14ac:dyDescent="0.35">
      <c r="B27" s="464" t="s">
        <v>680</v>
      </c>
      <c r="C27" s="465">
        <v>6424001916</v>
      </c>
      <c r="D27" s="466" t="s">
        <v>508</v>
      </c>
      <c r="E27" s="466" t="s">
        <v>679</v>
      </c>
      <c r="F27" s="1193" t="s">
        <v>2234</v>
      </c>
      <c r="G27" s="1193">
        <v>40</v>
      </c>
      <c r="H27" s="1312">
        <v>0</v>
      </c>
    </row>
    <row r="28" spans="2:8" ht="16.75" customHeight="1" x14ac:dyDescent="0.35"/>
    <row r="29" spans="2:8" ht="16.75" customHeight="1" x14ac:dyDescent="0.35">
      <c r="B29" s="681" t="s">
        <v>691</v>
      </c>
      <c r="C29" s="462" t="s">
        <v>568</v>
      </c>
      <c r="D29" s="462" t="s">
        <v>470</v>
      </c>
      <c r="E29" s="463" t="s">
        <v>567</v>
      </c>
      <c r="F29" s="377" t="s">
        <v>2230</v>
      </c>
      <c r="G29" s="381" t="s">
        <v>2231</v>
      </c>
      <c r="H29" s="603" t="s">
        <v>2232</v>
      </c>
    </row>
    <row r="30" spans="2:8" ht="16.75" customHeight="1" x14ac:dyDescent="0.35">
      <c r="B30" s="464" t="s">
        <v>692</v>
      </c>
      <c r="C30" s="465">
        <v>6271003001</v>
      </c>
      <c r="D30" s="466" t="s">
        <v>430</v>
      </c>
      <c r="E30" s="466" t="s">
        <v>570</v>
      </c>
      <c r="F30" s="1193" t="s">
        <v>2233</v>
      </c>
      <c r="G30" s="1193">
        <v>37</v>
      </c>
      <c r="H30" s="1193" t="s">
        <v>2235</v>
      </c>
    </row>
    <row r="31" spans="2:8" ht="16.75" customHeight="1" x14ac:dyDescent="0.35">
      <c r="B31" s="464" t="s">
        <v>692</v>
      </c>
      <c r="C31" s="465">
        <v>6220003001</v>
      </c>
      <c r="D31" s="466" t="s">
        <v>430</v>
      </c>
      <c r="E31" s="466" t="s">
        <v>570</v>
      </c>
      <c r="F31" s="1193" t="s">
        <v>2233</v>
      </c>
      <c r="G31" s="1193">
        <v>37</v>
      </c>
      <c r="H31" s="1193" t="s">
        <v>2235</v>
      </c>
    </row>
    <row r="32" spans="2:8" ht="16.75" customHeight="1" x14ac:dyDescent="0.35">
      <c r="B32" s="464" t="s">
        <v>692</v>
      </c>
      <c r="C32" s="1191">
        <v>6277003702</v>
      </c>
      <c r="D32" s="466" t="s">
        <v>84</v>
      </c>
      <c r="E32" s="466" t="s">
        <v>576</v>
      </c>
      <c r="F32" s="1193" t="s">
        <v>2233</v>
      </c>
      <c r="G32" s="1193">
        <v>31</v>
      </c>
      <c r="H32" s="1193" t="s">
        <v>2236</v>
      </c>
    </row>
    <row r="33" spans="2:8" ht="16.75" customHeight="1" x14ac:dyDescent="0.35">
      <c r="B33" s="464" t="s">
        <v>692</v>
      </c>
      <c r="C33" s="465">
        <v>6273006501</v>
      </c>
      <c r="D33" s="466" t="s">
        <v>469</v>
      </c>
      <c r="E33" s="466" t="s">
        <v>579</v>
      </c>
      <c r="F33" s="1193" t="s">
        <v>2233</v>
      </c>
      <c r="G33" s="1193">
        <v>6</v>
      </c>
      <c r="H33" s="1193" t="s">
        <v>2236</v>
      </c>
    </row>
    <row r="34" spans="2:8" ht="16.75" customHeight="1" x14ac:dyDescent="0.35">
      <c r="B34" s="464" t="s">
        <v>692</v>
      </c>
      <c r="C34" s="465">
        <v>6273002001</v>
      </c>
      <c r="D34" s="466" t="s">
        <v>606</v>
      </c>
      <c r="E34" s="466" t="s">
        <v>579</v>
      </c>
      <c r="F34" s="1193" t="s">
        <v>2233</v>
      </c>
      <c r="G34" s="1193">
        <v>6</v>
      </c>
      <c r="H34" s="1193" t="s">
        <v>2236</v>
      </c>
    </row>
    <row r="35" spans="2:8" ht="16.75" customHeight="1" x14ac:dyDescent="0.35">
      <c r="B35" s="464" t="s">
        <v>692</v>
      </c>
      <c r="C35" s="465">
        <v>6277002204</v>
      </c>
      <c r="D35" s="466" t="s">
        <v>605</v>
      </c>
      <c r="E35" s="466" t="s">
        <v>579</v>
      </c>
      <c r="F35" s="1193" t="s">
        <v>2233</v>
      </c>
      <c r="G35" s="1193">
        <v>6</v>
      </c>
      <c r="H35" s="1193" t="s">
        <v>2236</v>
      </c>
    </row>
    <row r="36" spans="2:8" ht="16.75" customHeight="1" x14ac:dyDescent="0.35">
      <c r="B36" s="464" t="s">
        <v>692</v>
      </c>
      <c r="C36" s="465">
        <v>6277002301</v>
      </c>
      <c r="D36" s="466" t="s">
        <v>485</v>
      </c>
      <c r="E36" s="466" t="s">
        <v>577</v>
      </c>
      <c r="F36" s="1193" t="s">
        <v>2233</v>
      </c>
      <c r="G36" s="1193">
        <v>17</v>
      </c>
      <c r="H36" s="1193" t="s">
        <v>2236</v>
      </c>
    </row>
    <row r="37" spans="2:8" ht="16.75" customHeight="1" x14ac:dyDescent="0.35">
      <c r="B37" s="464" t="s">
        <v>692</v>
      </c>
      <c r="C37" s="465">
        <v>6273001908</v>
      </c>
      <c r="D37" s="466" t="s">
        <v>435</v>
      </c>
      <c r="E37" s="466" t="s">
        <v>580</v>
      </c>
      <c r="F37" s="1193" t="s">
        <v>2233</v>
      </c>
      <c r="G37" s="1193">
        <v>7</v>
      </c>
      <c r="H37" s="1193" t="s">
        <v>2236</v>
      </c>
    </row>
    <row r="38" spans="2:8" ht="16.75" customHeight="1" x14ac:dyDescent="0.35">
      <c r="B38" s="464" t="s">
        <v>692</v>
      </c>
      <c r="C38" s="465">
        <v>6277003101</v>
      </c>
      <c r="D38" s="466" t="s">
        <v>441</v>
      </c>
      <c r="E38" s="466" t="s">
        <v>570</v>
      </c>
      <c r="F38" s="1193" t="s">
        <v>2233</v>
      </c>
      <c r="G38" s="1193">
        <v>37</v>
      </c>
      <c r="H38" s="1193" t="s">
        <v>2235</v>
      </c>
    </row>
    <row r="39" spans="2:8" ht="16.75" customHeight="1" x14ac:dyDescent="0.35">
      <c r="B39" s="464" t="s">
        <v>692</v>
      </c>
      <c r="C39" s="465">
        <v>6277003803</v>
      </c>
      <c r="D39" s="466" t="s">
        <v>1071</v>
      </c>
      <c r="E39" s="466" t="s">
        <v>594</v>
      </c>
      <c r="F39" s="1193" t="s">
        <v>2233</v>
      </c>
      <c r="G39" s="1193">
        <v>11</v>
      </c>
      <c r="H39" s="1193" t="s">
        <v>2236</v>
      </c>
    </row>
    <row r="40" spans="2:8" ht="16.75" customHeight="1" x14ac:dyDescent="0.35">
      <c r="B40" s="464" t="s">
        <v>693</v>
      </c>
      <c r="C40" s="465">
        <v>6421003001</v>
      </c>
      <c r="D40" s="466" t="s">
        <v>430</v>
      </c>
      <c r="E40" s="466" t="s">
        <v>570</v>
      </c>
      <c r="F40" s="1193" t="s">
        <v>2234</v>
      </c>
      <c r="G40" s="1193">
        <v>37</v>
      </c>
      <c r="H40" s="1193" t="s">
        <v>2235</v>
      </c>
    </row>
    <row r="41" spans="2:8" ht="16.75" customHeight="1" x14ac:dyDescent="0.35">
      <c r="B41" s="464" t="s">
        <v>693</v>
      </c>
      <c r="C41" s="465">
        <v>6427003101</v>
      </c>
      <c r="D41" s="466" t="s">
        <v>441</v>
      </c>
      <c r="E41" s="466" t="s">
        <v>570</v>
      </c>
      <c r="F41" s="1193" t="s">
        <v>2234</v>
      </c>
      <c r="G41" s="1193">
        <v>37</v>
      </c>
      <c r="H41" s="1193" t="s">
        <v>2235</v>
      </c>
    </row>
    <row r="42" spans="2:8" ht="16.75" customHeight="1" x14ac:dyDescent="0.35">
      <c r="B42" s="464" t="s">
        <v>693</v>
      </c>
      <c r="C42" s="465">
        <v>6423003002</v>
      </c>
      <c r="D42" s="466" t="s">
        <v>449</v>
      </c>
      <c r="E42" s="466" t="s">
        <v>580</v>
      </c>
      <c r="F42" s="1193" t="s">
        <v>2234</v>
      </c>
      <c r="G42" s="1193">
        <v>7</v>
      </c>
      <c r="H42" s="1193" t="s">
        <v>2236</v>
      </c>
    </row>
    <row r="43" spans="2:8" ht="16.75" customHeight="1" x14ac:dyDescent="0.35">
      <c r="B43" s="464" t="s">
        <v>693</v>
      </c>
      <c r="C43" s="465">
        <v>6423006501</v>
      </c>
      <c r="D43" s="466" t="s">
        <v>473</v>
      </c>
      <c r="E43" s="466" t="s">
        <v>579</v>
      </c>
      <c r="F43" s="1193" t="s">
        <v>2234</v>
      </c>
      <c r="G43" s="1193">
        <v>6</v>
      </c>
      <c r="H43" s="1193" t="s">
        <v>2236</v>
      </c>
    </row>
    <row r="44" spans="2:8" ht="16.75" customHeight="1" x14ac:dyDescent="0.35">
      <c r="B44" s="464" t="s">
        <v>693</v>
      </c>
      <c r="C44" s="465">
        <v>6427002001</v>
      </c>
      <c r="D44" s="466" t="s">
        <v>447</v>
      </c>
      <c r="E44" s="466" t="s">
        <v>579</v>
      </c>
      <c r="F44" s="1193" t="s">
        <v>2234</v>
      </c>
      <c r="G44" s="1193">
        <v>6</v>
      </c>
      <c r="H44" s="1193" t="s">
        <v>2236</v>
      </c>
    </row>
    <row r="45" spans="2:8" ht="16.75" customHeight="1" x14ac:dyDescent="0.35">
      <c r="B45" s="464" t="s">
        <v>693</v>
      </c>
      <c r="C45" s="465">
        <v>6427002301</v>
      </c>
      <c r="D45" s="466" t="s">
        <v>485</v>
      </c>
      <c r="E45" s="466" t="s">
        <v>577</v>
      </c>
      <c r="F45" s="1193" t="s">
        <v>2234</v>
      </c>
      <c r="G45" s="1193">
        <v>17</v>
      </c>
      <c r="H45" s="1193" t="s">
        <v>2236</v>
      </c>
    </row>
    <row r="46" spans="2:8" ht="16.75" customHeight="1" x14ac:dyDescent="0.35">
      <c r="B46" s="464" t="s">
        <v>693</v>
      </c>
      <c r="C46" s="465">
        <v>6427003802</v>
      </c>
      <c r="D46" s="466" t="s">
        <v>489</v>
      </c>
      <c r="E46" s="466" t="s">
        <v>594</v>
      </c>
      <c r="F46" s="1193" t="s">
        <v>2234</v>
      </c>
      <c r="G46" s="1193">
        <v>11</v>
      </c>
      <c r="H46" s="1193" t="s">
        <v>2236</v>
      </c>
    </row>
    <row r="47" spans="2:8" ht="16.75" customHeight="1" x14ac:dyDescent="0.35">
      <c r="B47" s="464" t="s">
        <v>693</v>
      </c>
      <c r="C47" s="465">
        <v>6427005801</v>
      </c>
      <c r="D47" s="466" t="s">
        <v>434</v>
      </c>
      <c r="E47" s="466" t="s">
        <v>590</v>
      </c>
      <c r="F47" s="1193" t="s">
        <v>2234</v>
      </c>
      <c r="G47" s="1193">
        <v>18</v>
      </c>
      <c r="H47" s="1193" t="s">
        <v>2236</v>
      </c>
    </row>
    <row r="48" spans="2:8" ht="16.75" customHeight="1" x14ac:dyDescent="0.35">
      <c r="B48" s="464" t="s">
        <v>693</v>
      </c>
      <c r="C48" s="465">
        <v>6423001908</v>
      </c>
      <c r="D48" s="466" t="s">
        <v>435</v>
      </c>
      <c r="E48" s="466" t="s">
        <v>580</v>
      </c>
      <c r="F48" s="1193" t="s">
        <v>2234</v>
      </c>
      <c r="G48" s="1193">
        <v>7</v>
      </c>
      <c r="H48" s="1193" t="s">
        <v>2236</v>
      </c>
    </row>
    <row r="49" spans="2:8" x14ac:dyDescent="0.35">
      <c r="B49" s="464" t="s">
        <v>693</v>
      </c>
      <c r="C49" s="465">
        <v>6423002402</v>
      </c>
      <c r="D49" s="465" t="s">
        <v>436</v>
      </c>
      <c r="E49" s="466" t="s">
        <v>580</v>
      </c>
      <c r="F49" s="1193" t="s">
        <v>2234</v>
      </c>
      <c r="G49" s="1193">
        <v>7</v>
      </c>
      <c r="H49" s="1193" t="s">
        <v>2236</v>
      </c>
    </row>
    <row r="50" spans="2:8" x14ac:dyDescent="0.35">
      <c r="B50" s="464" t="s">
        <v>693</v>
      </c>
      <c r="C50" s="465">
        <v>6427004904</v>
      </c>
      <c r="D50" s="465" t="s">
        <v>1018</v>
      </c>
      <c r="E50" s="465" t="s">
        <v>1019</v>
      </c>
      <c r="F50" s="1193" t="s">
        <v>2234</v>
      </c>
      <c r="G50" s="1193">
        <v>29</v>
      </c>
      <c r="H50" s="1193" t="s">
        <v>2236</v>
      </c>
    </row>
    <row r="51" spans="2:8" x14ac:dyDescent="0.35">
      <c r="B51" s="464" t="s">
        <v>693</v>
      </c>
      <c r="C51" s="1192">
        <v>6427004903</v>
      </c>
      <c r="D51" s="1193" t="s">
        <v>444</v>
      </c>
      <c r="E51" s="1193" t="s">
        <v>592</v>
      </c>
      <c r="F51" s="1193" t="s">
        <v>2234</v>
      </c>
      <c r="G51" s="1193">
        <v>15</v>
      </c>
      <c r="H51" s="1193" t="s">
        <v>2236</v>
      </c>
    </row>
  </sheetData>
  <autoFilter ref="B3:E27" xr:uid="{E794F1BC-EAD3-44F5-8A7C-FBCD424F47C0}"/>
  <conditionalFormatting sqref="C3:D3">
    <cfRule type="containsText" dxfId="6" priority="3" operator="containsText" text="xxx">
      <formula>NOT(ISERROR(SEARCH("xxx",C3)))</formula>
    </cfRule>
  </conditionalFormatting>
  <conditionalFormatting sqref="C29:D29">
    <cfRule type="containsText" dxfId="5" priority="1" operator="containsText" text="xxx">
      <formula>NOT(ISERROR(SEARCH("xxx",C29)))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05B5-57B7-45A9-BA5D-4481B3383FF2}">
  <sheetPr>
    <outlinePr summaryBelow="0"/>
  </sheetPr>
  <dimension ref="A1:AT362"/>
  <sheetViews>
    <sheetView showGridLines="0" showZeros="0" topLeftCell="Y8" zoomScale="85" zoomScaleNormal="85" workbookViewId="0">
      <pane ySplit="1" topLeftCell="A342" activePane="bottomLeft" state="frozen"/>
      <selection activeCell="A8" sqref="A8"/>
      <selection pane="bottomLeft" activeCell="AG361" sqref="AG361"/>
    </sheetView>
  </sheetViews>
  <sheetFormatPr defaultColWidth="9" defaultRowHeight="14" outlineLevelRow="1" outlineLevelCol="1" x14ac:dyDescent="0.3"/>
  <cols>
    <col min="1" max="1" width="20.1796875" style="493" bestFit="1" customWidth="1"/>
    <col min="2" max="2" width="18.453125" style="493" bestFit="1" customWidth="1"/>
    <col min="3" max="3" width="14.1796875" style="494" bestFit="1" customWidth="1"/>
    <col min="4" max="4" width="20.453125" style="495" bestFit="1" customWidth="1"/>
    <col min="5" max="5" width="18.453125" style="495" bestFit="1" customWidth="1"/>
    <col min="6" max="6" width="24" style="495" bestFit="1" customWidth="1"/>
    <col min="7" max="7" width="36.81640625" style="495" bestFit="1" customWidth="1"/>
    <col min="8" max="8" width="41.81640625" style="495" customWidth="1"/>
    <col min="9" max="9" width="35.453125" style="494" bestFit="1" customWidth="1"/>
    <col min="10" max="10" width="44.54296875" style="495" bestFit="1" customWidth="1"/>
    <col min="11" max="11" width="47" style="495" customWidth="1"/>
    <col min="12" max="12" width="18.1796875" style="494" customWidth="1" outlineLevel="1"/>
    <col min="13" max="13" width="52.54296875" style="495" customWidth="1" outlineLevel="1"/>
    <col min="14" max="14" width="14.81640625" style="495" customWidth="1"/>
    <col min="15" max="15" width="35.1796875" style="494" bestFit="1" customWidth="1"/>
    <col min="16" max="16" width="28.81640625" style="495" bestFit="1" customWidth="1"/>
    <col min="17" max="17" width="21.54296875" style="495" bestFit="1" customWidth="1"/>
    <col min="18" max="28" width="14.81640625" style="493" customWidth="1"/>
    <col min="29" max="29" width="17.26953125" style="493" customWidth="1"/>
    <col min="30" max="30" width="18.1796875" style="493" customWidth="1"/>
    <col min="31" max="31" width="2.81640625" style="498" customWidth="1"/>
    <col min="32" max="43" width="16.453125" style="498" customWidth="1"/>
    <col min="44" max="44" width="17.54296875" style="1279" customWidth="1"/>
    <col min="45" max="45" width="16.453125" style="1279" customWidth="1"/>
    <col min="46" max="46" width="7.1796875" style="1292" customWidth="1"/>
    <col min="47" max="16384" width="9" style="498"/>
  </cols>
  <sheetData>
    <row r="1" spans="1:46" s="489" customFormat="1" ht="20" hidden="1" x14ac:dyDescent="0.4">
      <c r="A1" s="484"/>
      <c r="B1" s="484"/>
      <c r="C1" s="485"/>
      <c r="D1" s="486"/>
      <c r="E1" s="486"/>
      <c r="F1" s="486"/>
      <c r="G1" s="486"/>
      <c r="H1" s="487" t="s">
        <v>704</v>
      </c>
      <c r="I1" s="485"/>
      <c r="J1" s="486"/>
      <c r="K1" s="486"/>
      <c r="L1" s="485"/>
      <c r="M1" s="486"/>
      <c r="N1" s="486"/>
      <c r="O1" s="485"/>
      <c r="P1" s="486"/>
      <c r="Q1" s="486"/>
      <c r="R1" s="486"/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R1" s="1278"/>
      <c r="AS1" s="1278"/>
      <c r="AT1" s="1291"/>
    </row>
    <row r="2" spans="1:46" s="489" customFormat="1" ht="20" hidden="1" x14ac:dyDescent="0.4">
      <c r="A2" s="484"/>
      <c r="B2" s="484"/>
      <c r="C2" s="485"/>
      <c r="D2" s="486"/>
      <c r="E2" s="486"/>
      <c r="F2" s="486"/>
      <c r="G2" s="486"/>
      <c r="H2" s="490" t="s">
        <v>640</v>
      </c>
      <c r="I2" s="485"/>
      <c r="J2" s="486"/>
      <c r="K2" s="486"/>
      <c r="L2" s="485"/>
      <c r="M2" s="486"/>
      <c r="N2" s="486"/>
      <c r="O2" s="485"/>
      <c r="P2" s="486"/>
      <c r="Q2" s="486"/>
      <c r="R2" s="486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R2" s="1278"/>
      <c r="AS2" s="1278"/>
      <c r="AT2" s="1291"/>
    </row>
    <row r="3" spans="1:46" s="489" customFormat="1" ht="20" hidden="1" x14ac:dyDescent="0.4">
      <c r="A3" s="484"/>
      <c r="B3" s="484"/>
      <c r="C3" s="485"/>
      <c r="D3" s="486"/>
      <c r="E3" s="486"/>
      <c r="F3" s="486"/>
      <c r="G3" s="486"/>
      <c r="H3" s="491" t="s">
        <v>705</v>
      </c>
      <c r="I3" s="485"/>
      <c r="J3" s="486"/>
      <c r="K3" s="486"/>
      <c r="L3" s="490"/>
      <c r="M3" s="486"/>
      <c r="N3" s="486"/>
      <c r="O3" s="485"/>
      <c r="P3" s="486"/>
      <c r="Q3" s="486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R3" s="1278"/>
      <c r="AS3" s="1278"/>
      <c r="AT3" s="1291"/>
    </row>
    <row r="4" spans="1:46" s="489" customFormat="1" ht="20" hidden="1" x14ac:dyDescent="0.4">
      <c r="A4" s="484"/>
      <c r="B4" s="484"/>
      <c r="C4" s="485"/>
      <c r="D4" s="486"/>
      <c r="E4" s="486"/>
      <c r="F4" s="486"/>
      <c r="G4" s="486"/>
      <c r="H4" s="492" t="s">
        <v>706</v>
      </c>
      <c r="I4" s="485"/>
      <c r="J4" s="486"/>
      <c r="K4" s="486"/>
      <c r="L4" s="492"/>
      <c r="M4" s="486"/>
      <c r="N4" s="486"/>
      <c r="O4" s="485"/>
      <c r="P4" s="486"/>
      <c r="Q4" s="486"/>
      <c r="R4" s="490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R4" s="1278"/>
      <c r="AS4" s="1278"/>
      <c r="AT4" s="1291"/>
    </row>
    <row r="5" spans="1:46" ht="20" hidden="1" x14ac:dyDescent="0.4">
      <c r="H5" s="496"/>
      <c r="L5" s="497"/>
      <c r="R5" s="498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</row>
    <row r="6" spans="1:46" s="506" customFormat="1" ht="16.5" hidden="1" x14ac:dyDescent="0.35">
      <c r="A6" s="500"/>
      <c r="B6" s="500"/>
      <c r="C6" s="501"/>
      <c r="D6" s="502"/>
      <c r="E6" s="503" t="s">
        <v>707</v>
      </c>
      <c r="F6" s="502"/>
      <c r="G6" s="502"/>
      <c r="H6" s="502"/>
      <c r="I6" s="504"/>
      <c r="J6" s="505"/>
      <c r="K6" s="502"/>
      <c r="L6" s="501"/>
      <c r="M6" s="502"/>
      <c r="N6" s="505"/>
      <c r="O6" s="504"/>
      <c r="P6" s="505"/>
      <c r="Q6" s="505"/>
      <c r="S6" s="507"/>
      <c r="T6" s="507"/>
      <c r="U6" s="507"/>
      <c r="V6" s="507"/>
      <c r="W6" s="507"/>
      <c r="X6" s="507"/>
      <c r="Y6" s="507"/>
      <c r="Z6" s="507"/>
      <c r="AA6" s="507"/>
      <c r="AB6" s="507"/>
      <c r="AC6" s="507"/>
      <c r="AD6" s="507"/>
      <c r="AF6" s="508" t="s">
        <v>708</v>
      </c>
      <c r="AG6" s="509"/>
      <c r="AH6" s="509"/>
      <c r="AI6" s="509"/>
      <c r="AJ6" s="509"/>
      <c r="AK6" s="509"/>
      <c r="AL6" s="509"/>
      <c r="AM6" s="509"/>
      <c r="AN6" s="510" t="s">
        <v>709</v>
      </c>
      <c r="AO6" s="510"/>
      <c r="AP6" s="511"/>
      <c r="AQ6" s="511"/>
      <c r="AR6" s="1280"/>
      <c r="AS6" s="1280"/>
      <c r="AT6" s="1293"/>
    </row>
    <row r="7" spans="1:46" s="515" customFormat="1" ht="28" hidden="1" x14ac:dyDescent="0.3">
      <c r="A7" s="512" t="s">
        <v>710</v>
      </c>
      <c r="B7" s="512" t="s">
        <v>711</v>
      </c>
      <c r="C7" s="512" t="s">
        <v>712</v>
      </c>
      <c r="D7" s="512" t="s">
        <v>713</v>
      </c>
      <c r="E7" s="512" t="s">
        <v>714</v>
      </c>
      <c r="F7" s="512" t="s">
        <v>715</v>
      </c>
      <c r="G7" s="512" t="s">
        <v>716</v>
      </c>
      <c r="H7" s="512" t="s">
        <v>717</v>
      </c>
      <c r="I7" s="512" t="s">
        <v>718</v>
      </c>
      <c r="J7" s="512" t="s">
        <v>719</v>
      </c>
      <c r="K7" s="512" t="s">
        <v>720</v>
      </c>
      <c r="L7" s="512" t="s">
        <v>721</v>
      </c>
      <c r="M7" s="512" t="s">
        <v>722</v>
      </c>
      <c r="N7" s="512"/>
      <c r="O7" s="513" t="s">
        <v>718</v>
      </c>
      <c r="P7" s="512" t="s">
        <v>719</v>
      </c>
      <c r="Q7" s="512" t="s">
        <v>719</v>
      </c>
      <c r="R7" s="514" t="s">
        <v>723</v>
      </c>
      <c r="S7" s="514" t="s">
        <v>724</v>
      </c>
      <c r="T7" s="514" t="s">
        <v>725</v>
      </c>
      <c r="U7" s="514" t="s">
        <v>726</v>
      </c>
      <c r="V7" s="514" t="s">
        <v>727</v>
      </c>
      <c r="W7" s="514" t="s">
        <v>728</v>
      </c>
      <c r="X7" s="514" t="s">
        <v>729</v>
      </c>
      <c r="Y7" s="514" t="s">
        <v>730</v>
      </c>
      <c r="Z7" s="514" t="s">
        <v>731</v>
      </c>
      <c r="AA7" s="514" t="s">
        <v>732</v>
      </c>
      <c r="AB7" s="514" t="s">
        <v>733</v>
      </c>
      <c r="AC7" s="514" t="s">
        <v>734</v>
      </c>
      <c r="AD7" s="514" t="s">
        <v>735</v>
      </c>
      <c r="AF7" s="516" t="s">
        <v>736</v>
      </c>
      <c r="AG7" s="516" t="s">
        <v>737</v>
      </c>
      <c r="AH7" s="516" t="s">
        <v>738</v>
      </c>
      <c r="AI7" s="516" t="s">
        <v>739</v>
      </c>
      <c r="AJ7" s="516" t="s">
        <v>740</v>
      </c>
      <c r="AK7" s="516" t="s">
        <v>741</v>
      </c>
      <c r="AL7" s="516" t="s">
        <v>742</v>
      </c>
      <c r="AM7" s="516" t="s">
        <v>743</v>
      </c>
      <c r="AN7" s="517" t="s">
        <v>744</v>
      </c>
      <c r="AO7" s="517" t="s">
        <v>745</v>
      </c>
      <c r="AP7" s="517" t="s">
        <v>746</v>
      </c>
      <c r="AQ7" s="517" t="s">
        <v>747</v>
      </c>
      <c r="AR7" s="1281" t="s">
        <v>748</v>
      </c>
      <c r="AS7" s="1286" t="s">
        <v>749</v>
      </c>
      <c r="AT7" s="1294" t="s">
        <v>750</v>
      </c>
    </row>
    <row r="8" spans="1:46" s="525" customFormat="1" ht="39.75" customHeight="1" x14ac:dyDescent="0.35">
      <c r="A8" s="512" t="s">
        <v>710</v>
      </c>
      <c r="B8" s="512" t="s">
        <v>711</v>
      </c>
      <c r="C8" s="512" t="s">
        <v>712</v>
      </c>
      <c r="D8" s="512" t="s">
        <v>751</v>
      </c>
      <c r="E8" s="512" t="s">
        <v>752</v>
      </c>
      <c r="F8" s="518" t="s">
        <v>753</v>
      </c>
      <c r="G8" s="518" t="s">
        <v>754</v>
      </c>
      <c r="H8" s="519" t="s">
        <v>755</v>
      </c>
      <c r="I8" s="520" t="s">
        <v>568</v>
      </c>
      <c r="J8" s="520" t="s">
        <v>470</v>
      </c>
      <c r="K8" s="521" t="s">
        <v>567</v>
      </c>
      <c r="L8" s="522" t="s">
        <v>756</v>
      </c>
      <c r="M8" s="522" t="s">
        <v>757</v>
      </c>
      <c r="N8" s="512" t="s">
        <v>758</v>
      </c>
      <c r="O8" s="523" t="s">
        <v>1770</v>
      </c>
      <c r="P8" s="524" t="s">
        <v>1771</v>
      </c>
      <c r="Q8" s="524" t="s">
        <v>759</v>
      </c>
      <c r="R8" s="514" t="s">
        <v>760</v>
      </c>
      <c r="S8" s="514" t="s">
        <v>761</v>
      </c>
      <c r="T8" s="514" t="s">
        <v>762</v>
      </c>
      <c r="U8" s="514" t="s">
        <v>763</v>
      </c>
      <c r="V8" s="514" t="s">
        <v>764</v>
      </c>
      <c r="W8" s="514" t="s">
        <v>765</v>
      </c>
      <c r="X8" s="514" t="s">
        <v>766</v>
      </c>
      <c r="Y8" s="514" t="s">
        <v>767</v>
      </c>
      <c r="Z8" s="514" t="s">
        <v>768</v>
      </c>
      <c r="AA8" s="514" t="s">
        <v>769</v>
      </c>
      <c r="AB8" s="514" t="s">
        <v>770</v>
      </c>
      <c r="AC8" s="514" t="s">
        <v>771</v>
      </c>
      <c r="AD8" s="514" t="s">
        <v>772</v>
      </c>
      <c r="AF8" s="526" t="s">
        <v>773</v>
      </c>
      <c r="AG8" s="526" t="s">
        <v>774</v>
      </c>
      <c r="AH8" s="526" t="s">
        <v>775</v>
      </c>
      <c r="AI8" s="526" t="s">
        <v>776</v>
      </c>
      <c r="AJ8" s="526" t="s">
        <v>777</v>
      </c>
      <c r="AK8" s="526" t="s">
        <v>778</v>
      </c>
      <c r="AL8" s="526" t="s">
        <v>779</v>
      </c>
      <c r="AM8" s="526" t="s">
        <v>780</v>
      </c>
      <c r="AN8" s="526" t="s">
        <v>2219</v>
      </c>
      <c r="AO8" s="527" t="s">
        <v>745</v>
      </c>
      <c r="AP8" s="527" t="s">
        <v>746</v>
      </c>
      <c r="AQ8" s="527" t="s">
        <v>747</v>
      </c>
      <c r="AR8" s="1282" t="s">
        <v>781</v>
      </c>
      <c r="AS8" s="1287" t="s">
        <v>749</v>
      </c>
      <c r="AT8" s="1295" t="s">
        <v>750</v>
      </c>
    </row>
    <row r="9" spans="1:46" s="533" customFormat="1" ht="16.399999999999999" customHeight="1" x14ac:dyDescent="0.35">
      <c r="A9" s="528" t="s">
        <v>782</v>
      </c>
      <c r="B9" s="528" t="s">
        <v>783</v>
      </c>
      <c r="C9" s="529" t="s">
        <v>325</v>
      </c>
      <c r="D9" s="529"/>
      <c r="E9" s="529"/>
      <c r="F9" s="529"/>
      <c r="G9" s="529"/>
      <c r="H9" s="530" t="s">
        <v>784</v>
      </c>
      <c r="I9" s="530" t="s">
        <v>785</v>
      </c>
      <c r="J9" s="529"/>
      <c r="K9" s="529"/>
      <c r="L9" s="531"/>
      <c r="M9" s="531"/>
      <c r="N9" s="529"/>
      <c r="O9" s="530" t="s">
        <v>785</v>
      </c>
      <c r="P9" s="529"/>
      <c r="Q9" s="529"/>
      <c r="R9" s="532">
        <f t="shared" ref="R9:AD9" ca="1" si="0">SUM(R10:R20)</f>
        <v>409878578.2352941</v>
      </c>
      <c r="S9" s="532">
        <f t="shared" ca="1" si="0"/>
        <v>417703402.2352941</v>
      </c>
      <c r="T9" s="532">
        <f t="shared" ca="1" si="0"/>
        <v>399417185.2352941</v>
      </c>
      <c r="U9" s="532">
        <f t="shared" ca="1" si="0"/>
        <v>425647304.2352941</v>
      </c>
      <c r="V9" s="532">
        <f t="shared" ca="1" si="0"/>
        <v>400784828.2352941</v>
      </c>
      <c r="W9" s="532">
        <f t="shared" ca="1" si="0"/>
        <v>419433922.2352941</v>
      </c>
      <c r="X9" s="532">
        <f t="shared" ca="1" si="0"/>
        <v>450962373.2352941</v>
      </c>
      <c r="Y9" s="532">
        <f t="shared" ca="1" si="0"/>
        <v>462928846.2352941</v>
      </c>
      <c r="Z9" s="532">
        <f t="shared" ca="1" si="0"/>
        <v>455903505.2352941</v>
      </c>
      <c r="AA9" s="532">
        <f t="shared" ca="1" si="0"/>
        <v>404478555.2352941</v>
      </c>
      <c r="AB9" s="532">
        <f t="shared" ca="1" si="0"/>
        <v>419433922.2352941</v>
      </c>
      <c r="AC9" s="532">
        <f t="shared" ca="1" si="0"/>
        <v>409079689.2352941</v>
      </c>
      <c r="AD9" s="532">
        <f t="shared" ca="1" si="0"/>
        <v>5075652111.8235292</v>
      </c>
      <c r="AF9" s="532">
        <f t="shared" ref="AF9:AR9" ca="1" si="1">SUM(AF10:AF20)</f>
        <v>392510592</v>
      </c>
      <c r="AG9" s="532">
        <f t="shared" ca="1" si="1"/>
        <v>420244502</v>
      </c>
      <c r="AH9" s="532">
        <f t="shared" ca="1" si="1"/>
        <v>478132915</v>
      </c>
      <c r="AI9" s="532">
        <f t="shared" ca="1" si="1"/>
        <v>469000432</v>
      </c>
      <c r="AJ9" s="532">
        <f t="shared" ca="1" si="1"/>
        <v>394494575</v>
      </c>
      <c r="AK9" s="532">
        <f t="shared" ca="1" si="1"/>
        <v>446723776</v>
      </c>
      <c r="AL9" s="532">
        <f t="shared" ca="1" si="1"/>
        <v>499282178</v>
      </c>
      <c r="AM9" s="532">
        <f t="shared" ca="1" si="1"/>
        <v>400524567</v>
      </c>
      <c r="AN9" s="532">
        <f t="shared" ca="1" si="1"/>
        <v>397725346</v>
      </c>
      <c r="AO9" s="532">
        <f t="shared" ca="1" si="1"/>
        <v>500191314.53333306</v>
      </c>
      <c r="AP9" s="532">
        <f t="shared" ca="1" si="1"/>
        <v>500191314.53333306</v>
      </c>
      <c r="AQ9" s="532">
        <f t="shared" ca="1" si="1"/>
        <v>500191314.53333306</v>
      </c>
      <c r="AR9" s="1283">
        <f t="shared" ca="1" si="1"/>
        <v>5399212826.5999994</v>
      </c>
      <c r="AS9" s="1288">
        <f ca="1">AD9-AR9</f>
        <v>-323560714.77647018</v>
      </c>
      <c r="AT9" s="1296">
        <f ca="1">IFERROR(AS9/AR9,0)</f>
        <v>-5.992738667059052E-2</v>
      </c>
    </row>
    <row r="10" spans="1:46" s="539" customFormat="1" ht="16.399999999999999" customHeight="1" outlineLevel="1" x14ac:dyDescent="0.35">
      <c r="A10" s="534" t="s">
        <v>782</v>
      </c>
      <c r="B10" s="534" t="s">
        <v>783</v>
      </c>
      <c r="C10" s="535" t="s">
        <v>325</v>
      </c>
      <c r="D10" s="536" t="s">
        <v>195</v>
      </c>
      <c r="E10" s="536" t="s">
        <v>786</v>
      </c>
      <c r="F10" s="536" t="s">
        <v>787</v>
      </c>
      <c r="G10" s="536" t="s">
        <v>609</v>
      </c>
      <c r="H10" s="536" t="s">
        <v>788</v>
      </c>
      <c r="I10" s="535">
        <v>6220002601</v>
      </c>
      <c r="J10" s="536" t="s">
        <v>454</v>
      </c>
      <c r="K10" s="536" t="s">
        <v>569</v>
      </c>
      <c r="L10" s="535" t="s">
        <v>789</v>
      </c>
      <c r="M10" s="536" t="s">
        <v>790</v>
      </c>
      <c r="N10" s="536"/>
      <c r="O10" s="535" t="s">
        <v>2213</v>
      </c>
      <c r="P10" s="536" t="s">
        <v>790</v>
      </c>
      <c r="Q10" s="536"/>
      <c r="R10" s="537">
        <f ca="1">SUMIF(CPSX!$D$28:$W$106,'FORM OH'!$I$10,CPSX!K28:K106)</f>
        <v>319281001</v>
      </c>
      <c r="S10" s="537">
        <f ca="1">SUMIF(CPSX!$D$28:$W$106,'FORM OH'!$I$10,CPSX!L28:L106)</f>
        <v>315134117</v>
      </c>
      <c r="T10" s="537">
        <f ca="1">SUMIF(CPSX!$D$28:$W$106,'FORM OH'!$I$10,CPSX!M28:M106)</f>
        <v>304474766</v>
      </c>
      <c r="U10" s="537">
        <f ca="1">SUMIF(CPSX!$D$28:$W$106,'FORM OH'!$I$10,CPSX!N28:N106)</f>
        <v>331634117</v>
      </c>
      <c r="V10" s="537">
        <f ca="1">SUMIF(CPSX!$D$28:$W$106,'FORM OH'!$I$10,CPSX!O28:O106)</f>
        <v>303627885</v>
      </c>
      <c r="W10" s="537">
        <f ca="1">SUMIF(CPSX!$D$28:$W$106,'FORM OH'!$I$10,CPSX!P28:P106)</f>
        <v>331634117</v>
      </c>
      <c r="X10" s="537">
        <f ca="1">SUMIF(CPSX!$D$28:$W$106,'FORM OH'!$I$10,CPSX!Q28:Q106)</f>
        <v>322581001</v>
      </c>
      <c r="Y10" s="537">
        <f ca="1">SUMIF(CPSX!$D$28:$W$106,'FORM OH'!$I$10,CPSX!R28:R106)</f>
        <v>322581001</v>
      </c>
      <c r="Z10" s="537">
        <f ca="1">SUMIF(CPSX!$D$28:$W$106,'FORM OH'!$I$10,CPSX!S28:S106)</f>
        <v>325034117</v>
      </c>
      <c r="AA10" s="537">
        <f ca="1">SUMIF(CPSX!$D$28:$W$106,'FORM OH'!$I$10,CPSX!T28:T106)</f>
        <v>313527885</v>
      </c>
      <c r="AB10" s="537">
        <f ca="1">SUMIF(CPSX!$D$28:$W$106,'FORM OH'!$I$10,CPSX!U28:U106)</f>
        <v>331634117</v>
      </c>
      <c r="AC10" s="537">
        <f ca="1">SUMIF(CPSX!$D$28:$W$106,'FORM OH'!$I$10,CPSX!V28:V106)</f>
        <v>322581001</v>
      </c>
      <c r="AD10" s="537">
        <f ca="1">SUM(R10:AC10)</f>
        <v>3843725125</v>
      </c>
      <c r="AE10" s="533"/>
      <c r="AF10" s="537">
        <f ca="1">SUMIF(CPSX!$D$28:$W$106,'FORM OH'!$I$10,CPSX!Y28:Y106)</f>
        <v>313398044</v>
      </c>
      <c r="AG10" s="537">
        <f ca="1">SUMIF(CPSX!$D$28:$W$106,'FORM OH'!$I$10,CPSX!Z28:Z106)</f>
        <v>334053041</v>
      </c>
      <c r="AH10" s="537">
        <f ca="1">SUMIF(CPSX!$D$28:$W$106,'FORM OH'!$I$10,CPSX!AA28:AA106)</f>
        <v>389512950</v>
      </c>
      <c r="AI10" s="537">
        <f ca="1">SUMIF(CPSX!$D$28:$W$106,'FORM OH'!$I$10,CPSX!AB28:AB106)</f>
        <v>386175704</v>
      </c>
      <c r="AJ10" s="537">
        <f ca="1">SUMIF(CPSX!$D$28:$W$106,'FORM OH'!$I$10,CPSX!AC28:AC106)</f>
        <v>315774843</v>
      </c>
      <c r="AK10" s="537">
        <f ca="1">SUMIF(CPSX!$D$28:$W$106,'FORM OH'!$I$10,CPSX!AD28:AD106)</f>
        <v>366425376</v>
      </c>
      <c r="AL10" s="537">
        <f ca="1">SUMIF(CPSX!$D$28:$W$106,'FORM OH'!$I$10,CPSX!AE28:AE106)</f>
        <v>375641348</v>
      </c>
      <c r="AM10" s="537">
        <f ca="1">SUMIF(CPSX!$D$28:$W$106,'FORM OH'!$I$10,CPSX!AF28:AF106)</f>
        <v>365311869</v>
      </c>
      <c r="AN10" s="537">
        <f ca="1">SUMIF(CPSX!$D$28:$W$106,'FORM OH'!$I$10,CPSX!AG28:AG106)</f>
        <v>326101430</v>
      </c>
      <c r="AO10" s="537">
        <f ca="1">SUMIF(CPSX!$D$28:$W$106,'FORM OH'!$I$10,CPSX!AH28:AH106)</f>
        <v>396356929.33333302</v>
      </c>
      <c r="AP10" s="537">
        <f ca="1">SUMIF(CPSX!$D$28:$W$106,'FORM OH'!$I$10,CPSX!AI28:AI106)</f>
        <v>396356929.33333302</v>
      </c>
      <c r="AQ10" s="537">
        <f ca="1">SUMIF(CPSX!$D$28:$W$106,'FORM OH'!$I$11,CPSX!AJ27:AJ105)</f>
        <v>396356929.33333302</v>
      </c>
      <c r="AR10" s="1303">
        <f ca="1">SUM(AF10:AQ10)</f>
        <v>4361465392.999999</v>
      </c>
      <c r="AS10" s="1303">
        <f t="shared" ref="AS10:AS73" ca="1" si="2">AD10-AR10</f>
        <v>-517740267.99999905</v>
      </c>
      <c r="AT10" s="1304">
        <f t="shared" ref="AT10:AT73" ca="1" si="3">IFERROR(AS10/AR10,0)</f>
        <v>-0.11870787025639462</v>
      </c>
    </row>
    <row r="11" spans="1:46" s="539" customFormat="1" ht="16.399999999999999" customHeight="1" outlineLevel="1" x14ac:dyDescent="0.35">
      <c r="A11" s="534" t="s">
        <v>782</v>
      </c>
      <c r="B11" s="534" t="s">
        <v>783</v>
      </c>
      <c r="C11" s="535" t="s">
        <v>325</v>
      </c>
      <c r="D11" s="536" t="s">
        <v>195</v>
      </c>
      <c r="E11" s="536" t="s">
        <v>786</v>
      </c>
      <c r="F11" s="536" t="s">
        <v>787</v>
      </c>
      <c r="G11" s="536" t="s">
        <v>609</v>
      </c>
      <c r="H11" s="536" t="s">
        <v>788</v>
      </c>
      <c r="I11" s="535">
        <v>6220002602</v>
      </c>
      <c r="J11" s="536" t="s">
        <v>455</v>
      </c>
      <c r="K11" s="536" t="s">
        <v>569</v>
      </c>
      <c r="L11" s="535" t="s">
        <v>791</v>
      </c>
      <c r="M11" s="536" t="s">
        <v>792</v>
      </c>
      <c r="N11" s="536"/>
      <c r="O11" s="535" t="s">
        <v>2214</v>
      </c>
      <c r="P11" s="536" t="s">
        <v>792</v>
      </c>
      <c r="Q11" s="536"/>
      <c r="R11" s="537">
        <f ca="1">SUMIF(CPSX!$D$28:$W$106,'FORM OH'!I11,CPSX!$K$28:$K$106)</f>
        <v>14238964</v>
      </c>
      <c r="S11" s="537">
        <f ca="1">SUMIF(CPSX!$D$28:$W$106,'FORM OH'!$I$11,CPSX!L28:L106)</f>
        <v>14238964</v>
      </c>
      <c r="T11" s="537">
        <f ca="1">SUMIF(CPSX!$D$28:$W$106,'FORM OH'!$I$11,CPSX!M28:M106)</f>
        <v>14238964</v>
      </c>
      <c r="U11" s="537">
        <f ca="1">SUMIF(CPSX!$D$28:$W$106,'FORM OH'!$I$11,CPSX!N28:N106)</f>
        <v>14238964</v>
      </c>
      <c r="V11" s="537">
        <f ca="1">SUMIF(CPSX!$D$28:$W$106,'FORM OH'!$I$11,CPSX!O28:O106)</f>
        <v>14238964</v>
      </c>
      <c r="W11" s="537">
        <f ca="1">SUMIF(CPSX!$D$28:$W$106,'FORM OH'!$I$11,CPSX!P28:P106)</f>
        <v>14238964</v>
      </c>
      <c r="X11" s="537">
        <f ca="1">SUMIF(CPSX!$D$28:$W$106,'FORM OH'!$I$11,CPSX!Q28:Q106)</f>
        <v>14238964</v>
      </c>
      <c r="Y11" s="537">
        <f ca="1">SUMIF(CPSX!$D$28:$W$106,'FORM OH'!$I$11,CPSX!R28:R106)</f>
        <v>14238964</v>
      </c>
      <c r="Z11" s="537">
        <f ca="1">SUMIF(CPSX!$D$28:$W$106,'FORM OH'!$I$11,CPSX!S28:S106)</f>
        <v>14238964</v>
      </c>
      <c r="AA11" s="537">
        <f ca="1">SUMIF(CPSX!$D$28:$W$106,'FORM OH'!$I$11,CPSX!T28:T106)</f>
        <v>14238964</v>
      </c>
      <c r="AB11" s="537">
        <f ca="1">SUMIF(CPSX!$D$28:$W$106,'FORM OH'!$I$11,CPSX!U28:U106)</f>
        <v>14238964</v>
      </c>
      <c r="AC11" s="537">
        <f ca="1">SUMIF(CPSX!$D$28:$W$106,'FORM OH'!$I$11,CPSX!V28:V106)</f>
        <v>14238964</v>
      </c>
      <c r="AD11" s="537">
        <f t="shared" ref="AD11:AD20" ca="1" si="4">SUM(R11:AC11)</f>
        <v>170867568</v>
      </c>
      <c r="AE11" s="533"/>
      <c r="AF11" s="537">
        <f ca="1">SUMIF(CPSX!$D$28:$W$106,'FORM OH'!$I$11,CPSX!Y28:Y106)</f>
        <v>15575000</v>
      </c>
      <c r="AG11" s="537">
        <f ca="1">SUMIF(CPSX!$D$28:$W$106,'FORM OH'!$I$11,CPSX!Z28:Z106)</f>
        <v>15158333</v>
      </c>
      <c r="AH11" s="537">
        <f ca="1">SUMIF(CPSX!$D$28:$W$106,'FORM OH'!$I$11,CPSX!AA28:AA106)</f>
        <v>14741667</v>
      </c>
      <c r="AI11" s="537">
        <f ca="1">SUMIF(CPSX!$D$28:$W$106,'FORM OH'!$I$11,CPSX!AB28:AB106)</f>
        <v>13075000</v>
      </c>
      <c r="AJ11" s="537">
        <f ca="1">SUMIF(CPSX!$D$28:$W$106,'FORM OH'!$I$11,CPSX!AC28:AC106)</f>
        <v>12175000</v>
      </c>
      <c r="AK11" s="537">
        <f ca="1">SUMIF(CPSX!$D$28:$W$106,'FORM OH'!$I$11,CPSX!AD28:AD106)</f>
        <v>12591667</v>
      </c>
      <c r="AL11" s="537">
        <f ca="1">SUMIF(CPSX!$D$28:$W$106,'FORM OH'!$I$11,CPSX!AE28:AE106)</f>
        <v>12525000</v>
      </c>
      <c r="AM11" s="537">
        <f ca="1">SUMIF(CPSX!$D$28:$W$106,'FORM OH'!$I$11,CPSX!AF28:AF106)</f>
        <v>11691667</v>
      </c>
      <c r="AN11" s="537">
        <f ca="1">SUMIF(CPSX!$D$28:$W$106,'FORM OH'!$I$11,CPSX!AG28:AG106)</f>
        <v>11691667</v>
      </c>
      <c r="AO11" s="537">
        <f ca="1">SUMIF(CPSX!$D$28:$W$106,'FORM OH'!$I$11,CPSX!AH28:AH106)</f>
        <v>11691666.333333343</v>
      </c>
      <c r="AP11" s="537">
        <f ca="1">SUMIF(CPSX!$D$28:$W$106,'FORM OH'!$I$11,CPSX!AI28:AI106)</f>
        <v>11691666.333333343</v>
      </c>
      <c r="AQ11" s="537">
        <f ca="1">SUMIF(CPSX!$D$28:$W$106,'FORM OH'!$I$11,CPSX!AJ28:AJ106)</f>
        <v>11691666.333333343</v>
      </c>
      <c r="AR11" s="1305">
        <f t="shared" ref="AR11:AR36" ca="1" si="5">SUM(AF11:AQ11)</f>
        <v>154300000.00000003</v>
      </c>
      <c r="AS11" s="1305">
        <f t="shared" ca="1" si="2"/>
        <v>16567567.99999997</v>
      </c>
      <c r="AT11" s="1306">
        <f t="shared" ca="1" si="3"/>
        <v>0.10737244329228754</v>
      </c>
    </row>
    <row r="12" spans="1:46" s="539" customFormat="1" ht="16.399999999999999" customHeight="1" outlineLevel="1" x14ac:dyDescent="0.35">
      <c r="A12" s="534" t="s">
        <v>782</v>
      </c>
      <c r="B12" s="534" t="s">
        <v>783</v>
      </c>
      <c r="C12" s="535" t="s">
        <v>325</v>
      </c>
      <c r="D12" s="536" t="s">
        <v>195</v>
      </c>
      <c r="E12" s="536" t="s">
        <v>786</v>
      </c>
      <c r="F12" s="536" t="s">
        <v>793</v>
      </c>
      <c r="G12" s="536" t="s">
        <v>609</v>
      </c>
      <c r="H12" s="536" t="s">
        <v>788</v>
      </c>
      <c r="I12" s="535">
        <v>6220003401</v>
      </c>
      <c r="J12" s="536" t="s">
        <v>456</v>
      </c>
      <c r="K12" s="536" t="s">
        <v>570</v>
      </c>
      <c r="L12" s="535" t="s">
        <v>794</v>
      </c>
      <c r="M12" s="536" t="s">
        <v>795</v>
      </c>
      <c r="N12" s="536"/>
      <c r="O12" s="535" t="s">
        <v>2215</v>
      </c>
      <c r="P12" s="536" t="s">
        <v>795</v>
      </c>
      <c r="Q12" s="536"/>
      <c r="R12" s="537">
        <f ca="1">SUMIF(CPSX!$D$28:$W$106,'FORM OH'!I12,CPSX!$K$28:$K$106)</f>
        <v>35151537</v>
      </c>
      <c r="S12" s="537">
        <f ca="1">SUMIF(CPSX!$D$28:$W$106,'FORM OH'!$I$12,CPSX!L28:L106)</f>
        <v>35151537</v>
      </c>
      <c r="T12" s="537">
        <f ca="1">SUMIF(CPSX!$D$28:$W$106,'FORM OH'!$I$12,CPSX!M28:M106)</f>
        <v>35151537</v>
      </c>
      <c r="U12" s="537">
        <f ca="1">SUMIF(CPSX!$D$28:$W$106,'FORM OH'!$I$12,CPSX!N28:N106)</f>
        <v>35151537</v>
      </c>
      <c r="V12" s="537">
        <f ca="1">SUMIF(CPSX!$D$28:$W$106,'FORM OH'!$I$12,CPSX!O28:O106)</f>
        <v>35151537</v>
      </c>
      <c r="W12" s="537">
        <f ca="1">SUMIF(CPSX!$D$28:$W$106,'FORM OH'!$I$12,CPSX!P28:P106)</f>
        <v>35151537</v>
      </c>
      <c r="X12" s="537">
        <f ca="1">SUMIF(CPSX!$D$28:$W$106,'FORM OH'!$I$12,CPSX!Q28:Q106)</f>
        <v>35151537</v>
      </c>
      <c r="Y12" s="537">
        <f ca="1">SUMIF(CPSX!$D$28:$W$106,'FORM OH'!$I$12,CPSX!R28:R106)</f>
        <v>35151537</v>
      </c>
      <c r="Z12" s="537">
        <f ca="1">SUMIF(CPSX!$D$28:$W$106,'FORM OH'!$I$12,CPSX!S28:S106)</f>
        <v>35151537</v>
      </c>
      <c r="AA12" s="537">
        <f ca="1">SUMIF(CPSX!$D$28:$W$106,'FORM OH'!$I$12,CPSX!T28:T106)</f>
        <v>35151537</v>
      </c>
      <c r="AB12" s="537">
        <f ca="1">SUMIF(CPSX!$D$28:$W$106,'FORM OH'!$I$12,CPSX!U28:U106)</f>
        <v>35151537</v>
      </c>
      <c r="AC12" s="537">
        <f ca="1">SUMIF(CPSX!$D$28:$W$106,'FORM OH'!$I$12,CPSX!V28:V106)</f>
        <v>35151537</v>
      </c>
      <c r="AD12" s="537">
        <f t="shared" ca="1" si="4"/>
        <v>421818444</v>
      </c>
      <c r="AE12" s="533"/>
      <c r="AF12" s="537">
        <f ca="1">SUMIF(CPSX!$D$28:$W$106,'FORM OH'!$I$12,CPSX!Y28:Y106)</f>
        <v>39606590</v>
      </c>
      <c r="AG12" s="537">
        <f ca="1">SUMIF(CPSX!$D$28:$W$106,'FORM OH'!$I$12,CPSX!Z28:Z106)</f>
        <v>34323000</v>
      </c>
      <c r="AH12" s="537">
        <f ca="1">SUMIF(CPSX!$D$28:$W$106,'FORM OH'!$I$12,CPSX!AA28:AA106)</f>
        <v>35639000</v>
      </c>
      <c r="AI12" s="537">
        <f ca="1">SUMIF(CPSX!$D$28:$W$106,'FORM OH'!$I$12,CPSX!AB28:AB106)</f>
        <v>34400000</v>
      </c>
      <c r="AJ12" s="537">
        <f ca="1">SUMIF(CPSX!$D$28:$W$106,'FORM OH'!$I$12,CPSX!AC28:AC106)</f>
        <v>30125000</v>
      </c>
      <c r="AK12" s="537">
        <f ca="1">SUMIF(CPSX!$D$28:$W$106,'FORM OH'!$I$12,CPSX!AD28:AD106)</f>
        <v>31425000</v>
      </c>
      <c r="AL12" s="537">
        <f ca="1">SUMIF(CPSX!$D$28:$W$106,'FORM OH'!$I$12,CPSX!AE28:AE106)</f>
        <v>30550000</v>
      </c>
      <c r="AM12" s="537">
        <f ca="1">SUMIF(CPSX!$D$28:$W$106,'FORM OH'!$I$12,CPSX!AF28:AF106)</f>
        <v>29700000</v>
      </c>
      <c r="AN12" s="537">
        <f ca="1">SUMIF(CPSX!$D$28:$W$106,'FORM OH'!$I$12,CPSX!AG28:AG106)</f>
        <v>29025000</v>
      </c>
      <c r="AO12" s="537">
        <f ca="1">SUMIF(CPSX!$D$28:$W$106,'FORM OH'!$I$12,CPSX!AH28:AH106)</f>
        <v>41560470</v>
      </c>
      <c r="AP12" s="537">
        <f ca="1">SUMIF(CPSX!$D$28:$W$106,'FORM OH'!$I$12,CPSX!AI28:AI106)</f>
        <v>41560470</v>
      </c>
      <c r="AQ12" s="537">
        <f ca="1">SUMIF(CPSX!$D$28:$W$106,'FORM OH'!$I$12,CPSX!AJ28:AJ106)</f>
        <v>41560470</v>
      </c>
      <c r="AR12" s="1305">
        <f t="shared" ca="1" si="5"/>
        <v>419475000</v>
      </c>
      <c r="AS12" s="1305">
        <f t="shared" ca="1" si="2"/>
        <v>2343444</v>
      </c>
      <c r="AT12" s="1306">
        <f t="shared" ca="1" si="3"/>
        <v>5.5866118362238515E-3</v>
      </c>
    </row>
    <row r="13" spans="1:46" s="539" customFormat="1" ht="16.399999999999999" customHeight="1" outlineLevel="1" x14ac:dyDescent="0.35">
      <c r="A13" s="534" t="s">
        <v>782</v>
      </c>
      <c r="B13" s="534" t="s">
        <v>783</v>
      </c>
      <c r="C13" s="535" t="s">
        <v>325</v>
      </c>
      <c r="D13" s="536" t="s">
        <v>195</v>
      </c>
      <c r="E13" s="536" t="s">
        <v>786</v>
      </c>
      <c r="F13" s="536" t="s">
        <v>796</v>
      </c>
      <c r="G13" s="536" t="s">
        <v>609</v>
      </c>
      <c r="H13" s="536" t="s">
        <v>797</v>
      </c>
      <c r="I13" s="535">
        <v>6220002701</v>
      </c>
      <c r="J13" s="536" t="s">
        <v>457</v>
      </c>
      <c r="K13" s="536" t="s">
        <v>569</v>
      </c>
      <c r="L13" s="535" t="s">
        <v>798</v>
      </c>
      <c r="M13" s="536" t="s">
        <v>799</v>
      </c>
      <c r="N13" s="536"/>
      <c r="O13" s="535"/>
      <c r="P13" s="536"/>
      <c r="Q13" s="536"/>
      <c r="R13" s="537">
        <f ca="1">SUMIF(CPSX!$D$28:$W$106,'FORM OH'!I13,CPSX!$K$28:$K$106)</f>
        <v>5753129</v>
      </c>
      <c r="S13" s="537">
        <f ca="1">SUMIF(CPSX!$D$28:$W$106,'FORM OH'!$I$13,CPSX!L28:L106)</f>
        <v>7087837</v>
      </c>
      <c r="T13" s="537">
        <f ca="1">SUMIF(CPSX!$D$28:$W$106,'FORM OH'!$I$13,CPSX!M28:M106)</f>
        <v>16568971</v>
      </c>
      <c r="U13" s="537">
        <f ca="1">SUMIF(CPSX!$D$28:$W$106,'FORM OH'!$I$13,CPSX!N28:N106)</f>
        <v>12426739</v>
      </c>
      <c r="V13" s="537">
        <f ca="1">SUMIF(CPSX!$D$28:$W$106,'FORM OH'!$I$13,CPSX!O28:O106)</f>
        <v>10125495</v>
      </c>
      <c r="W13" s="537">
        <f ca="1">SUMIF(CPSX!$D$28:$W$106,'FORM OH'!$I$13,CPSX!P28:P106)</f>
        <v>6213357</v>
      </c>
      <c r="X13" s="537">
        <f ca="1">SUMIF(CPSX!$D$28:$W$106,'FORM OH'!$I$13,CPSX!Q28:Q106)</f>
        <v>47865924</v>
      </c>
      <c r="Y13" s="537">
        <f ca="1">SUMIF(CPSX!$D$28:$W$106,'FORM OH'!$I$13,CPSX!R28:R106)</f>
        <v>59832397</v>
      </c>
      <c r="Z13" s="537">
        <f ca="1">SUMIF(CPSX!$D$28:$W$106,'FORM OH'!$I$13,CPSX!S28:S106)</f>
        <v>46024940</v>
      </c>
      <c r="AA13" s="537">
        <f ca="1">SUMIF(CPSX!$D$28:$W$106,'FORM OH'!$I$13,CPSX!T28:T106)</f>
        <v>11506222</v>
      </c>
      <c r="AB13" s="537">
        <f ca="1">SUMIF(CPSX!$D$28:$W$106,'FORM OH'!$I$13,CPSX!U28:U106)</f>
        <v>6213357</v>
      </c>
      <c r="AC13" s="537">
        <f ca="1">SUMIF(CPSX!$D$28:$W$106,'FORM OH'!$I$13,CPSX!V28:V106)</f>
        <v>5983240</v>
      </c>
      <c r="AD13" s="537">
        <f t="shared" ca="1" si="4"/>
        <v>235601608</v>
      </c>
      <c r="AE13" s="533"/>
      <c r="AF13" s="537">
        <f ca="1">SUMIF(CPSX!$D$28:$W$106,'FORM OH'!$I$13,CPSX!Y28:Y106)</f>
        <v>0</v>
      </c>
      <c r="AG13" s="537">
        <f ca="1">SUMIF(CPSX!$D$28:$W$106,'FORM OH'!$I$13,CPSX!Z28:Z106)</f>
        <v>0</v>
      </c>
      <c r="AH13" s="537">
        <f ca="1">SUMIF(CPSX!$D$28:$W$106,'FORM OH'!$I$13,CPSX!AA28:AA106)</f>
        <v>0</v>
      </c>
      <c r="AI13" s="537">
        <f ca="1">SUMIF(CPSX!$D$28:$W$106,'FORM OH'!$I$13,CPSX!AB28:AB106)</f>
        <v>0</v>
      </c>
      <c r="AJ13" s="537">
        <f ca="1">SUMIF(CPSX!$D$28:$W$106,'FORM OH'!$I$13,CPSX!AC28:AC106)</f>
        <v>0</v>
      </c>
      <c r="AK13" s="537">
        <f ca="1">SUMIF(CPSX!$D$28:$W$106,'FORM OH'!$I$13,CPSX!AD28:AD106)</f>
        <v>0</v>
      </c>
      <c r="AL13" s="537">
        <f ca="1">SUMIF(CPSX!$D$28:$W$106,'FORM OH'!$I$13,CPSX!AE28:AE106)</f>
        <v>0</v>
      </c>
      <c r="AM13" s="537">
        <f ca="1">SUMIF(CPSX!$D$28:$W$106,'FORM OH'!$I$13,CPSX!AF28:AF106)</f>
        <v>0</v>
      </c>
      <c r="AN13" s="537">
        <f ca="1">SUMIF(CPSX!$D$28:$W$106,'FORM OH'!$I$13,CPSX!AG28:AG106)</f>
        <v>0</v>
      </c>
      <c r="AO13" s="537">
        <f ca="1">SUMIF(CPSX!$D$28:$W$106,'FORM OH'!$I$13,CPSX!AH28:AH106)</f>
        <v>0</v>
      </c>
      <c r="AP13" s="537">
        <f ca="1">SUMIF(CPSX!$D$28:$W$106,'FORM OH'!$I$13,CPSX!AI28:AI106)</f>
        <v>0</v>
      </c>
      <c r="AQ13" s="537">
        <f ca="1">SUMIF(CPSX!$D$28:$W$106,'FORM OH'!$I$13,CPSX!AJ28:AJ106)</f>
        <v>0</v>
      </c>
      <c r="AR13" s="1305">
        <f t="shared" ca="1" si="5"/>
        <v>0</v>
      </c>
      <c r="AS13" s="1305">
        <f t="shared" ca="1" si="2"/>
        <v>235601608</v>
      </c>
      <c r="AT13" s="1306">
        <f t="shared" ca="1" si="3"/>
        <v>0</v>
      </c>
    </row>
    <row r="14" spans="1:46" s="539" customFormat="1" ht="16.399999999999999" customHeight="1" outlineLevel="1" x14ac:dyDescent="0.35">
      <c r="A14" s="534" t="s">
        <v>782</v>
      </c>
      <c r="B14" s="534" t="s">
        <v>783</v>
      </c>
      <c r="C14" s="535" t="s">
        <v>325</v>
      </c>
      <c r="D14" s="536" t="s">
        <v>195</v>
      </c>
      <c r="E14" s="536" t="s">
        <v>786</v>
      </c>
      <c r="F14" s="536" t="s">
        <v>800</v>
      </c>
      <c r="G14" s="536" t="s">
        <v>609</v>
      </c>
      <c r="H14" s="536" t="s">
        <v>801</v>
      </c>
      <c r="I14" s="535">
        <v>6220002802</v>
      </c>
      <c r="J14" s="536" t="s">
        <v>458</v>
      </c>
      <c r="K14" s="536" t="s">
        <v>570</v>
      </c>
      <c r="L14" s="535" t="s">
        <v>802</v>
      </c>
      <c r="M14" s="536" t="s">
        <v>803</v>
      </c>
      <c r="N14" s="536"/>
      <c r="O14" s="535" t="s">
        <v>2216</v>
      </c>
      <c r="P14" s="536" t="s">
        <v>803</v>
      </c>
      <c r="Q14" s="536"/>
      <c r="R14" s="537">
        <f ca="1">SUMIF(CPSX!$D$28:$W$106,'FORM OH'!I14,CPSX!$K$28:$K$106)</f>
        <v>5400000</v>
      </c>
      <c r="S14" s="537">
        <f ca="1">SUMIF(CPSX!$D$28:$W$106,'FORM OH'!$I$14,CPSX!L28:L106)</f>
        <v>0</v>
      </c>
      <c r="T14" s="537">
        <f ca="1">SUMIF(CPSX!$D$28:$W$106,'FORM OH'!$I$14,CPSX!M28:M106)</f>
        <v>0</v>
      </c>
      <c r="U14" s="537">
        <f ca="1">SUMIF(CPSX!$D$28:$W$106,'FORM OH'!$I$14,CPSX!N28:N106)</f>
        <v>0</v>
      </c>
      <c r="V14" s="537">
        <f ca="1">SUMIF(CPSX!$D$28:$W$106,'FORM OH'!$I$14,CPSX!O28:O106)</f>
        <v>10800000</v>
      </c>
      <c r="W14" s="537">
        <f ca="1">SUMIF(CPSX!$D$28:$W$106,'FORM OH'!$I$14,CPSX!P28:P106)</f>
        <v>0</v>
      </c>
      <c r="X14" s="537">
        <f ca="1">SUMIF(CPSX!$D$28:$W$106,'FORM OH'!$I$14,CPSX!Q28:Q106)</f>
        <v>0</v>
      </c>
      <c r="Y14" s="537">
        <f ca="1">SUMIF(CPSX!$D$28:$W$106,'FORM OH'!$I$14,CPSX!R28:R106)</f>
        <v>0</v>
      </c>
      <c r="Z14" s="537">
        <f ca="1">SUMIF(CPSX!$D$28:$W$106,'FORM OH'!$I$14,CPSX!S28:S106)</f>
        <v>5400000</v>
      </c>
      <c r="AA14" s="537">
        <f ca="1">SUMIF(CPSX!$D$28:$W$106,'FORM OH'!$I$14,CPSX!T28:T106)</f>
        <v>0</v>
      </c>
      <c r="AB14" s="537">
        <f ca="1">SUMIF(CPSX!$D$28:$W$106,'FORM OH'!$I$14,CPSX!U28:U106)</f>
        <v>0</v>
      </c>
      <c r="AC14" s="537">
        <f ca="1">SUMIF(CPSX!$D$28:$W$106,'FORM OH'!$I$14,CPSX!V28:V106)</f>
        <v>0</v>
      </c>
      <c r="AD14" s="537">
        <f t="shared" ca="1" si="4"/>
        <v>21600000</v>
      </c>
      <c r="AE14" s="533"/>
      <c r="AF14" s="537">
        <f ca="1">SUMIF(CPSX!$D$28:$W$106,'FORM OH'!$I$14,CPSX!Y28:Y106)</f>
        <v>2647625</v>
      </c>
      <c r="AG14" s="537">
        <f ca="1">SUMIF(CPSX!$D$28:$W$106,'FORM OH'!$I$14,CPSX!Z28:Z106)</f>
        <v>2576795</v>
      </c>
      <c r="AH14" s="537">
        <f ca="1">SUMIF(CPSX!$D$28:$W$106,'FORM OH'!$I$14,CPSX!AA28:AA106)</f>
        <v>2505965</v>
      </c>
      <c r="AI14" s="537">
        <f ca="1">SUMIF(CPSX!$D$28:$W$106,'FORM OH'!$I$14,CPSX!AB28:AB106)</f>
        <v>2585145</v>
      </c>
      <c r="AJ14" s="537">
        <f ca="1">SUMIF(CPSX!$D$28:$W$106,'FORM OH'!$I$14,CPSX!AC28:AC106)</f>
        <v>2069653</v>
      </c>
      <c r="AK14" s="537">
        <f ca="1">SUMIF(CPSX!$D$28:$W$106,'FORM OH'!$I$14,CPSX!AD28:AD106)</f>
        <v>2140483</v>
      </c>
      <c r="AL14" s="537">
        <f ca="1">SUMIF(CPSX!$D$28:$W$106,'FORM OH'!$I$14,CPSX!AE28:AE106)</f>
        <v>2129150</v>
      </c>
      <c r="AM14" s="537">
        <f ca="1">SUMIF(CPSX!$D$28:$W$106,'FORM OH'!$I$14,CPSX!AF28:AF106)</f>
        <v>1987490</v>
      </c>
      <c r="AN14" s="537">
        <f ca="1">SUMIF(CPSX!$D$28:$W$106,'FORM OH'!$I$14,CPSX!AG28:AG106)</f>
        <v>1987490</v>
      </c>
      <c r="AO14" s="537">
        <f ca="1">SUMIF(CPSX!$D$28:$W$106,'FORM OH'!$I$14,CPSX!AH28:AH106)</f>
        <v>21662489.866666678</v>
      </c>
      <c r="AP14" s="537">
        <f ca="1">SUMIF(CPSX!$D$28:$W$106,'FORM OH'!$I$14,CPSX!AI28:AI106)</f>
        <v>21662489.866666678</v>
      </c>
      <c r="AQ14" s="537">
        <f ca="1">SUMIF(CPSX!$D$28:$W$106,'FORM OH'!$I$14,CPSX!AJ28:AJ106)</f>
        <v>21662489.866666678</v>
      </c>
      <c r="AR14" s="1305">
        <f t="shared" ca="1" si="5"/>
        <v>85617265.600000024</v>
      </c>
      <c r="AS14" s="1305">
        <f t="shared" ca="1" si="2"/>
        <v>-64017265.600000024</v>
      </c>
      <c r="AT14" s="1306">
        <f t="shared" ca="1" si="3"/>
        <v>-0.74771443763557899</v>
      </c>
    </row>
    <row r="15" spans="1:46" s="539" customFormat="1" ht="16.399999999999999" customHeight="1" outlineLevel="1" x14ac:dyDescent="0.35">
      <c r="A15" s="534" t="s">
        <v>782</v>
      </c>
      <c r="B15" s="534" t="s">
        <v>783</v>
      </c>
      <c r="C15" s="535" t="s">
        <v>325</v>
      </c>
      <c r="D15" s="536" t="s">
        <v>195</v>
      </c>
      <c r="E15" s="536" t="s">
        <v>786</v>
      </c>
      <c r="F15" s="536" t="s">
        <v>800</v>
      </c>
      <c r="G15" s="536" t="s">
        <v>609</v>
      </c>
      <c r="H15" s="536" t="s">
        <v>801</v>
      </c>
      <c r="I15" s="535">
        <v>6220002806</v>
      </c>
      <c r="J15" s="536" t="s">
        <v>471</v>
      </c>
      <c r="K15" s="536" t="s">
        <v>569</v>
      </c>
      <c r="L15" s="535" t="s">
        <v>804</v>
      </c>
      <c r="M15" s="536" t="s">
        <v>2217</v>
      </c>
      <c r="N15" s="536"/>
      <c r="O15" s="535"/>
      <c r="P15" s="536"/>
      <c r="Q15" s="536"/>
      <c r="R15" s="537">
        <f ca="1">SUMIF(CPSX!$D$28:$W$106,'FORM OH'!I15,CPSX!$K$28:$K$106)</f>
        <v>1371159</v>
      </c>
      <c r="S15" s="537">
        <f ca="1">SUMIF(CPSX!$D$28:$W$106,'FORM OH'!$I$15,CPSX!L28:L106)</f>
        <v>1371159</v>
      </c>
      <c r="T15" s="537">
        <f ca="1">SUMIF(CPSX!$D$28:$W$106,'FORM OH'!$I$15,CPSX!M28:M106)</f>
        <v>1371159</v>
      </c>
      <c r="U15" s="537">
        <f ca="1">SUMIF(CPSX!$D$28:$W$106,'FORM OH'!$I$15,CPSX!N28:N106)</f>
        <v>1371159</v>
      </c>
      <c r="V15" s="537">
        <f ca="1">SUMIF(CPSX!$D$28:$W$106,'FORM OH'!$I$15,CPSX!O28:O106)</f>
        <v>1371159</v>
      </c>
      <c r="W15" s="537">
        <f ca="1">SUMIF(CPSX!$D$28:$W$106,'FORM OH'!$I$15,CPSX!P28:P106)</f>
        <v>1371159</v>
      </c>
      <c r="X15" s="537">
        <f ca="1">SUMIF(CPSX!$D$28:$W$106,'FORM OH'!$I$15,CPSX!Q28:Q106)</f>
        <v>1371159</v>
      </c>
      <c r="Y15" s="537">
        <f ca="1">SUMIF(CPSX!$D$28:$W$106,'FORM OH'!$I$15,CPSX!R28:R106)</f>
        <v>1371159</v>
      </c>
      <c r="Z15" s="537">
        <f ca="1">SUMIF(CPSX!$D$28:$W$106,'FORM OH'!$I$15,CPSX!S28:S106)</f>
        <v>1371159</v>
      </c>
      <c r="AA15" s="537">
        <f ca="1">SUMIF(CPSX!$D$28:$W$106,'FORM OH'!$I$15,CPSX!T28:T106)</f>
        <v>1371159</v>
      </c>
      <c r="AB15" s="537">
        <f ca="1">SUMIF(CPSX!$D$28:$W$106,'FORM OH'!$I$15,CPSX!U28:U106)</f>
        <v>1371159</v>
      </c>
      <c r="AC15" s="537">
        <f ca="1">SUMIF(CPSX!$D$28:$W$106,'FORM OH'!$I$15,CPSX!V28:V106)</f>
        <v>1371159</v>
      </c>
      <c r="AD15" s="537">
        <f t="shared" ca="1" si="4"/>
        <v>16453908</v>
      </c>
      <c r="AE15" s="533"/>
      <c r="AF15" s="537">
        <f ca="1">SUMIF(CPSX!$D$28:$W$106,'FORM OH'!$I$15,CPSX!Y28:Y106)</f>
        <v>0</v>
      </c>
      <c r="AG15" s="537">
        <f ca="1">SUMIF(CPSX!$D$28:$W$106,'FORM OH'!$I$15,CPSX!Z28:Z106)</f>
        <v>0</v>
      </c>
      <c r="AH15" s="537">
        <f ca="1">SUMIF(CPSX!$D$28:$W$106,'FORM OH'!$I$15,CPSX!AA28:AA106)</f>
        <v>0</v>
      </c>
      <c r="AI15" s="537">
        <f ca="1">SUMIF(CPSX!$D$28:$W$106,'FORM OH'!$I$15,CPSX!AB28:AB106)</f>
        <v>0</v>
      </c>
      <c r="AJ15" s="537">
        <f ca="1">SUMIF(CPSX!$D$28:$W$106,'FORM OH'!$I$15,CPSX!AC28:AC106)</f>
        <v>0</v>
      </c>
      <c r="AK15" s="537">
        <f ca="1">SUMIF(CPSX!$D$28:$W$106,'FORM OH'!$I$15,CPSX!AD28:AD106)</f>
        <v>0</v>
      </c>
      <c r="AL15" s="537">
        <f ca="1">SUMIF(CPSX!$D$28:$W$106,'FORM OH'!$I$15,CPSX!AE28:AE106)</f>
        <v>0</v>
      </c>
      <c r="AM15" s="537">
        <f ca="1">SUMIF(CPSX!$D$28:$W$106,'FORM OH'!$I$15,CPSX!AF28:AF106)</f>
        <v>0</v>
      </c>
      <c r="AN15" s="537">
        <f ca="1">SUMIF(CPSX!$D$28:$W$106,'FORM OH'!$I$15,CPSX!AG28:AG106)</f>
        <v>0</v>
      </c>
      <c r="AO15" s="537">
        <f ca="1">SUMIF(CPSX!$D$28:$W$106,'FORM OH'!$I$15,CPSX!AH28:AH106)</f>
        <v>0</v>
      </c>
      <c r="AP15" s="537">
        <f ca="1">SUMIF(CPSX!$D$28:$W$106,'FORM OH'!$I$15,CPSX!AI28:AI106)</f>
        <v>0</v>
      </c>
      <c r="AQ15" s="537">
        <f ca="1">SUMIF(CPSX!$D$28:$W$106,'FORM OH'!$I$15,CPSX!AJ28:AJ106)</f>
        <v>0</v>
      </c>
      <c r="AR15" s="1305">
        <f t="shared" ca="1" si="5"/>
        <v>0</v>
      </c>
      <c r="AS15" s="1305">
        <f t="shared" ca="1" si="2"/>
        <v>16453908</v>
      </c>
      <c r="AT15" s="1306">
        <f t="shared" ca="1" si="3"/>
        <v>0</v>
      </c>
    </row>
    <row r="16" spans="1:46" s="539" customFormat="1" ht="16.399999999999999" customHeight="1" outlineLevel="1" x14ac:dyDescent="0.35">
      <c r="A16" s="534" t="s">
        <v>782</v>
      </c>
      <c r="B16" s="534" t="s">
        <v>783</v>
      </c>
      <c r="C16" s="535" t="s">
        <v>325</v>
      </c>
      <c r="D16" s="536" t="s">
        <v>195</v>
      </c>
      <c r="E16" s="536" t="s">
        <v>786</v>
      </c>
      <c r="F16" s="536" t="s">
        <v>805</v>
      </c>
      <c r="G16" s="536" t="s">
        <v>609</v>
      </c>
      <c r="H16" s="536" t="s">
        <v>806</v>
      </c>
      <c r="I16" s="535">
        <v>6220002603</v>
      </c>
      <c r="J16" s="536" t="s">
        <v>459</v>
      </c>
      <c r="K16" s="536" t="s">
        <v>569</v>
      </c>
      <c r="L16" s="535" t="s">
        <v>807</v>
      </c>
      <c r="M16" s="536" t="s">
        <v>808</v>
      </c>
      <c r="N16" s="536"/>
      <c r="O16" s="535"/>
      <c r="P16" s="536"/>
      <c r="Q16" s="536"/>
      <c r="R16" s="537">
        <f ca="1">SUMIF(CPSX!$D$28:$W$106,'FORM OH'!I16,CPSX!$K$28:$K$106)</f>
        <v>0</v>
      </c>
      <c r="S16" s="537">
        <f ca="1">SUMIF(CPSX!$D$28:$W$106,'FORM OH'!$I$16,CPSX!L28:L106)</f>
        <v>0</v>
      </c>
      <c r="T16" s="537">
        <f ca="1">SUMIF(CPSX!$D$28:$W$106,'FORM OH'!$I$16,CPSX!M28:M106)</f>
        <v>0</v>
      </c>
      <c r="U16" s="537">
        <f ca="1">SUMIF(CPSX!$D$28:$W$106,'FORM OH'!$I$16,CPSX!N28:N106)</f>
        <v>0</v>
      </c>
      <c r="V16" s="537">
        <f ca="1">SUMIF(CPSX!$D$28:$W$106,'FORM OH'!$I$16,CPSX!O28:O106)</f>
        <v>0</v>
      </c>
      <c r="W16" s="537">
        <f ca="1">SUMIF(CPSX!$D$28:$W$106,'FORM OH'!$I$16,CPSX!P28:P106)</f>
        <v>0</v>
      </c>
      <c r="X16" s="537">
        <f ca="1">SUMIF(CPSX!$D$28:$W$106,'FORM OH'!$I$16,CPSX!Q28:Q106)</f>
        <v>0</v>
      </c>
      <c r="Y16" s="537">
        <f ca="1">SUMIF(CPSX!$D$28:$W$106,'FORM OH'!$I$16,CPSX!R28:R106)</f>
        <v>0</v>
      </c>
      <c r="Z16" s="537">
        <f ca="1">SUMIF(CPSX!$D$28:$W$106,'FORM OH'!$I$16,CPSX!S28:S106)</f>
        <v>0</v>
      </c>
      <c r="AA16" s="537">
        <f ca="1">SUMIF(CPSX!$D$28:$W$106,'FORM OH'!$I$16,CPSX!T28:T106)</f>
        <v>0</v>
      </c>
      <c r="AB16" s="537">
        <f ca="1">SUMIF(CPSX!$D$28:$W$106,'FORM OH'!$I$16,CPSX!U28:U106)</f>
        <v>0</v>
      </c>
      <c r="AC16" s="537">
        <f ca="1">SUMIF(CPSX!$D$28:$W$106,'FORM OH'!$I$16,CPSX!V28:V106)</f>
        <v>0</v>
      </c>
      <c r="AD16" s="537">
        <f t="shared" ca="1" si="4"/>
        <v>0</v>
      </c>
      <c r="AE16" s="533"/>
      <c r="AF16" s="537">
        <f ca="1">SUMIF(CPSX!$D$28:$W$106,'FORM OH'!$I$16,CPSX!Y28:Y106)</f>
        <v>0</v>
      </c>
      <c r="AG16" s="537">
        <f ca="1">SUMIF(CPSX!$D$28:$W$106,'FORM OH'!$I$16,CPSX!Z28:Z106)</f>
        <v>0</v>
      </c>
      <c r="AH16" s="537">
        <f ca="1">SUMIF(CPSX!$D$28:$W$106,'FORM OH'!$I$16,CPSX!AA28:AA106)</f>
        <v>0</v>
      </c>
      <c r="AI16" s="537">
        <f ca="1">SUMIF(CPSX!$D$28:$W$106,'FORM OH'!$I$16,CPSX!AB28:AB106)</f>
        <v>0</v>
      </c>
      <c r="AJ16" s="537">
        <f ca="1">SUMIF(CPSX!$D$28:$W$106,'FORM OH'!$I$16,CPSX!AC28:AC106)</f>
        <v>0</v>
      </c>
      <c r="AK16" s="537">
        <f ca="1">SUMIF(CPSX!$D$28:$W$106,'FORM OH'!$I$16,CPSX!AD28:AD106)</f>
        <v>0</v>
      </c>
      <c r="AL16" s="537">
        <f ca="1">SUMIF(CPSX!$D$28:$W$106,'FORM OH'!$I$16,CPSX!AE28:AE106)</f>
        <v>0</v>
      </c>
      <c r="AM16" s="537">
        <f ca="1">SUMIF(CPSX!$D$28:$W$106,'FORM OH'!$I$16,CPSX!AF28:AF106)</f>
        <v>0</v>
      </c>
      <c r="AN16" s="537">
        <f ca="1">SUMIF(CPSX!$D$28:$W$106,'FORM OH'!$I$16,CPSX!AG28:AG106)</f>
        <v>0</v>
      </c>
      <c r="AO16" s="537">
        <f ca="1">SUMIF(CPSX!$D$28:$W$106,'FORM OH'!$I$16,CPSX!AH28:AH106)</f>
        <v>0</v>
      </c>
      <c r="AP16" s="537">
        <f ca="1">SUMIF(CPSX!$D$28:$W$106,'FORM OH'!$I$16,CPSX!AI28:AI106)</f>
        <v>0</v>
      </c>
      <c r="AQ16" s="537">
        <f ca="1">SUMIF(CPSX!$D$28:$W$106,'FORM OH'!$I$16,CPSX!AJ28:AJ106)</f>
        <v>0</v>
      </c>
      <c r="AR16" s="1305">
        <f t="shared" ca="1" si="5"/>
        <v>0</v>
      </c>
      <c r="AS16" s="1305">
        <f t="shared" ca="1" si="2"/>
        <v>0</v>
      </c>
      <c r="AT16" s="1306">
        <f t="shared" ca="1" si="3"/>
        <v>0</v>
      </c>
    </row>
    <row r="17" spans="1:46" s="539" customFormat="1" ht="16.399999999999999" customHeight="1" outlineLevel="1" x14ac:dyDescent="0.35">
      <c r="A17" s="534" t="s">
        <v>782</v>
      </c>
      <c r="B17" s="534" t="s">
        <v>783</v>
      </c>
      <c r="C17" s="535" t="s">
        <v>325</v>
      </c>
      <c r="D17" s="536" t="s">
        <v>195</v>
      </c>
      <c r="E17" s="536" t="s">
        <v>786</v>
      </c>
      <c r="F17" s="536" t="s">
        <v>805</v>
      </c>
      <c r="G17" s="536" t="s">
        <v>609</v>
      </c>
      <c r="H17" s="536" t="s">
        <v>806</v>
      </c>
      <c r="I17" s="535" t="s">
        <v>809</v>
      </c>
      <c r="J17" s="536" t="s">
        <v>810</v>
      </c>
      <c r="K17" s="536" t="s">
        <v>811</v>
      </c>
      <c r="L17" s="535" t="s">
        <v>812</v>
      </c>
      <c r="M17" s="536" t="s">
        <v>813</v>
      </c>
      <c r="N17" s="536"/>
      <c r="O17" s="535"/>
      <c r="P17" s="536"/>
      <c r="Q17" s="536"/>
      <c r="R17" s="537">
        <f ca="1">SUMIF(CPSX!$D$28:$W$106,'FORM OH'!I17,CPSX!$K$28:$K$106)</f>
        <v>0</v>
      </c>
      <c r="S17" s="537">
        <f ca="1">SUMIF(CPSX!$D$28:$W$106,'FORM OH'!$I$17,CPSX!L28:L106)</f>
        <v>0</v>
      </c>
      <c r="T17" s="537">
        <f ca="1">SUMIF(CPSX!$D$28:$W$106,'FORM OH'!$I$17,CPSX!M28:M106)</f>
        <v>0</v>
      </c>
      <c r="U17" s="537">
        <f ca="1">SUMIF(CPSX!$D$28:$W$106,'FORM OH'!$I$17,CPSX!N28:N106)</f>
        <v>0</v>
      </c>
      <c r="V17" s="537">
        <f ca="1">SUMIF(CPSX!$D$28:$W$106,'FORM OH'!$I$17,CPSX!O28:O106)</f>
        <v>0</v>
      </c>
      <c r="W17" s="537">
        <f ca="1">SUMIF(CPSX!$D$28:$W$106,'FORM OH'!$I$17,CPSX!P28:P106)</f>
        <v>0</v>
      </c>
      <c r="X17" s="537">
        <f ca="1">SUMIF(CPSX!$D$28:$W$106,'FORM OH'!$I$17,CPSX!Q28:Q106)</f>
        <v>0</v>
      </c>
      <c r="Y17" s="537">
        <f ca="1">SUMIF(CPSX!$D$28:$W$106,'FORM OH'!$I$17,CPSX!R28:R106)</f>
        <v>0</v>
      </c>
      <c r="Z17" s="537">
        <f ca="1">SUMIF(CPSX!$D$28:$W$106,'FORM OH'!$I$17,CPSX!S28:S106)</f>
        <v>0</v>
      </c>
      <c r="AA17" s="537">
        <f ca="1">SUMIF(CPSX!$D$28:$W$106,'FORM OH'!$I$17,CPSX!T28:T106)</f>
        <v>0</v>
      </c>
      <c r="AB17" s="537">
        <f ca="1">SUMIF(CPSX!$D$28:$W$106,'FORM OH'!$I$17,CPSX!U28:U106)</f>
        <v>0</v>
      </c>
      <c r="AC17" s="537">
        <f ca="1">SUMIF(CPSX!$D$28:$W$106,'FORM OH'!$I$17,CPSX!V28:V106)</f>
        <v>0</v>
      </c>
      <c r="AD17" s="537">
        <f t="shared" ca="1" si="4"/>
        <v>0</v>
      </c>
      <c r="AE17" s="533"/>
      <c r="AF17" s="537">
        <f ca="1">SUMIF(CPSX!$D$28:$W$106,'FORM OH'!$I$17,CPSX!Y28:Y106)</f>
        <v>0</v>
      </c>
      <c r="AG17" s="537">
        <f ca="1">SUMIF(CPSX!$D$28:$W$106,'FORM OH'!$I$17,CPSX!Z28:Z106)</f>
        <v>0</v>
      </c>
      <c r="AH17" s="537">
        <f ca="1">SUMIF(CPSX!$D$28:$W$106,'FORM OH'!$I$17,CPSX!AA28:AA106)</f>
        <v>0</v>
      </c>
      <c r="AI17" s="537">
        <f ca="1">SUMIF(CPSX!$D$28:$W$106,'FORM OH'!$I$17,CPSX!AB28:AB106)</f>
        <v>0</v>
      </c>
      <c r="AJ17" s="537">
        <f ca="1">SUMIF(CPSX!$D$28:$W$106,'FORM OH'!$I$17,CPSX!AC28:AC106)</f>
        <v>0</v>
      </c>
      <c r="AK17" s="537">
        <f ca="1">SUMIF(CPSX!$D$28:$W$106,'FORM OH'!$I$17,CPSX!AD28:AD106)</f>
        <v>0</v>
      </c>
      <c r="AL17" s="537">
        <f ca="1">SUMIF(CPSX!$D$28:$W$106,'FORM OH'!$I$17,CPSX!AE28:AE106)</f>
        <v>0</v>
      </c>
      <c r="AM17" s="537">
        <f ca="1">SUMIF(CPSX!$D$28:$W$106,'FORM OH'!$I$17,CPSX!AF28:AF106)</f>
        <v>0</v>
      </c>
      <c r="AN17" s="537">
        <f ca="1">SUMIF(CPSX!$D$28:$W$106,'FORM OH'!$I$17,CPSX!AG28:AG106)</f>
        <v>0</v>
      </c>
      <c r="AO17" s="537">
        <f ca="1">SUMIF(CPSX!$D$28:$W$106,'FORM OH'!$I$17,CPSX!AH28:AH106)</f>
        <v>0</v>
      </c>
      <c r="AP17" s="537">
        <f ca="1">SUMIF(CPSX!$D$28:$W$106,'FORM OH'!$I$17,CPSX!AI28:AI106)</f>
        <v>0</v>
      </c>
      <c r="AQ17" s="537">
        <f ca="1">SUMIF(CPSX!$D$28:$W$106,'FORM OH'!$I$17,CPSX!AJ28:AJ106)</f>
        <v>0</v>
      </c>
      <c r="AR17" s="1305">
        <f t="shared" ca="1" si="5"/>
        <v>0</v>
      </c>
      <c r="AS17" s="1305">
        <f t="shared" ca="1" si="2"/>
        <v>0</v>
      </c>
      <c r="AT17" s="1306">
        <f t="shared" ca="1" si="3"/>
        <v>0</v>
      </c>
    </row>
    <row r="18" spans="1:46" s="539" customFormat="1" ht="16.399999999999999" customHeight="1" outlineLevel="1" x14ac:dyDescent="0.35">
      <c r="A18" s="534" t="s">
        <v>782</v>
      </c>
      <c r="B18" s="534" t="s">
        <v>783</v>
      </c>
      <c r="C18" s="535" t="s">
        <v>325</v>
      </c>
      <c r="D18" s="536" t="s">
        <v>195</v>
      </c>
      <c r="E18" s="536" t="s">
        <v>786</v>
      </c>
      <c r="F18" s="536" t="s">
        <v>814</v>
      </c>
      <c r="G18" s="536" t="s">
        <v>609</v>
      </c>
      <c r="H18" s="536" t="s">
        <v>806</v>
      </c>
      <c r="I18" s="535">
        <v>6220003201</v>
      </c>
      <c r="J18" s="536" t="s">
        <v>460</v>
      </c>
      <c r="K18" s="536" t="s">
        <v>570</v>
      </c>
      <c r="L18" s="535" t="s">
        <v>815</v>
      </c>
      <c r="M18" s="536" t="s">
        <v>816</v>
      </c>
      <c r="N18" s="536"/>
      <c r="O18" s="535" t="s">
        <v>2218</v>
      </c>
      <c r="P18" s="536" t="s">
        <v>816</v>
      </c>
      <c r="Q18" s="536"/>
      <c r="R18" s="537">
        <f ca="1">SUMIF(CPSX!$D$28:$W$106,'FORM OH'!I18,CPSX!$K$28:$K$106)</f>
        <v>26775000</v>
      </c>
      <c r="S18" s="537">
        <f ca="1">SUMIF(CPSX!$D$28:$W$106,'FORM OH'!$I$18,CPSX!L28:L106)</f>
        <v>23562000</v>
      </c>
      <c r="T18" s="537">
        <f ca="1">SUMIF(CPSX!$D$28:$W$106,'FORM OH'!$I$18,CPSX!M28:M106)</f>
        <v>25704000</v>
      </c>
      <c r="U18" s="537">
        <f ca="1">SUMIF(CPSX!$D$28:$W$106,'FORM OH'!$I$18,CPSX!N28:N106)</f>
        <v>28917000</v>
      </c>
      <c r="V18" s="537">
        <f ca="1">SUMIF(CPSX!$D$28:$W$106,'FORM OH'!$I$18,CPSX!O28:O106)</f>
        <v>23562000</v>
      </c>
      <c r="W18" s="537">
        <f ca="1">SUMIF(CPSX!$D$28:$W$106,'FORM OH'!$I$18,CPSX!P28:P106)</f>
        <v>28917000</v>
      </c>
      <c r="X18" s="537">
        <f ca="1">SUMIF(CPSX!$D$28:$W$106,'FORM OH'!$I$18,CPSX!Q28:Q106)</f>
        <v>27846000</v>
      </c>
      <c r="Y18" s="537">
        <f ca="1">SUMIF(CPSX!$D$28:$W$106,'FORM OH'!$I$18,CPSX!R28:R106)</f>
        <v>27846000</v>
      </c>
      <c r="Z18" s="537">
        <f ca="1">SUMIF(CPSX!$D$28:$W$106,'FORM OH'!$I$18,CPSX!S28:S106)</f>
        <v>26775000</v>
      </c>
      <c r="AA18" s="537">
        <f ca="1">SUMIF(CPSX!$D$28:$W$106,'FORM OH'!$I$18,CPSX!T28:T106)</f>
        <v>26775000</v>
      </c>
      <c r="AB18" s="537">
        <f ca="1">SUMIF(CPSX!$D$28:$W$106,'FORM OH'!$I$18,CPSX!U28:U106)</f>
        <v>28917000</v>
      </c>
      <c r="AC18" s="537">
        <f ca="1">SUMIF(CPSX!$D$28:$W$106,'FORM OH'!$I$18,CPSX!V28:V106)</f>
        <v>27846000</v>
      </c>
      <c r="AD18" s="537">
        <f t="shared" ca="1" si="4"/>
        <v>323442000</v>
      </c>
      <c r="AE18" s="533"/>
      <c r="AF18" s="537">
        <f ca="1">SUMIF(CPSX!$D$28:$W$106,'FORM OH'!$I$18,CPSX!Y28:Y106)</f>
        <v>20700000</v>
      </c>
      <c r="AG18" s="537">
        <f ca="1">SUMIF(CPSX!$D$28:$W$106,'FORM OH'!$I$18,CPSX!Z28:Z106)</f>
        <v>33550000</v>
      </c>
      <c r="AH18" s="537">
        <f ca="1">SUMIF(CPSX!$D$28:$W$106,'FORM OH'!$I$18,CPSX!AA28:AA106)</f>
        <v>33150000</v>
      </c>
      <c r="AI18" s="537">
        <f ca="1">SUMIF(CPSX!$D$28:$W$106,'FORM OH'!$I$18,CPSX!AB28:AB106)</f>
        <v>29225000</v>
      </c>
      <c r="AJ18" s="537">
        <f ca="1">SUMIF(CPSX!$D$28:$W$106,'FORM OH'!$I$18,CPSX!AC28:AC106)</f>
        <v>31224470</v>
      </c>
      <c r="AK18" s="537">
        <f ca="1">SUMIF(CPSX!$D$28:$W$106,'FORM OH'!$I$18,CPSX!AD28:AD106)</f>
        <v>31185000</v>
      </c>
      <c r="AL18" s="537">
        <f ca="1">SUMIF(CPSX!$D$28:$W$106,'FORM OH'!$I$18,CPSX!AE28:AE106)</f>
        <v>75480430</v>
      </c>
      <c r="AM18" s="537">
        <f ca="1">SUMIF(CPSX!$D$28:$W$106,'FORM OH'!$I$18,CPSX!AF28:AF106)</f>
        <v>-11122709</v>
      </c>
      <c r="AN18" s="537">
        <f ca="1">SUMIF(CPSX!$D$28:$W$106,'FORM OH'!$I$18,CPSX!AG28:AG106)</f>
        <v>25963509</v>
      </c>
      <c r="AO18" s="537">
        <f ca="1">SUMIF(CPSX!$D$28:$W$106,'FORM OH'!$I$18,CPSX!AH28:AH106)</f>
        <v>25963509</v>
      </c>
      <c r="AP18" s="537">
        <f ca="1">SUMIF(CPSX!$D$28:$W$106,'FORM OH'!$I$18,CPSX!AI28:AI106)</f>
        <v>25963509</v>
      </c>
      <c r="AQ18" s="537">
        <f ca="1">SUMIF(CPSX!$D$28:$W$106,'FORM OH'!$I$18,CPSX!AJ28:AJ106)</f>
        <v>25963509</v>
      </c>
      <c r="AR18" s="1305">
        <f t="shared" ca="1" si="5"/>
        <v>347246227</v>
      </c>
      <c r="AS18" s="1305">
        <f t="shared" ca="1" si="2"/>
        <v>-23804227</v>
      </c>
      <c r="AT18" s="1306">
        <f t="shared" ca="1" si="3"/>
        <v>-6.855143454157675E-2</v>
      </c>
    </row>
    <row r="19" spans="1:46" s="539" customFormat="1" ht="16.399999999999999" customHeight="1" outlineLevel="1" x14ac:dyDescent="0.35">
      <c r="A19" s="534" t="s">
        <v>782</v>
      </c>
      <c r="B19" s="534" t="s">
        <v>783</v>
      </c>
      <c r="C19" s="535" t="s">
        <v>325</v>
      </c>
      <c r="D19" s="536" t="s">
        <v>817</v>
      </c>
      <c r="E19" s="536" t="s">
        <v>818</v>
      </c>
      <c r="F19" s="536" t="s">
        <v>819</v>
      </c>
      <c r="G19" s="536" t="s">
        <v>820</v>
      </c>
      <c r="H19" s="536" t="s">
        <v>821</v>
      </c>
      <c r="I19" s="535">
        <v>6220003001</v>
      </c>
      <c r="J19" s="536" t="s">
        <v>430</v>
      </c>
      <c r="K19" s="536" t="s">
        <v>570</v>
      </c>
      <c r="L19" s="535" t="s">
        <v>822</v>
      </c>
      <c r="M19" s="536" t="s">
        <v>823</v>
      </c>
      <c r="N19" s="536"/>
      <c r="O19" s="535" t="s">
        <v>2023</v>
      </c>
      <c r="P19" s="536" t="s">
        <v>823</v>
      </c>
      <c r="Q19" s="536"/>
      <c r="R19" s="537">
        <f ca="1">SUMIF(CPSX!$D$28:$W$106,'FORM OH'!I19,CPSX!$K$28:$K$106)</f>
        <v>1907788.2352941176</v>
      </c>
      <c r="S19" s="537">
        <f ca="1">SUMIF(CPSX!$D$28:$W$106,'FORM OH'!$I$19,CPSX!L28:L106)</f>
        <v>1907788.2352941176</v>
      </c>
      <c r="T19" s="537">
        <f ca="1">SUMIF(CPSX!$D$28:$W$106,'FORM OH'!$I$19,CPSX!M28:M106)</f>
        <v>1907788.2352941176</v>
      </c>
      <c r="U19" s="537">
        <f ca="1">SUMIF(CPSX!$D$28:$W$106,'FORM OH'!$I$19,CPSX!N28:N106)</f>
        <v>1907788.2352941176</v>
      </c>
      <c r="V19" s="537">
        <f ca="1">SUMIF(CPSX!$D$28:$W$106,'FORM OH'!$I$19,CPSX!O28:O106)</f>
        <v>1907788.2352941176</v>
      </c>
      <c r="W19" s="537">
        <f ca="1">SUMIF(CPSX!$D$28:$W$106,'FORM OH'!$I$19,CPSX!P28:P106)</f>
        <v>1907788.2352941176</v>
      </c>
      <c r="X19" s="537">
        <f ca="1">SUMIF(CPSX!$D$28:$W$106,'FORM OH'!$I$19,CPSX!Q28:Q106)</f>
        <v>1907788.2352941176</v>
      </c>
      <c r="Y19" s="537">
        <f ca="1">SUMIF(CPSX!$D$28:$W$106,'FORM OH'!$I$19,CPSX!R28:R106)</f>
        <v>1907788.2352941176</v>
      </c>
      <c r="Z19" s="537">
        <f ca="1">SUMIF(CPSX!$D$28:$W$106,'FORM OH'!$I$19,CPSX!S28:S106)</f>
        <v>1907788.2352941176</v>
      </c>
      <c r="AA19" s="537">
        <f ca="1">SUMIF(CPSX!$D$28:$W$106,'FORM OH'!$I$19,CPSX!T28:T106)</f>
        <v>1907788.2352941176</v>
      </c>
      <c r="AB19" s="537">
        <f ca="1">SUMIF(CPSX!$D$28:$W$106,'FORM OH'!$I$19,CPSX!U28:U106)</f>
        <v>1907788.2352941176</v>
      </c>
      <c r="AC19" s="537">
        <f ca="1">SUMIF(CPSX!$D$28:$W$106,'FORM OH'!$I$19,CPSX!V28:V106)</f>
        <v>1907788.2352941176</v>
      </c>
      <c r="AD19" s="537">
        <f t="shared" ca="1" si="4"/>
        <v>22893458.823529419</v>
      </c>
      <c r="AE19" s="533"/>
      <c r="AF19" s="537">
        <f ca="1">SUMIF(CPSX!$D$28:$W$106,'FORM OH'!$I$19,CPSX!Y28:Y106)</f>
        <v>583333</v>
      </c>
      <c r="AG19" s="537">
        <f ca="1">SUMIF(CPSX!$D$28:$W$106,'FORM OH'!$I$19,CPSX!Z28:Z106)</f>
        <v>583333</v>
      </c>
      <c r="AH19" s="537">
        <f ca="1">SUMIF(CPSX!$D$28:$W$106,'FORM OH'!$I$19,CPSX!AA28:AA106)</f>
        <v>2583333</v>
      </c>
      <c r="AI19" s="537">
        <f ca="1">SUMIF(CPSX!$D$28:$W$106,'FORM OH'!$I$19,CPSX!AB28:AB106)</f>
        <v>3539583</v>
      </c>
      <c r="AJ19" s="537">
        <f ca="1">SUMIF(CPSX!$D$28:$W$106,'FORM OH'!$I$19,CPSX!AC28:AC106)</f>
        <v>3125609</v>
      </c>
      <c r="AK19" s="537">
        <f ca="1">SUMIF(CPSX!$D$28:$W$106,'FORM OH'!$I$19,CPSX!AD28:AD106)</f>
        <v>2956250</v>
      </c>
      <c r="AL19" s="537">
        <f ca="1">SUMIF(CPSX!$D$28:$W$106,'FORM OH'!$I$19,CPSX!AE28:AE106)</f>
        <v>2956250</v>
      </c>
      <c r="AM19" s="537">
        <f ca="1">SUMIF(CPSX!$D$28:$W$106,'FORM OH'!$I$19,CPSX!AF28:AF106)</f>
        <v>2956250</v>
      </c>
      <c r="AN19" s="537">
        <f ca="1">SUMIF(CPSX!$D$28:$W$106,'FORM OH'!$I$19,CPSX!AG28:AG106)</f>
        <v>2956250</v>
      </c>
      <c r="AO19" s="537">
        <f ca="1">SUMIF(CPSX!$D$28:$W$106,'FORM OH'!$I$19,CPSX!AH28:AH106)</f>
        <v>2956250</v>
      </c>
      <c r="AP19" s="537">
        <f ca="1">SUMIF(CPSX!$D$28:$W$106,'FORM OH'!$I$19,CPSX!AI28:AI106)</f>
        <v>2956250</v>
      </c>
      <c r="AQ19" s="537">
        <f ca="1">SUMIF(CPSX!$D$28:$W$106,'FORM OH'!$I$19,CPSX!AJ28:AJ106)</f>
        <v>2956250</v>
      </c>
      <c r="AR19" s="1305">
        <f t="shared" ca="1" si="5"/>
        <v>31108941</v>
      </c>
      <c r="AS19" s="1305">
        <f t="shared" ca="1" si="2"/>
        <v>-8215482.1764705814</v>
      </c>
      <c r="AT19" s="1306">
        <f t="shared" ca="1" si="3"/>
        <v>-0.26408749100365009</v>
      </c>
    </row>
    <row r="20" spans="1:46" s="533" customFormat="1" ht="16.399999999999999" customHeight="1" outlineLevel="1" x14ac:dyDescent="0.35">
      <c r="A20" s="534" t="s">
        <v>782</v>
      </c>
      <c r="B20" s="534" t="s">
        <v>783</v>
      </c>
      <c r="C20" s="535" t="s">
        <v>325</v>
      </c>
      <c r="D20" s="536" t="s">
        <v>817</v>
      </c>
      <c r="E20" s="536" t="s">
        <v>818</v>
      </c>
      <c r="F20" s="536" t="s">
        <v>824</v>
      </c>
      <c r="G20" s="536" t="s">
        <v>820</v>
      </c>
      <c r="H20" s="536" t="s">
        <v>801</v>
      </c>
      <c r="I20" s="535">
        <v>6220007202</v>
      </c>
      <c r="J20" s="536" t="s">
        <v>431</v>
      </c>
      <c r="K20" s="536" t="s">
        <v>570</v>
      </c>
      <c r="L20" s="535" t="s">
        <v>825</v>
      </c>
      <c r="M20" s="536" t="s">
        <v>826</v>
      </c>
      <c r="N20" s="536"/>
      <c r="O20" s="535"/>
      <c r="P20" s="536"/>
      <c r="Q20" s="536"/>
      <c r="R20" s="537">
        <f ca="1">SUMIF(CPSX!$D$28:$W$106,'FORM OH'!I20,CPSX!$K$28:$K$106)</f>
        <v>0</v>
      </c>
      <c r="S20" s="537">
        <f ca="1">SUMIF(CPSX!$D$28:$W$106,'FORM OH'!$I$20,CPSX!L28:L106)</f>
        <v>19250000</v>
      </c>
      <c r="T20" s="537">
        <f ca="1">SUMIF(CPSX!$D$28:$W$106,'FORM OH'!$I$20,CPSX!M28:M106)</f>
        <v>0</v>
      </c>
      <c r="U20" s="537">
        <f ca="1">SUMIF(CPSX!$D$28:$W$106,'FORM OH'!$I$20,CPSX!N28:N106)</f>
        <v>0</v>
      </c>
      <c r="V20" s="537">
        <f ca="1">SUMIF(CPSX!$D$28:$W$106,'FORM OH'!$I$20,CPSX!O28:O106)</f>
        <v>0</v>
      </c>
      <c r="W20" s="537">
        <f ca="1">SUMIF(CPSX!$D$28:$W$106,'FORM OH'!$I$20,CPSX!P28:P106)</f>
        <v>0</v>
      </c>
      <c r="X20" s="537">
        <f ca="1">SUMIF(CPSX!$D$28:$W$106,'FORM OH'!$I$20,CPSX!Q28:Q106)</f>
        <v>0</v>
      </c>
      <c r="Y20" s="537">
        <f ca="1">SUMIF(CPSX!$D$28:$W$106,'FORM OH'!$I$20,CPSX!R28:R106)</f>
        <v>0</v>
      </c>
      <c r="Z20" s="537">
        <f ca="1">SUMIF(CPSX!$D$28:$W$106,'FORM OH'!$I$20,CPSX!S28:S106)</f>
        <v>0</v>
      </c>
      <c r="AA20" s="537">
        <f ca="1">SUMIF(CPSX!$D$28:$W$106,'FORM OH'!$I$20,CPSX!T28:T106)</f>
        <v>0</v>
      </c>
      <c r="AB20" s="537">
        <f ca="1">SUMIF(CPSX!$D$28:$W$106,'FORM OH'!$I$20,CPSX!U28:U106)</f>
        <v>0</v>
      </c>
      <c r="AC20" s="537">
        <f ca="1">SUMIF(CPSX!$D$28:$W$106,'FORM OH'!$I$20,CPSX!V28:V106)</f>
        <v>0</v>
      </c>
      <c r="AD20" s="537">
        <f t="shared" ca="1" si="4"/>
        <v>19250000</v>
      </c>
      <c r="AF20" s="537">
        <f ca="1">SUMIF(CPSX!$D$28:$W$106,'FORM OH'!$I$20,CPSX!Y28:Y106)</f>
        <v>0</v>
      </c>
      <c r="AG20" s="537">
        <f ca="1">SUMIF(CPSX!$D$28:$W$106,'FORM OH'!$I$20,CPSX!Z28:Z106)</f>
        <v>0</v>
      </c>
      <c r="AH20" s="537">
        <f ca="1">SUMIF(CPSX!$D$28:$W$106,'FORM OH'!$I$20,CPSX!AA28:AA106)</f>
        <v>0</v>
      </c>
      <c r="AI20" s="537">
        <f ca="1">SUMIF(CPSX!$D$28:$W$106,'FORM OH'!$I$20,CPSX!AB28:AB106)</f>
        <v>0</v>
      </c>
      <c r="AJ20" s="537">
        <f ca="1">SUMIF(CPSX!$D$28:$W$106,'FORM OH'!$I$20,CPSX!AC28:AC106)</f>
        <v>0</v>
      </c>
      <c r="AK20" s="537">
        <f ca="1">SUMIF(CPSX!$D$28:$W$106,'FORM OH'!$I$20,CPSX!AD28:AD106)</f>
        <v>0</v>
      </c>
      <c r="AL20" s="537">
        <f ca="1">SUMIF(CPSX!$D$28:$W$106,'FORM OH'!$I$20,CPSX!AE28:AE106)</f>
        <v>0</v>
      </c>
      <c r="AM20" s="537">
        <f ca="1">SUMIF(CPSX!$D$28:$W$106,'FORM OH'!$I$20,CPSX!AF28:AF106)</f>
        <v>0</v>
      </c>
      <c r="AN20" s="537">
        <f ca="1">SUMIF(CPSX!$D$28:$W$106,'FORM OH'!$I$20,CPSX!AG28:AG106)</f>
        <v>0</v>
      </c>
      <c r="AO20" s="537">
        <f ca="1">SUMIF(CPSX!$D$28:$W$106,'FORM OH'!$I$20,CPSX!AH28:AH106)</f>
        <v>0</v>
      </c>
      <c r="AP20" s="537">
        <f ca="1">SUMIF(CPSX!$D$28:$W$106,'FORM OH'!$I$20,CPSX!AI28:AI106)</f>
        <v>0</v>
      </c>
      <c r="AQ20" s="537">
        <f ca="1">SUMIF(CPSX!$D$28:$W$106,'FORM OH'!$I$20,CPSX!AJ28:AJ106)</f>
        <v>0</v>
      </c>
      <c r="AR20" s="1305">
        <f t="shared" ca="1" si="5"/>
        <v>0</v>
      </c>
      <c r="AS20" s="1307">
        <f t="shared" ca="1" si="2"/>
        <v>19250000</v>
      </c>
      <c r="AT20" s="1308">
        <f t="shared" ca="1" si="3"/>
        <v>0</v>
      </c>
    </row>
    <row r="21" spans="1:46" s="539" customFormat="1" ht="16.399999999999999" customHeight="1" x14ac:dyDescent="0.35">
      <c r="A21" s="528" t="s">
        <v>782</v>
      </c>
      <c r="B21" s="528" t="s">
        <v>783</v>
      </c>
      <c r="C21" s="529" t="s">
        <v>150</v>
      </c>
      <c r="D21" s="529"/>
      <c r="E21" s="529"/>
      <c r="F21" s="529"/>
      <c r="G21" s="529"/>
      <c r="H21" s="530" t="s">
        <v>827</v>
      </c>
      <c r="I21" s="530" t="s">
        <v>428</v>
      </c>
      <c r="J21" s="542"/>
      <c r="K21" s="529"/>
      <c r="L21" s="529"/>
      <c r="M21" s="529"/>
      <c r="N21" s="542"/>
      <c r="O21" s="530" t="s">
        <v>428</v>
      </c>
      <c r="P21" s="542"/>
      <c r="Q21" s="542"/>
      <c r="R21" s="532">
        <f t="shared" ref="R21:AD21" ca="1" si="6">R22</f>
        <v>45584273.661822051</v>
      </c>
      <c r="S21" s="532">
        <f t="shared" ca="1" si="6"/>
        <v>34188205.246366538</v>
      </c>
      <c r="T21" s="532">
        <f t="shared" ca="1" si="6"/>
        <v>49382963.133640558</v>
      </c>
      <c r="U21" s="532">
        <f t="shared" ca="1" si="6"/>
        <v>53181652.605459057</v>
      </c>
      <c r="V21" s="532">
        <f t="shared" ca="1" si="6"/>
        <v>53181652.605459057</v>
      </c>
      <c r="W21" s="532">
        <f t="shared" ca="1" si="6"/>
        <v>53181652.605459057</v>
      </c>
      <c r="X21" s="532">
        <f t="shared" ca="1" si="6"/>
        <v>53181652.605459057</v>
      </c>
      <c r="Y21" s="532">
        <f t="shared" ca="1" si="6"/>
        <v>53181652.605459057</v>
      </c>
      <c r="Z21" s="532">
        <f t="shared" ca="1" si="6"/>
        <v>53181652.605459057</v>
      </c>
      <c r="AA21" s="532">
        <f t="shared" ca="1" si="6"/>
        <v>53181652.605459057</v>
      </c>
      <c r="AB21" s="532">
        <f t="shared" ca="1" si="6"/>
        <v>53181652.605459057</v>
      </c>
      <c r="AC21" s="532">
        <f t="shared" ca="1" si="6"/>
        <v>53181652.605459057</v>
      </c>
      <c r="AD21" s="532">
        <f t="shared" ca="1" si="6"/>
        <v>607790315.4909606</v>
      </c>
      <c r="AE21" s="533"/>
      <c r="AF21" s="532">
        <f t="shared" ref="AF21:AR21" ca="1" si="7">AF22</f>
        <v>21783537</v>
      </c>
      <c r="AG21" s="532">
        <f t="shared" ca="1" si="7"/>
        <v>25110006</v>
      </c>
      <c r="AH21" s="532">
        <f t="shared" ca="1" si="7"/>
        <v>35465899</v>
      </c>
      <c r="AI21" s="532">
        <f t="shared" ca="1" si="7"/>
        <v>38843778</v>
      </c>
      <c r="AJ21" s="532">
        <f t="shared" ca="1" si="7"/>
        <v>36435793</v>
      </c>
      <c r="AK21" s="532">
        <f t="shared" ca="1" si="7"/>
        <v>38605384</v>
      </c>
      <c r="AL21" s="532">
        <f t="shared" ca="1" si="7"/>
        <v>55086679</v>
      </c>
      <c r="AM21" s="532">
        <f t="shared" ca="1" si="7"/>
        <v>47559092</v>
      </c>
      <c r="AN21" s="532">
        <f t="shared" ca="1" si="7"/>
        <v>41047405</v>
      </c>
      <c r="AO21" s="532">
        <f t="shared" ca="1" si="7"/>
        <v>37770841</v>
      </c>
      <c r="AP21" s="532">
        <f t="shared" ca="1" si="7"/>
        <v>37770841</v>
      </c>
      <c r="AQ21" s="532">
        <f t="shared" ca="1" si="7"/>
        <v>37770841</v>
      </c>
      <c r="AR21" s="1301">
        <f t="shared" ca="1" si="7"/>
        <v>453250096</v>
      </c>
      <c r="AS21" s="1301">
        <f t="shared" ca="1" si="2"/>
        <v>154540219.4909606</v>
      </c>
      <c r="AT21" s="1302">
        <f t="shared" ca="1" si="3"/>
        <v>0.34096014728910418</v>
      </c>
    </row>
    <row r="22" spans="1:46" s="533" customFormat="1" ht="16.399999999999999" customHeight="1" outlineLevel="1" x14ac:dyDescent="0.35">
      <c r="A22" s="534" t="s">
        <v>782</v>
      </c>
      <c r="B22" s="534" t="s">
        <v>783</v>
      </c>
      <c r="C22" s="535" t="s">
        <v>150</v>
      </c>
      <c r="D22" s="536" t="s">
        <v>828</v>
      </c>
      <c r="E22" s="536" t="s">
        <v>829</v>
      </c>
      <c r="F22" s="536" t="s">
        <v>830</v>
      </c>
      <c r="G22" s="536" t="s">
        <v>820</v>
      </c>
      <c r="H22" s="536" t="s">
        <v>831</v>
      </c>
      <c r="I22" s="535">
        <v>6275001801</v>
      </c>
      <c r="J22" s="536" t="s">
        <v>428</v>
      </c>
      <c r="K22" s="536" t="s">
        <v>571</v>
      </c>
      <c r="L22" s="535" t="s">
        <v>832</v>
      </c>
      <c r="M22" s="536" t="s">
        <v>827</v>
      </c>
      <c r="N22" s="536"/>
      <c r="O22" s="535"/>
      <c r="P22" s="543"/>
      <c r="Q22" s="543"/>
      <c r="R22" s="537">
        <f ca="1">SUMIF(CPSX!$D$28:$W$106,'FORM OH'!I22,CPSX!$K$28:$K$106)</f>
        <v>45584273.661822051</v>
      </c>
      <c r="S22" s="537">
        <f ca="1">SUMIF(CPSX!$D$28:$W$106,'FORM OH'!$I$22,CPSX!L28:L106)</f>
        <v>34188205.246366538</v>
      </c>
      <c r="T22" s="537">
        <f ca="1">SUMIF(CPSX!$D$28:$W$106,'FORM OH'!$I$22,CPSX!M28:M106)</f>
        <v>49382963.133640558</v>
      </c>
      <c r="U22" s="537">
        <f ca="1">SUMIF(CPSX!$D$28:$W$106,'FORM OH'!$I$22,CPSX!N28:N106)</f>
        <v>53181652.605459057</v>
      </c>
      <c r="V22" s="537">
        <f ca="1">SUMIF(CPSX!$D$28:$W$106,'FORM OH'!$I$22,CPSX!O28:O106)</f>
        <v>53181652.605459057</v>
      </c>
      <c r="W22" s="537">
        <f ca="1">SUMIF(CPSX!$D$28:$W$106,'FORM OH'!$I$22,CPSX!P28:P106)</f>
        <v>53181652.605459057</v>
      </c>
      <c r="X22" s="537">
        <f ca="1">SUMIF(CPSX!$D$28:$W$106,'FORM OH'!$I$22,CPSX!Q28:Q106)</f>
        <v>53181652.605459057</v>
      </c>
      <c r="Y22" s="537">
        <f ca="1">SUMIF(CPSX!$D$28:$W$106,'FORM OH'!$I$22,CPSX!R28:R106)</f>
        <v>53181652.605459057</v>
      </c>
      <c r="Z22" s="537">
        <f ca="1">SUMIF(CPSX!$D$28:$W$106,'FORM OH'!$I$22,CPSX!S28:S106)</f>
        <v>53181652.605459057</v>
      </c>
      <c r="AA22" s="537">
        <f ca="1">SUMIF(CPSX!$D$28:$W$106,'FORM OH'!$I$22,CPSX!T28:T106)</f>
        <v>53181652.605459057</v>
      </c>
      <c r="AB22" s="537">
        <f ca="1">SUMIF(CPSX!$D$28:$W$106,'FORM OH'!$I$22,CPSX!U28:U106)</f>
        <v>53181652.605459057</v>
      </c>
      <c r="AC22" s="537">
        <f ca="1">SUMIF(CPSX!$D$28:$W$106,'FORM OH'!$I$22,CPSX!V28:V106)</f>
        <v>53181652.605459057</v>
      </c>
      <c r="AD22" s="540">
        <f ca="1">SUM(R22:AC22)</f>
        <v>607790315.4909606</v>
      </c>
      <c r="AF22" s="537">
        <f ca="1">SUMIF(CPSX!$D$28:$W$106,'FORM OH'!$I$22,CPSX!Y28:Y106)</f>
        <v>21783537</v>
      </c>
      <c r="AG22" s="537">
        <f ca="1">SUMIF(CPSX!$D$28:$W$106,'FORM OH'!$I$22,CPSX!Z28:Z106)</f>
        <v>25110006</v>
      </c>
      <c r="AH22" s="537">
        <f ca="1">SUMIF(CPSX!$D$28:$W$106,'FORM OH'!$I$22,CPSX!AA28:AA106)</f>
        <v>35465899</v>
      </c>
      <c r="AI22" s="537">
        <f ca="1">SUMIF(CPSX!$D$28:$W$106,'FORM OH'!$I$22,CPSX!AB28:AB106)</f>
        <v>38843778</v>
      </c>
      <c r="AJ22" s="537">
        <f ca="1">SUMIF(CPSX!$D$28:$W$106,'FORM OH'!$I$22,CPSX!AC28:AC106)</f>
        <v>36435793</v>
      </c>
      <c r="AK22" s="537">
        <f ca="1">SUMIF(CPSX!$D$28:$W$106,'FORM OH'!$I$22,CPSX!AD28:AD106)</f>
        <v>38605384</v>
      </c>
      <c r="AL22" s="537">
        <f ca="1">SUMIF(CPSX!$D$28:$W$106,'FORM OH'!$I$22,CPSX!AE28:AE106)</f>
        <v>55086679</v>
      </c>
      <c r="AM22" s="537">
        <f ca="1">SUMIF(CPSX!$D$28:$W$106,'FORM OH'!$I$22,CPSX!AF28:AF106)</f>
        <v>47559092</v>
      </c>
      <c r="AN22" s="537">
        <f ca="1">SUMIF(CPSX!$D$28:$W$106,'FORM OH'!$I$22,CPSX!AG28:AG106)</f>
        <v>41047405</v>
      </c>
      <c r="AO22" s="537">
        <f ca="1">SUMIF(CPSX!$D$28:$W$106,'FORM OH'!$I$22,CPSX!AH28:AH106)</f>
        <v>37770841</v>
      </c>
      <c r="AP22" s="537">
        <f ca="1">SUMIF(CPSX!$D$28:$W$106,'FORM OH'!$I$22,CPSX!AI28:AI106)</f>
        <v>37770841</v>
      </c>
      <c r="AQ22" s="537">
        <f ca="1">SUMIF(CPSX!$D$28:$W$106,'FORM OH'!$I$22,CPSX!AJ28:AJ106)</f>
        <v>37770841</v>
      </c>
      <c r="AR22" s="1284">
        <f t="shared" ca="1" si="5"/>
        <v>453250096</v>
      </c>
      <c r="AS22" s="719">
        <f t="shared" ca="1" si="2"/>
        <v>154540219.4909606</v>
      </c>
      <c r="AT22" s="718">
        <f t="shared" ca="1" si="3"/>
        <v>0.34096014728910418</v>
      </c>
    </row>
    <row r="23" spans="1:46" s="539" customFormat="1" ht="16.399999999999999" customHeight="1" x14ac:dyDescent="0.35">
      <c r="A23" s="528" t="s">
        <v>782</v>
      </c>
      <c r="B23" s="528" t="s">
        <v>783</v>
      </c>
      <c r="C23" s="529" t="s">
        <v>150</v>
      </c>
      <c r="D23" s="529"/>
      <c r="E23" s="529"/>
      <c r="F23" s="529"/>
      <c r="G23" s="529"/>
      <c r="H23" s="530" t="s">
        <v>833</v>
      </c>
      <c r="I23" s="530" t="s">
        <v>834</v>
      </c>
      <c r="J23" s="542"/>
      <c r="K23" s="529"/>
      <c r="L23" s="529"/>
      <c r="M23" s="529"/>
      <c r="N23" s="542"/>
      <c r="O23" s="530" t="s">
        <v>834</v>
      </c>
      <c r="P23" s="542"/>
      <c r="Q23" s="542"/>
      <c r="R23" s="532">
        <f t="shared" ref="R23:AD23" ca="1" si="8">SUM(R24:R36)</f>
        <v>204951181.43137258</v>
      </c>
      <c r="S23" s="532">
        <f t="shared" ca="1" si="8"/>
        <v>226458066.93137258</v>
      </c>
      <c r="T23" s="532">
        <f t="shared" ca="1" si="8"/>
        <v>195286771.59803921</v>
      </c>
      <c r="U23" s="532">
        <f t="shared" ca="1" si="8"/>
        <v>207882423.2647059</v>
      </c>
      <c r="V23" s="532">
        <f t="shared" ca="1" si="8"/>
        <v>198546435.7647059</v>
      </c>
      <c r="W23" s="532">
        <f t="shared" ca="1" si="8"/>
        <v>206206724.93137258</v>
      </c>
      <c r="X23" s="532">
        <f t="shared" ca="1" si="8"/>
        <v>206172964.09803924</v>
      </c>
      <c r="Y23" s="532">
        <f t="shared" ca="1" si="8"/>
        <v>207393737.43137258</v>
      </c>
      <c r="Z23" s="532">
        <f t="shared" ca="1" si="8"/>
        <v>211775595.59803924</v>
      </c>
      <c r="AA23" s="532">
        <f t="shared" ca="1" si="8"/>
        <v>197138864.93137258</v>
      </c>
      <c r="AB23" s="532">
        <f t="shared" ca="1" si="8"/>
        <v>207248558.93137258</v>
      </c>
      <c r="AC23" s="532">
        <f t="shared" ca="1" si="8"/>
        <v>201900257.43137258</v>
      </c>
      <c r="AD23" s="532">
        <f t="shared" ca="1" si="8"/>
        <v>2470961582.3431373</v>
      </c>
      <c r="AE23" s="533"/>
      <c r="AF23" s="532">
        <f t="shared" ref="AF23:AR23" ca="1" si="9">SUM(AF24:AF36)</f>
        <v>33329412</v>
      </c>
      <c r="AG23" s="532">
        <f t="shared" ca="1" si="9"/>
        <v>30424475</v>
      </c>
      <c r="AH23" s="532">
        <f t="shared" ca="1" si="9"/>
        <v>22169795</v>
      </c>
      <c r="AI23" s="532">
        <f t="shared" ca="1" si="9"/>
        <v>68871487</v>
      </c>
      <c r="AJ23" s="532">
        <f t="shared" ca="1" si="9"/>
        <v>95751336</v>
      </c>
      <c r="AK23" s="532">
        <f t="shared" ca="1" si="9"/>
        <v>83909819</v>
      </c>
      <c r="AL23" s="532">
        <f t="shared" ca="1" si="9"/>
        <v>86880942</v>
      </c>
      <c r="AM23" s="532">
        <f t="shared" ca="1" si="9"/>
        <v>90587348</v>
      </c>
      <c r="AN23" s="532">
        <f t="shared" ca="1" si="9"/>
        <v>94448175</v>
      </c>
      <c r="AO23" s="532">
        <f t="shared" ca="1" si="9"/>
        <v>136619562.19999999</v>
      </c>
      <c r="AP23" s="532">
        <f t="shared" ca="1" si="9"/>
        <v>136619562.19999999</v>
      </c>
      <c r="AQ23" s="532">
        <f t="shared" ca="1" si="9"/>
        <v>136619562.19999999</v>
      </c>
      <c r="AR23" s="1283">
        <f t="shared" ca="1" si="9"/>
        <v>1016231475.6</v>
      </c>
      <c r="AS23" s="1283">
        <f t="shared" ca="1" si="2"/>
        <v>1454730106.7431374</v>
      </c>
      <c r="AT23" s="1298">
        <f t="shared" ca="1" si="3"/>
        <v>1.4314948332851434</v>
      </c>
    </row>
    <row r="24" spans="1:46" s="539" customFormat="1" ht="16.399999999999999" customHeight="1" outlineLevel="1" x14ac:dyDescent="0.35">
      <c r="A24" s="534" t="s">
        <v>782</v>
      </c>
      <c r="B24" s="534" t="s">
        <v>783</v>
      </c>
      <c r="C24" s="535" t="s">
        <v>150</v>
      </c>
      <c r="D24" s="536" t="s">
        <v>195</v>
      </c>
      <c r="E24" s="536" t="s">
        <v>835</v>
      </c>
      <c r="F24" s="536" t="s">
        <v>836</v>
      </c>
      <c r="G24" s="536" t="s">
        <v>610</v>
      </c>
      <c r="H24" s="536" t="s">
        <v>837</v>
      </c>
      <c r="I24" s="535">
        <v>6271002604</v>
      </c>
      <c r="J24" s="536" t="s">
        <v>461</v>
      </c>
      <c r="K24" s="536" t="s">
        <v>574</v>
      </c>
      <c r="L24" s="535" t="s">
        <v>838</v>
      </c>
      <c r="M24" s="536" t="s">
        <v>839</v>
      </c>
      <c r="N24" s="536"/>
      <c r="O24" s="535"/>
      <c r="P24" s="536"/>
      <c r="Q24" s="536"/>
      <c r="R24" s="537">
        <f ca="1">SUMIF(CPSX!$D$28:$W$106,'FORM OH'!$I$24,CPSX!K28:K106)</f>
        <v>140398500</v>
      </c>
      <c r="S24" s="537">
        <f ca="1">SUMIF(CPSX!$D$28:$W$106,'FORM OH'!$I$24,CPSX!L28:L106)</f>
        <v>144206134.5</v>
      </c>
      <c r="T24" s="537">
        <f ca="1">SUMIF(CPSX!$D$28:$W$106,'FORM OH'!$I$24,CPSX!M28:M106)</f>
        <v>130683230.33333333</v>
      </c>
      <c r="U24" s="537">
        <f ca="1">SUMIF(CPSX!$D$28:$W$106,'FORM OH'!$I$24,CPSX!N28:N106)</f>
        <v>145706134.5</v>
      </c>
      <c r="V24" s="537">
        <f ca="1">SUMIF(CPSX!$D$28:$W$106,'FORM OH'!$I$24,CPSX!O28:O106)</f>
        <v>134790865.5</v>
      </c>
      <c r="W24" s="537">
        <f ca="1">SUMIF(CPSX!$D$28:$W$106,'FORM OH'!$I$24,CPSX!P28:P106)</f>
        <v>145706134.5</v>
      </c>
      <c r="X24" s="537">
        <f ca="1">SUMIF(CPSX!$D$28:$W$106,'FORM OH'!$I$24,CPSX!Q28:Q106)</f>
        <v>140698500</v>
      </c>
      <c r="Y24" s="537">
        <f ca="1">SUMIF(CPSX!$D$28:$W$106,'FORM OH'!$I$24,CPSX!R28:R106)</f>
        <v>140698500</v>
      </c>
      <c r="Z24" s="537">
        <f ca="1">SUMIF(CPSX!$D$28:$W$106,'FORM OH'!$I$24,CPSX!S28:S106)</f>
        <v>145106134.5</v>
      </c>
      <c r="AA24" s="537">
        <f ca="1">SUMIF(CPSX!$D$28:$W$106,'FORM OH'!$I$24,CPSX!T28:T106)</f>
        <v>135690865.5</v>
      </c>
      <c r="AB24" s="537">
        <f ca="1">SUMIF(CPSX!$D$28:$W$106,'FORM OH'!$I$24,CPSX!U28:U106)</f>
        <v>145706134.5</v>
      </c>
      <c r="AC24" s="537">
        <f ca="1">SUMIF(CPSX!$D$28:$W$106,'FORM OH'!$I$24,CPSX!V28:V106)</f>
        <v>140698500</v>
      </c>
      <c r="AD24" s="537">
        <f ca="1">SUM(R24:AC24)</f>
        <v>1690089633.8333333</v>
      </c>
      <c r="AE24" s="533"/>
      <c r="AF24" s="537">
        <f ca="1">SUMIF(CPSX!$D$28:$W$106,'FORM OH'!$I$24,CPSX!Y28:Y106)</f>
        <v>26318423</v>
      </c>
      <c r="AG24" s="537">
        <f ca="1">SUMIF(CPSX!$D$28:$W$106,'FORM OH'!$I$24,CPSX!Z28:Z106)</f>
        <v>23613486</v>
      </c>
      <c r="AH24" s="537">
        <f ca="1">SUMIF(CPSX!$D$28:$W$106,'FORM OH'!$I$24,CPSX!AA28:AA106)</f>
        <v>16908804</v>
      </c>
      <c r="AI24" s="537">
        <f ca="1">SUMIF(CPSX!$D$28:$W$106,'FORM OH'!$I$24,CPSX!AB28:AB106)</f>
        <v>56205520</v>
      </c>
      <c r="AJ24" s="537">
        <f ca="1">SUMIF(CPSX!$D$28:$W$106,'FORM OH'!$I$24,CPSX!AC28:AC106)</f>
        <v>78766134</v>
      </c>
      <c r="AK24" s="537">
        <f ca="1">SUMIF(CPSX!$D$28:$W$106,'FORM OH'!$I$24,CPSX!AD28:AD106)</f>
        <v>63210856</v>
      </c>
      <c r="AL24" s="537">
        <f ca="1">SUMIF(CPSX!$D$28:$W$106,'FORM OH'!$I$24,CPSX!AE28:AE106)</f>
        <v>2963493</v>
      </c>
      <c r="AM24" s="537">
        <f ca="1">SUMIF(CPSX!$D$28:$W$106,'FORM OH'!$I$24,CPSX!AF28:AF106)</f>
        <v>68385464</v>
      </c>
      <c r="AN24" s="537">
        <f ca="1">SUMIF(CPSX!$D$28:$W$106,'FORM OH'!$I$24,CPSX!AG28:AG106)</f>
        <v>72676235</v>
      </c>
      <c r="AO24" s="537">
        <f ca="1">SUMIF(CPSX!$D$28:$W$106,'FORM OH'!$I$24,CPSX!AH28:AH106)</f>
        <v>106666856</v>
      </c>
      <c r="AP24" s="537">
        <f ca="1">SUMIF(CPSX!$D$28:$W$106,'FORM OH'!$I$24,CPSX!AI28:AI106)</f>
        <v>106666856</v>
      </c>
      <c r="AQ24" s="537">
        <f ca="1">SUMIF(CPSX!$D$28:$W$106,'FORM OH'!$I$24,CPSX!AJ28:AJ106)</f>
        <v>106666856</v>
      </c>
      <c r="AR24" s="1284">
        <f t="shared" ca="1" si="5"/>
        <v>729048983</v>
      </c>
      <c r="AS24" s="1284">
        <f t="shared" ca="1" si="2"/>
        <v>961040650.83333325</v>
      </c>
      <c r="AT24" s="1297">
        <f t="shared" ca="1" si="3"/>
        <v>1.3182113592404987</v>
      </c>
    </row>
    <row r="25" spans="1:46" s="539" customFormat="1" ht="16.399999999999999" customHeight="1" outlineLevel="1" x14ac:dyDescent="0.35">
      <c r="A25" s="534" t="s">
        <v>782</v>
      </c>
      <c r="B25" s="534" t="s">
        <v>783</v>
      </c>
      <c r="C25" s="535" t="s">
        <v>150</v>
      </c>
      <c r="D25" s="536" t="s">
        <v>195</v>
      </c>
      <c r="E25" s="536" t="s">
        <v>835</v>
      </c>
      <c r="F25" s="536" t="s">
        <v>836</v>
      </c>
      <c r="G25" s="536" t="s">
        <v>610</v>
      </c>
      <c r="H25" s="536" t="s">
        <v>837</v>
      </c>
      <c r="I25" s="535">
        <v>6271002605</v>
      </c>
      <c r="J25" s="536" t="s">
        <v>462</v>
      </c>
      <c r="K25" s="536" t="s">
        <v>574</v>
      </c>
      <c r="L25" s="535" t="s">
        <v>840</v>
      </c>
      <c r="M25" s="536" t="s">
        <v>841</v>
      </c>
      <c r="N25" s="536"/>
      <c r="O25" s="535"/>
      <c r="P25" s="536"/>
      <c r="Q25" s="536"/>
      <c r="R25" s="537">
        <f ca="1">SUMIF(CPSX!$D$28:$W$106,'FORM OH'!$I$25,CPSX!K28:K106)</f>
        <v>9835903.833333334</v>
      </c>
      <c r="S25" s="537">
        <f ca="1">SUMIF(CPSX!$D$28:$W$106,'FORM OH'!$I$25,CPSX!L28:L106)</f>
        <v>9835903.833333334</v>
      </c>
      <c r="T25" s="537">
        <f ca="1">SUMIF(CPSX!$D$28:$W$106,'FORM OH'!$I$25,CPSX!M28:M106)</f>
        <v>9835903.833333334</v>
      </c>
      <c r="U25" s="537">
        <f ca="1">SUMIF(CPSX!$D$28:$W$106,'FORM OH'!$I$25,CPSX!N28:N106)</f>
        <v>9835903.833333334</v>
      </c>
      <c r="V25" s="537">
        <f ca="1">SUMIF(CPSX!$D$28:$W$106,'FORM OH'!$I$25,CPSX!O28:O106)</f>
        <v>9835903.833333334</v>
      </c>
      <c r="W25" s="537">
        <f ca="1">SUMIF(CPSX!$D$28:$W$106,'FORM OH'!$I$25,CPSX!P28:P106)</f>
        <v>9835903.833333334</v>
      </c>
      <c r="X25" s="537">
        <f ca="1">SUMIF(CPSX!$D$28:$W$106,'FORM OH'!$I$25,CPSX!Q28:Q106)</f>
        <v>9835903.833333334</v>
      </c>
      <c r="Y25" s="537">
        <f ca="1">SUMIF(CPSX!$D$28:$W$106,'FORM OH'!$I$25,CPSX!R28:R106)</f>
        <v>9835903.833333334</v>
      </c>
      <c r="Z25" s="537">
        <f ca="1">SUMIF(CPSX!$D$28:$W$106,'FORM OH'!$I$25,CPSX!S28:S106)</f>
        <v>9835903.833333334</v>
      </c>
      <c r="AA25" s="537">
        <f ca="1">SUMIF(CPSX!$D$28:$W$106,'FORM OH'!$I$25,CPSX!T28:T106)</f>
        <v>9835903.833333334</v>
      </c>
      <c r="AB25" s="537">
        <f ca="1">SUMIF(CPSX!$D$28:$W$106,'FORM OH'!$I$25,CPSX!U28:U106)</f>
        <v>9835903.833333334</v>
      </c>
      <c r="AC25" s="537">
        <f ca="1">SUMIF(CPSX!$D$28:$W$106,'FORM OH'!$I$25,CPSX!V28:V106)</f>
        <v>9835903.833333334</v>
      </c>
      <c r="AD25" s="537">
        <f t="shared" ref="AD25:AD36" ca="1" si="10">SUM(R25:AC25)</f>
        <v>118030845.99999999</v>
      </c>
      <c r="AE25" s="533"/>
      <c r="AF25" s="537">
        <f ca="1">SUMIF(CPSX!$D$28:$W$106,'FORM OH'!$I$25,CPSX!Y28:Y106)</f>
        <v>1425000</v>
      </c>
      <c r="AG25" s="537">
        <f ca="1">SUMIF(CPSX!$D$28:$W$106,'FORM OH'!$I$25,CPSX!Z28:Z106)</f>
        <v>1425000</v>
      </c>
      <c r="AH25" s="537">
        <f ca="1">SUMIF(CPSX!$D$28:$W$106,'FORM OH'!$I$25,CPSX!AA28:AA106)</f>
        <v>1216667</v>
      </c>
      <c r="AI25" s="537">
        <f ca="1">SUMIF(CPSX!$D$28:$W$106,'FORM OH'!$I$25,CPSX!AB28:AB106)</f>
        <v>4175000</v>
      </c>
      <c r="AJ25" s="537">
        <f ca="1">SUMIF(CPSX!$D$28:$W$106,'FORM OH'!$I$25,CPSX!AC28:AC106)</f>
        <v>5908333</v>
      </c>
      <c r="AK25" s="537">
        <f ca="1">SUMIF(CPSX!$D$28:$W$106,'FORM OH'!$I$25,CPSX!AD28:AD106)</f>
        <v>4533333</v>
      </c>
      <c r="AL25" s="537">
        <f ca="1">SUMIF(CPSX!$D$28:$W$106,'FORM OH'!$I$25,CPSX!AE28:AE106)</f>
        <v>65685985</v>
      </c>
      <c r="AM25" s="537">
        <f ca="1">SUMIF(CPSX!$D$28:$W$106,'FORM OH'!$I$25,CPSX!AF28:AF106)</f>
        <v>4533333</v>
      </c>
      <c r="AN25" s="537">
        <f ca="1">SUMIF(CPSX!$D$28:$W$106,'FORM OH'!$I$25,CPSX!AG28:AG106)</f>
        <v>4533333</v>
      </c>
      <c r="AO25" s="537">
        <f ca="1">SUMIF(CPSX!$D$28:$W$106,'FORM OH'!$I$25,CPSX!AH28:AH106)</f>
        <v>4533333</v>
      </c>
      <c r="AP25" s="537">
        <f ca="1">SUMIF(CPSX!$D$28:$W$106,'FORM OH'!$I$25,CPSX!AI28:AI106)</f>
        <v>4533333</v>
      </c>
      <c r="AQ25" s="537">
        <f ca="1">SUMIF(CPSX!$D$28:$W$106,'FORM OH'!$I$25,CPSX!AJ28:AJ106)</f>
        <v>4533333</v>
      </c>
      <c r="AR25" s="1284">
        <f t="shared" ca="1" si="5"/>
        <v>107035983</v>
      </c>
      <c r="AS25" s="1284">
        <f t="shared" ca="1" si="2"/>
        <v>10994862.999999985</v>
      </c>
      <c r="AT25" s="1297">
        <f t="shared" ca="1" si="3"/>
        <v>0.10272118489349498</v>
      </c>
    </row>
    <row r="26" spans="1:46" s="539" customFormat="1" ht="16.399999999999999" customHeight="1" outlineLevel="1" x14ac:dyDescent="0.35">
      <c r="A26" s="534" t="s">
        <v>782</v>
      </c>
      <c r="B26" s="534" t="s">
        <v>783</v>
      </c>
      <c r="C26" s="535" t="s">
        <v>150</v>
      </c>
      <c r="D26" s="536" t="s">
        <v>195</v>
      </c>
      <c r="E26" s="536" t="s">
        <v>835</v>
      </c>
      <c r="F26" s="536" t="s">
        <v>842</v>
      </c>
      <c r="G26" s="536" t="s">
        <v>610</v>
      </c>
      <c r="H26" s="536" t="s">
        <v>837</v>
      </c>
      <c r="I26" s="535">
        <v>6271003401</v>
      </c>
      <c r="J26" s="536" t="s">
        <v>463</v>
      </c>
      <c r="K26" s="536" t="s">
        <v>570</v>
      </c>
      <c r="L26" s="535" t="s">
        <v>794</v>
      </c>
      <c r="M26" s="536" t="s">
        <v>795</v>
      </c>
      <c r="N26" s="536"/>
      <c r="O26" s="535"/>
      <c r="P26" s="536"/>
      <c r="Q26" s="536"/>
      <c r="R26" s="537">
        <f ca="1">SUMIF(CPSX!$D$28:$W$106,'FORM OH'!$I$26,CPSX!K28:K106)</f>
        <v>28763649</v>
      </c>
      <c r="S26" s="537">
        <f ca="1">SUMIF(CPSX!$D$28:$W$106,'FORM OH'!$I$26,CPSX!L28:L106)</f>
        <v>28763649</v>
      </c>
      <c r="T26" s="537">
        <f ca="1">SUMIF(CPSX!$D$28:$W$106,'FORM OH'!$I$26,CPSX!M28:M106)</f>
        <v>28763649</v>
      </c>
      <c r="U26" s="537">
        <f ca="1">SUMIF(CPSX!$D$28:$W$106,'FORM OH'!$I$26,CPSX!N28:N106)</f>
        <v>28763649</v>
      </c>
      <c r="V26" s="537">
        <f ca="1">SUMIF(CPSX!$D$28:$W$106,'FORM OH'!$I$26,CPSX!O28:O106)</f>
        <v>28763649</v>
      </c>
      <c r="W26" s="537">
        <f ca="1">SUMIF(CPSX!$D$28:$W$106,'FORM OH'!$I$26,CPSX!P28:P106)</f>
        <v>28763649</v>
      </c>
      <c r="X26" s="537">
        <f ca="1">SUMIF(CPSX!$D$28:$W$106,'FORM OH'!$I$26,CPSX!Q28:Q106)</f>
        <v>28763649</v>
      </c>
      <c r="Y26" s="537">
        <f ca="1">SUMIF(CPSX!$D$28:$W$106,'FORM OH'!$I$26,CPSX!R28:R106)</f>
        <v>28763649</v>
      </c>
      <c r="Z26" s="537">
        <f ca="1">SUMIF(CPSX!$D$28:$W$106,'FORM OH'!$I$26,CPSX!S28:S106)</f>
        <v>28763649</v>
      </c>
      <c r="AA26" s="537">
        <f ca="1">SUMIF(CPSX!$D$28:$W$106,'FORM OH'!$I$26,CPSX!T28:T106)</f>
        <v>28763649</v>
      </c>
      <c r="AB26" s="537">
        <f ca="1">SUMIF(CPSX!$D$28:$W$106,'FORM OH'!$I$26,CPSX!U28:U106)</f>
        <v>28763649</v>
      </c>
      <c r="AC26" s="537">
        <f ca="1">SUMIF(CPSX!$D$28:$W$106,'FORM OH'!$I$26,CPSX!V28:V106)</f>
        <v>28763649</v>
      </c>
      <c r="AD26" s="537">
        <f t="shared" ca="1" si="10"/>
        <v>345163788</v>
      </c>
      <c r="AE26" s="533"/>
      <c r="AF26" s="537">
        <f ca="1">SUMIF(CPSX!$D$28:$W$106,'FORM OH'!$I$26,CPSX!Y28:Y106)</f>
        <v>3025000</v>
      </c>
      <c r="AG26" s="537">
        <f ca="1">SUMIF(CPSX!$D$28:$W$106,'FORM OH'!$I$26,CPSX!Z28:Z106)</f>
        <v>3225000</v>
      </c>
      <c r="AH26" s="537">
        <f ca="1">SUMIF(CPSX!$D$28:$W$106,'FORM OH'!$I$26,CPSX!AA28:AA106)</f>
        <v>2150000</v>
      </c>
      <c r="AI26" s="537">
        <f ca="1">SUMIF(CPSX!$D$28:$W$106,'FORM OH'!$I$26,CPSX!AB28:AB106)</f>
        <v>1075000</v>
      </c>
      <c r="AJ26" s="537">
        <f ca="1">SUMIF(CPSX!$D$28:$W$106,'FORM OH'!$I$26,CPSX!AC28:AC106)</f>
        <v>2150000</v>
      </c>
      <c r="AK26" s="537">
        <f ca="1">SUMIF(CPSX!$D$28:$W$106,'FORM OH'!$I$26,CPSX!AD28:AD106)</f>
        <v>7847500</v>
      </c>
      <c r="AL26" s="537">
        <f ca="1">SUMIF(CPSX!$D$28:$W$106,'FORM OH'!$I$26,CPSX!AE28:AE106)</f>
        <v>4533333</v>
      </c>
      <c r="AM26" s="537">
        <f ca="1">SUMIF(CPSX!$D$28:$W$106,'FORM OH'!$I$26,CPSX!AF28:AF106)</f>
        <v>9527500</v>
      </c>
      <c r="AN26" s="537">
        <f ca="1">SUMIF(CPSX!$D$28:$W$106,'FORM OH'!$I$26,CPSX!AG28:AG106)</f>
        <v>9527500</v>
      </c>
      <c r="AO26" s="537">
        <f ca="1">SUMIF(CPSX!$D$28:$W$106,'FORM OH'!$I$26,CPSX!AH28:AH106)</f>
        <v>16627222.333333334</v>
      </c>
      <c r="AP26" s="537">
        <f ca="1">SUMIF(CPSX!$D$28:$W$106,'FORM OH'!$I$26,CPSX!AI28:AI106)</f>
        <v>16627222.333333334</v>
      </c>
      <c r="AQ26" s="537">
        <f ca="1">SUMIF(CPSX!$D$28:$W$106,'FORM OH'!$I$26,CPSX!AJ28:AJ106)</f>
        <v>16627222.333333334</v>
      </c>
      <c r="AR26" s="1284">
        <f t="shared" ca="1" si="5"/>
        <v>92942500</v>
      </c>
      <c r="AS26" s="1284">
        <f t="shared" ca="1" si="2"/>
        <v>252221288</v>
      </c>
      <c r="AT26" s="1297">
        <f t="shared" ca="1" si="3"/>
        <v>2.7137347069424642</v>
      </c>
    </row>
    <row r="27" spans="1:46" s="539" customFormat="1" ht="16.399999999999999" customHeight="1" outlineLevel="1" x14ac:dyDescent="0.35">
      <c r="A27" s="534" t="s">
        <v>782</v>
      </c>
      <c r="B27" s="534" t="s">
        <v>783</v>
      </c>
      <c r="C27" s="535" t="s">
        <v>150</v>
      </c>
      <c r="D27" s="536" t="s">
        <v>195</v>
      </c>
      <c r="E27" s="536" t="s">
        <v>835</v>
      </c>
      <c r="F27" s="536" t="s">
        <v>843</v>
      </c>
      <c r="G27" s="536" t="s">
        <v>610</v>
      </c>
      <c r="H27" s="536" t="s">
        <v>844</v>
      </c>
      <c r="I27" s="535">
        <v>6271002703</v>
      </c>
      <c r="J27" s="536" t="s">
        <v>464</v>
      </c>
      <c r="K27" s="536" t="s">
        <v>574</v>
      </c>
      <c r="L27" s="535" t="s">
        <v>845</v>
      </c>
      <c r="M27" s="536" t="s">
        <v>846</v>
      </c>
      <c r="N27" s="536"/>
      <c r="O27" s="535"/>
      <c r="P27" s="536"/>
      <c r="Q27" s="536"/>
      <c r="R27" s="537">
        <f ca="1">SUMIF(CPSX!$D$28:$W$106,'FORM OH'!$I$27,CPSX!K28:K106)</f>
        <v>902027.33333333337</v>
      </c>
      <c r="S27" s="537">
        <f ca="1">SUMIF(CPSX!$D$28:$W$106,'FORM OH'!$I$27,CPSX!L28:L106)</f>
        <v>1849278.3333333333</v>
      </c>
      <c r="T27" s="537">
        <f ca="1">SUMIF(CPSX!$D$28:$W$106,'FORM OH'!$I$27,CPSX!M28:M106)</f>
        <v>2918887.1666666665</v>
      </c>
      <c r="U27" s="537">
        <f ca="1">SUMIF(CPSX!$D$28:$W$106,'FORM OH'!$I$27,CPSX!N28:N106)</f>
        <v>2649884.6666666665</v>
      </c>
      <c r="V27" s="537">
        <f ca="1">SUMIF(CPSX!$D$28:$W$106,'FORM OH'!$I$27,CPSX!O28:O106)</f>
        <v>2159166.1666666665</v>
      </c>
      <c r="W27" s="537">
        <f ca="1">SUMIF(CPSX!$D$28:$W$106,'FORM OH'!$I$27,CPSX!P28:P106)</f>
        <v>974186.33333333337</v>
      </c>
      <c r="X27" s="537">
        <f ca="1">SUMIF(CPSX!$D$28:$W$106,'FORM OH'!$I$27,CPSX!Q28:Q106)</f>
        <v>6214060</v>
      </c>
      <c r="Y27" s="537">
        <f ca="1">SUMIF(CPSX!$D$28:$W$106,'FORM OH'!$I$27,CPSX!R28:R106)</f>
        <v>7434833.333333333</v>
      </c>
      <c r="Z27" s="537">
        <f ca="1">SUMIF(CPSX!$D$28:$W$106,'FORM OH'!$I$27,CPSX!S28:S106)</f>
        <v>5975057</v>
      </c>
      <c r="AA27" s="537">
        <f ca="1">SUMIF(CPSX!$D$28:$W$106,'FORM OH'!$I$27,CPSX!T28:T106)</f>
        <v>2453595.3333333335</v>
      </c>
      <c r="AB27" s="537">
        <f ca="1">SUMIF(CPSX!$D$28:$W$106,'FORM OH'!$I$27,CPSX!U28:U106)</f>
        <v>2016020.3333333333</v>
      </c>
      <c r="AC27" s="537">
        <f ca="1">SUMIF(CPSX!$D$28:$W$106,'FORM OH'!$I$27,CPSX!V28:V106)</f>
        <v>1941353.3333333333</v>
      </c>
      <c r="AD27" s="537">
        <f t="shared" ca="1" si="10"/>
        <v>37488349.333333336</v>
      </c>
      <c r="AE27" s="533"/>
      <c r="AF27" s="537">
        <f ca="1">SUMIF(CPSX!$D$28:$W$106,'FORM OH'!$I$27,CPSX!Y28:Y106)</f>
        <v>0</v>
      </c>
      <c r="AG27" s="537">
        <f ca="1">SUMIF(CPSX!$D$28:$W$106,'FORM OH'!$I$27,CPSX!Z28:Z106)</f>
        <v>0</v>
      </c>
      <c r="AH27" s="537">
        <f ca="1">SUMIF(CPSX!$D$28:$W$106,'FORM OH'!$I$27,CPSX!AA28:AA106)</f>
        <v>0</v>
      </c>
      <c r="AI27" s="537">
        <f ca="1">SUMIF(CPSX!$D$28:$W$106,'FORM OH'!$I$27,CPSX!AB28:AB106)</f>
        <v>0</v>
      </c>
      <c r="AJ27" s="537">
        <f ca="1">SUMIF(CPSX!$D$28:$W$106,'FORM OH'!$I$27,CPSX!AC28:AC106)</f>
        <v>0</v>
      </c>
      <c r="AK27" s="537">
        <f ca="1">SUMIF(CPSX!$D$28:$W$106,'FORM OH'!$I$27,CPSX!AD28:AD106)</f>
        <v>0</v>
      </c>
      <c r="AL27" s="537">
        <f ca="1">SUMIF(CPSX!$D$28:$W$106,'FORM OH'!$I$27,CPSX!AE28:AE106)</f>
        <v>0</v>
      </c>
      <c r="AM27" s="537">
        <f ca="1">SUMIF(CPSX!$D$28:$W$106,'FORM OH'!$I$27,CPSX!AF28:AF106)</f>
        <v>0</v>
      </c>
      <c r="AN27" s="537">
        <f ca="1">SUMIF(CPSX!$D$28:$W$106,'FORM OH'!$I$27,CPSX!AG28:AG106)</f>
        <v>0</v>
      </c>
      <c r="AO27" s="537">
        <f ca="1">SUMIF(CPSX!$D$28:$W$106,'FORM OH'!$I$27,CPSX!AH28:AH106)</f>
        <v>0</v>
      </c>
      <c r="AP27" s="537">
        <f ca="1">SUMIF(CPSX!$D$28:$W$106,'FORM OH'!$I$27,CPSX!AI28:AI106)</f>
        <v>0</v>
      </c>
      <c r="AQ27" s="537">
        <f ca="1">SUMIF(CPSX!$D$28:$W$106,'FORM OH'!$I$27,CPSX!AJ28:AJ106)</f>
        <v>0</v>
      </c>
      <c r="AR27" s="1284">
        <f t="shared" ca="1" si="5"/>
        <v>0</v>
      </c>
      <c r="AS27" s="1284">
        <f t="shared" ca="1" si="2"/>
        <v>37488349.333333336</v>
      </c>
      <c r="AT27" s="1297">
        <f t="shared" ca="1" si="3"/>
        <v>0</v>
      </c>
    </row>
    <row r="28" spans="1:46" s="539" customFormat="1" ht="16.399999999999999" customHeight="1" outlineLevel="1" x14ac:dyDescent="0.35">
      <c r="A28" s="534" t="s">
        <v>782</v>
      </c>
      <c r="B28" s="534" t="s">
        <v>783</v>
      </c>
      <c r="C28" s="535" t="s">
        <v>150</v>
      </c>
      <c r="D28" s="536" t="s">
        <v>195</v>
      </c>
      <c r="E28" s="536" t="s">
        <v>835</v>
      </c>
      <c r="F28" s="536" t="s">
        <v>847</v>
      </c>
      <c r="G28" s="536" t="s">
        <v>610</v>
      </c>
      <c r="H28" s="536" t="s">
        <v>848</v>
      </c>
      <c r="I28" s="535">
        <v>6271002802</v>
      </c>
      <c r="J28" s="536" t="s">
        <v>465</v>
      </c>
      <c r="K28" s="536" t="s">
        <v>570</v>
      </c>
      <c r="L28" s="535" t="s">
        <v>802</v>
      </c>
      <c r="M28" s="536" t="s">
        <v>803</v>
      </c>
      <c r="N28" s="536"/>
      <c r="O28" s="535"/>
      <c r="P28" s="536"/>
      <c r="Q28" s="536"/>
      <c r="R28" s="537">
        <f ca="1">SUMIF(CPSX!$D$28:$W$106,'FORM OH'!$I$28,CPSX!K28:K106)</f>
        <v>1700000</v>
      </c>
      <c r="S28" s="537">
        <f ca="1">SUMIF(CPSX!$D$28:$W$106,'FORM OH'!$I$28,CPSX!L28:L106)</f>
        <v>0</v>
      </c>
      <c r="T28" s="537">
        <f ca="1">SUMIF(CPSX!$D$28:$W$106,'FORM OH'!$I$28,CPSX!M28:M106)</f>
        <v>0</v>
      </c>
      <c r="U28" s="537">
        <f ca="1">SUMIF(CPSX!$D$28:$W$106,'FORM OH'!$I$28,CPSX!N28:N106)</f>
        <v>0</v>
      </c>
      <c r="V28" s="537">
        <f ca="1">SUMIF(CPSX!$D$28:$W$106,'FORM OH'!$I$28,CPSX!O28:O106)</f>
        <v>3400000</v>
      </c>
      <c r="W28" s="537">
        <f ca="1">SUMIF(CPSX!$D$28:$W$106,'FORM OH'!$I$28,CPSX!P28:P106)</f>
        <v>0</v>
      </c>
      <c r="X28" s="537">
        <f ca="1">SUMIF(CPSX!$D$28:$W$106,'FORM OH'!$I$28,CPSX!Q28:Q106)</f>
        <v>0</v>
      </c>
      <c r="Y28" s="537">
        <f ca="1">SUMIF(CPSX!$D$28:$W$106,'FORM OH'!$I$28,CPSX!R28:R106)</f>
        <v>0</v>
      </c>
      <c r="Z28" s="537">
        <f ca="1">SUMIF(CPSX!$D$28:$W$106,'FORM OH'!$I$28,CPSX!S28:S106)</f>
        <v>1700000</v>
      </c>
      <c r="AA28" s="537">
        <f ca="1">SUMIF(CPSX!$D$28:$W$106,'FORM OH'!$I$28,CPSX!T28:T106)</f>
        <v>0</v>
      </c>
      <c r="AB28" s="537">
        <f ca="1">SUMIF(CPSX!$D$28:$W$106,'FORM OH'!$I$28,CPSX!U28:U106)</f>
        <v>0</v>
      </c>
      <c r="AC28" s="537">
        <f ca="1">SUMIF(CPSX!$D$28:$W$106,'FORM OH'!$I$28,CPSX!V28:V106)</f>
        <v>0</v>
      </c>
      <c r="AD28" s="537">
        <f t="shared" ca="1" si="10"/>
        <v>6800000</v>
      </c>
      <c r="AE28" s="533"/>
      <c r="AF28" s="537">
        <f ca="1">SUMIF(CPSX!$D$28:$W$106,'FORM OH'!$I$28,CPSX!Y28:Y106)</f>
        <v>1310989</v>
      </c>
      <c r="AG28" s="537">
        <f ca="1">SUMIF(CPSX!$D$28:$W$106,'FORM OH'!$I$28,CPSX!Z28:Z106)</f>
        <v>1310989</v>
      </c>
      <c r="AH28" s="537">
        <f ca="1">SUMIF(CPSX!$D$28:$W$106,'FORM OH'!$I$28,CPSX!AA28:AA106)</f>
        <v>1119324</v>
      </c>
      <c r="AI28" s="537">
        <f ca="1">SUMIF(CPSX!$D$28:$W$106,'FORM OH'!$I$28,CPSX!AB28:AB106)</f>
        <v>3840967</v>
      </c>
      <c r="AJ28" s="537">
        <f ca="1">SUMIF(CPSX!$D$28:$W$106,'FORM OH'!$I$28,CPSX!AC28:AC106)</f>
        <v>5435619</v>
      </c>
      <c r="AK28" s="537">
        <f ca="1">SUMIF(CPSX!$D$28:$W$106,'FORM OH'!$I$28,CPSX!AD28:AD106)</f>
        <v>4170630</v>
      </c>
      <c r="AL28" s="537">
        <f ca="1">SUMIF(CPSX!$D$28:$W$106,'FORM OH'!$I$28,CPSX!AE28:AE106)</f>
        <v>9527500</v>
      </c>
      <c r="AM28" s="537">
        <f ca="1">SUMIF(CPSX!$D$28:$W$106,'FORM OH'!$I$28,CPSX!AF28:AF106)</f>
        <v>4170630</v>
      </c>
      <c r="AN28" s="537">
        <f ca="1">SUMIF(CPSX!$D$28:$W$106,'FORM OH'!$I$28,CPSX!AG28:AG106)</f>
        <v>4170630</v>
      </c>
      <c r="AO28" s="537">
        <f ca="1">SUMIF(CPSX!$D$28:$W$106,'FORM OH'!$I$28,CPSX!AH28:AH106)</f>
        <v>5251673.8666666644</v>
      </c>
      <c r="AP28" s="537">
        <f ca="1">SUMIF(CPSX!$D$28:$W$106,'FORM OH'!$I$28,CPSX!AI28:AI106)</f>
        <v>5251673.8666666644</v>
      </c>
      <c r="AQ28" s="537">
        <f ca="1">SUMIF(CPSX!$D$28:$W$106,'FORM OH'!$I$28,CPSX!AJ28:AJ106)</f>
        <v>5251673.8666666644</v>
      </c>
      <c r="AR28" s="1284">
        <f t="shared" ca="1" si="5"/>
        <v>50812299.600000001</v>
      </c>
      <c r="AS28" s="1284">
        <f t="shared" ca="1" si="2"/>
        <v>-44012299.600000001</v>
      </c>
      <c r="AT28" s="1297">
        <f t="shared" ca="1" si="3"/>
        <v>-0.86617413394925347</v>
      </c>
    </row>
    <row r="29" spans="1:46" s="539" customFormat="1" ht="16.399999999999999" customHeight="1" outlineLevel="1" x14ac:dyDescent="0.35">
      <c r="A29" s="534" t="s">
        <v>782</v>
      </c>
      <c r="B29" s="534" t="s">
        <v>783</v>
      </c>
      <c r="C29" s="535" t="s">
        <v>150</v>
      </c>
      <c r="D29" s="536" t="s">
        <v>195</v>
      </c>
      <c r="E29" s="536" t="s">
        <v>835</v>
      </c>
      <c r="F29" s="536" t="s">
        <v>847</v>
      </c>
      <c r="G29" s="536" t="s">
        <v>610</v>
      </c>
      <c r="H29" s="536" t="s">
        <v>848</v>
      </c>
      <c r="I29" s="535">
        <v>6271002806</v>
      </c>
      <c r="J29" s="536" t="s">
        <v>472</v>
      </c>
      <c r="K29" s="536" t="s">
        <v>574</v>
      </c>
      <c r="L29" s="535" t="s">
        <v>804</v>
      </c>
      <c r="M29" s="536"/>
      <c r="N29" s="536"/>
      <c r="O29" s="535"/>
      <c r="P29" s="536"/>
      <c r="Q29" s="536"/>
      <c r="R29" s="537">
        <f ca="1">SUMIF(CPSX!$D$28:$W$106,'FORM OH'!$I$29,CPSX!K28:K106)</f>
        <v>13157839.5</v>
      </c>
      <c r="S29" s="537">
        <f ca="1">SUMIF(CPSX!$D$28:$W$106,'FORM OH'!$I$29,CPSX!L28:L106)</f>
        <v>13157839.5</v>
      </c>
      <c r="T29" s="537">
        <f ca="1">SUMIF(CPSX!$D$28:$W$106,'FORM OH'!$I$29,CPSX!M28:M106)</f>
        <v>13157839.5</v>
      </c>
      <c r="U29" s="537">
        <f ca="1">SUMIF(CPSX!$D$28:$W$106,'FORM OH'!$I$29,CPSX!N28:N106)</f>
        <v>13157839.5</v>
      </c>
      <c r="V29" s="537">
        <f ca="1">SUMIF(CPSX!$D$28:$W$106,'FORM OH'!$I$29,CPSX!O28:O106)</f>
        <v>13157839.5</v>
      </c>
      <c r="W29" s="537">
        <f ca="1">SUMIF(CPSX!$D$28:$W$106,'FORM OH'!$I$29,CPSX!P28:P106)</f>
        <v>13157839.5</v>
      </c>
      <c r="X29" s="537">
        <f ca="1">SUMIF(CPSX!$D$28:$W$106,'FORM OH'!$I$29,CPSX!Q28:Q106)</f>
        <v>13157839.5</v>
      </c>
      <c r="Y29" s="537">
        <f ca="1">SUMIF(CPSX!$D$28:$W$106,'FORM OH'!$I$29,CPSX!R28:R106)</f>
        <v>13157839.5</v>
      </c>
      <c r="Z29" s="537">
        <f ca="1">SUMIF(CPSX!$D$28:$W$106,'FORM OH'!$I$29,CPSX!S28:S106)</f>
        <v>13157839.5</v>
      </c>
      <c r="AA29" s="537">
        <f ca="1">SUMIF(CPSX!$D$28:$W$106,'FORM OH'!$I$29,CPSX!T28:T106)</f>
        <v>13157839.5</v>
      </c>
      <c r="AB29" s="537">
        <f ca="1">SUMIF(CPSX!$D$28:$W$106,'FORM OH'!$I$29,CPSX!U28:U106)</f>
        <v>13157839.5</v>
      </c>
      <c r="AC29" s="537">
        <f ca="1">SUMIF(CPSX!$D$28:$W$106,'FORM OH'!$I$29,CPSX!V28:V106)</f>
        <v>13157839.5</v>
      </c>
      <c r="AD29" s="537">
        <f t="shared" ca="1" si="10"/>
        <v>157894074</v>
      </c>
      <c r="AE29" s="533"/>
      <c r="AF29" s="537">
        <f ca="1">SUMIF(CPSX!$D$28:$W$106,'FORM OH'!$I$29,CPSX!Y28:Y106)</f>
        <v>0</v>
      </c>
      <c r="AG29" s="537">
        <f ca="1">SUMIF(CPSX!$D$28:$W$106,'FORM OH'!$I$29,CPSX!Z28:Z106)</f>
        <v>0</v>
      </c>
      <c r="AH29" s="537">
        <f ca="1">SUMIF(CPSX!$D$28:$W$106,'FORM OH'!$I$29,CPSX!AA28:AA106)</f>
        <v>0</v>
      </c>
      <c r="AI29" s="537">
        <f ca="1">SUMIF(CPSX!$D$28:$W$106,'FORM OH'!$I$29,CPSX!AB28:AB106)</f>
        <v>0</v>
      </c>
      <c r="AJ29" s="537">
        <f ca="1">SUMIF(CPSX!$D$28:$W$106,'FORM OH'!$I$29,CPSX!AC28:AC106)</f>
        <v>0</v>
      </c>
      <c r="AK29" s="537">
        <f ca="1">SUMIF(CPSX!$D$28:$W$106,'FORM OH'!$I$29,CPSX!AD28:AD106)</f>
        <v>0</v>
      </c>
      <c r="AL29" s="537">
        <f ca="1">SUMIF(CPSX!$D$28:$W$106,'FORM OH'!$I$29,CPSX!AE28:AE106)</f>
        <v>0</v>
      </c>
      <c r="AM29" s="537">
        <f ca="1">SUMIF(CPSX!$D$28:$W$106,'FORM OH'!$I$29,CPSX!AF28:AF106)</f>
        <v>0</v>
      </c>
      <c r="AN29" s="537">
        <f ca="1">SUMIF(CPSX!$D$28:$W$106,'FORM OH'!$I$29,CPSX!AG28:AG106)</f>
        <v>0</v>
      </c>
      <c r="AO29" s="537">
        <f ca="1">SUMIF(CPSX!$D$28:$W$106,'FORM OH'!$I$29,CPSX!AH28:AH106)</f>
        <v>0</v>
      </c>
      <c r="AP29" s="537">
        <f ca="1">SUMIF(CPSX!$D$28:$W$106,'FORM OH'!$I$29,CPSX!AI28:AI106)</f>
        <v>0</v>
      </c>
      <c r="AQ29" s="537">
        <f ca="1">SUMIF(CPSX!$D$28:$W$106,'FORM OH'!$I$29,CPSX!AJ28:AJ106)</f>
        <v>0</v>
      </c>
      <c r="AR29" s="1284">
        <f t="shared" ca="1" si="5"/>
        <v>0</v>
      </c>
      <c r="AS29" s="1284">
        <f t="shared" ca="1" si="2"/>
        <v>157894074</v>
      </c>
      <c r="AT29" s="1297">
        <f t="shared" ca="1" si="3"/>
        <v>0</v>
      </c>
    </row>
    <row r="30" spans="1:46" s="539" customFormat="1" ht="16.399999999999999" customHeight="1" outlineLevel="1" x14ac:dyDescent="0.35">
      <c r="A30" s="534" t="s">
        <v>782</v>
      </c>
      <c r="B30" s="534" t="s">
        <v>783</v>
      </c>
      <c r="C30" s="535" t="s">
        <v>150</v>
      </c>
      <c r="D30" s="536" t="s">
        <v>195</v>
      </c>
      <c r="E30" s="536" t="s">
        <v>835</v>
      </c>
      <c r="F30" s="536" t="s">
        <v>849</v>
      </c>
      <c r="G30" s="536" t="s">
        <v>610</v>
      </c>
      <c r="H30" s="536" t="s">
        <v>850</v>
      </c>
      <c r="I30" s="535">
        <v>6271002603</v>
      </c>
      <c r="J30" s="536" t="s">
        <v>466</v>
      </c>
      <c r="K30" s="536" t="s">
        <v>574</v>
      </c>
      <c r="L30" s="535" t="s">
        <v>807</v>
      </c>
      <c r="M30" s="536" t="s">
        <v>808</v>
      </c>
      <c r="N30" s="536"/>
      <c r="O30" s="535"/>
      <c r="P30" s="536"/>
      <c r="Q30" s="536"/>
      <c r="R30" s="537">
        <f ca="1">SUMIF(CPSX!$D$28:$W$106,'FORM OH'!$I$30,CPSX!K28:K106)</f>
        <v>0</v>
      </c>
      <c r="S30" s="537">
        <f ca="1">SUMIF(CPSX!$D$28:$W$106,'FORM OH'!$I$30,CPSX!L28:L106)</f>
        <v>0</v>
      </c>
      <c r="T30" s="537">
        <f ca="1">SUMIF(CPSX!$D$28:$W$106,'FORM OH'!$I$30,CPSX!M28:M106)</f>
        <v>0</v>
      </c>
      <c r="U30" s="537">
        <f ca="1">SUMIF(CPSX!$D$28:$W$106,'FORM OH'!$I$30,CPSX!N28:N106)</f>
        <v>0</v>
      </c>
      <c r="V30" s="537">
        <f ca="1">SUMIF(CPSX!$D$28:$W$106,'FORM OH'!$I$30,CPSX!O28:O106)</f>
        <v>0</v>
      </c>
      <c r="W30" s="537">
        <f ca="1">SUMIF(CPSX!$D$28:$W$106,'FORM OH'!$I$30,CPSX!P28:P106)</f>
        <v>0</v>
      </c>
      <c r="X30" s="537">
        <f ca="1">SUMIF(CPSX!$D$28:$W$106,'FORM OH'!$I$30,CPSX!Q28:Q106)</f>
        <v>0</v>
      </c>
      <c r="Y30" s="537">
        <f ca="1">SUMIF(CPSX!$D$28:$W$106,'FORM OH'!$I$30,CPSX!R28:R106)</f>
        <v>0</v>
      </c>
      <c r="Z30" s="537">
        <f ca="1">SUMIF(CPSX!$D$28:$W$106,'FORM OH'!$I$30,CPSX!S28:S106)</f>
        <v>0</v>
      </c>
      <c r="AA30" s="537">
        <f ca="1">SUMIF(CPSX!$D$28:$W$106,'FORM OH'!$I$30,CPSX!T28:T106)</f>
        <v>0</v>
      </c>
      <c r="AB30" s="537">
        <f ca="1">SUMIF(CPSX!$D$28:$W$106,'FORM OH'!$I$30,CPSX!U28:U106)</f>
        <v>0</v>
      </c>
      <c r="AC30" s="537">
        <f ca="1">SUMIF(CPSX!$D$28:$W$106,'FORM OH'!$I$30,CPSX!V28:V106)</f>
        <v>0</v>
      </c>
      <c r="AD30" s="537">
        <f t="shared" ca="1" si="10"/>
        <v>0</v>
      </c>
      <c r="AE30" s="533"/>
      <c r="AF30" s="537">
        <f ca="1">SUMIF(CPSX!$D$28:$W$106,'FORM OH'!$I$30,CPSX!Y28:Y106)</f>
        <v>0</v>
      </c>
      <c r="AG30" s="537">
        <f ca="1">SUMIF(CPSX!$D$28:$W$106,'FORM OH'!$I$30,CPSX!Z28:Z106)</f>
        <v>0</v>
      </c>
      <c r="AH30" s="537">
        <f ca="1">SUMIF(CPSX!$D$28:$W$106,'FORM OH'!$I$30,CPSX!AA28:AA106)</f>
        <v>0</v>
      </c>
      <c r="AI30" s="537">
        <f ca="1">SUMIF(CPSX!$D$28:$W$106,'FORM OH'!$I$30,CPSX!AB28:AB106)</f>
        <v>0</v>
      </c>
      <c r="AJ30" s="537">
        <f ca="1">SUMIF(CPSX!$D$28:$W$106,'FORM OH'!$I$30,CPSX!AC28:AC106)</f>
        <v>0</v>
      </c>
      <c r="AK30" s="537">
        <f ca="1">SUMIF(CPSX!$D$28:$W$106,'FORM OH'!$I$30,CPSX!AD28:AD106)</f>
        <v>0</v>
      </c>
      <c r="AL30" s="537">
        <f ca="1">SUMIF(CPSX!$D$28:$W$106,'FORM OH'!$I$30,CPSX!AE28:AE106)</f>
        <v>0</v>
      </c>
      <c r="AM30" s="537">
        <f ca="1">SUMIF(CPSX!$D$28:$W$106,'FORM OH'!$I$30,CPSX!AF28:AF106)</f>
        <v>0</v>
      </c>
      <c r="AN30" s="537">
        <f ca="1">SUMIF(CPSX!$D$28:$W$106,'FORM OH'!$I$30,CPSX!AG28:AG106)</f>
        <v>0</v>
      </c>
      <c r="AO30" s="537">
        <f ca="1">SUMIF(CPSX!$D$28:$W$106,'FORM OH'!$I$30,CPSX!AH28:AH106)</f>
        <v>0</v>
      </c>
      <c r="AP30" s="537">
        <f ca="1">SUMIF(CPSX!$D$28:$W$106,'FORM OH'!$I$30,CPSX!AI28:AI106)</f>
        <v>0</v>
      </c>
      <c r="AQ30" s="537">
        <f ca="1">SUMIF(CPSX!$D$28:$W$106,'FORM OH'!$I$30,CPSX!AJ28:AJ106)</f>
        <v>0</v>
      </c>
      <c r="AR30" s="1284">
        <f t="shared" ca="1" si="5"/>
        <v>0</v>
      </c>
      <c r="AS30" s="1284">
        <f t="shared" ca="1" si="2"/>
        <v>0</v>
      </c>
      <c r="AT30" s="1297">
        <f t="shared" ca="1" si="3"/>
        <v>0</v>
      </c>
    </row>
    <row r="31" spans="1:46" s="539" customFormat="1" ht="16.399999999999999" customHeight="1" outlineLevel="1" x14ac:dyDescent="0.35">
      <c r="A31" s="534" t="s">
        <v>782</v>
      </c>
      <c r="B31" s="534" t="s">
        <v>783</v>
      </c>
      <c r="C31" s="535" t="s">
        <v>150</v>
      </c>
      <c r="D31" s="536" t="s">
        <v>195</v>
      </c>
      <c r="E31" s="536" t="s">
        <v>835</v>
      </c>
      <c r="F31" s="536" t="s">
        <v>849</v>
      </c>
      <c r="G31" s="536" t="s">
        <v>610</v>
      </c>
      <c r="H31" s="536" t="s">
        <v>850</v>
      </c>
      <c r="I31" s="535">
        <v>6271002801</v>
      </c>
      <c r="J31" s="536" t="s">
        <v>851</v>
      </c>
      <c r="K31" s="536" t="s">
        <v>574</v>
      </c>
      <c r="L31" s="535" t="s">
        <v>852</v>
      </c>
      <c r="M31" s="536" t="s">
        <v>853</v>
      </c>
      <c r="N31" s="536"/>
      <c r="O31" s="535"/>
      <c r="P31" s="536"/>
      <c r="Q31" s="536"/>
      <c r="R31" s="537">
        <f ca="1">SUMIF(CPSX!$D$28:$W$106,'FORM OH'!$I$31,CPSX!K28:K106)</f>
        <v>0</v>
      </c>
      <c r="S31" s="537">
        <f ca="1">SUMIF(CPSX!$D$28:$W$106,'FORM OH'!$I$31,CPSX!L28:L106)</f>
        <v>0</v>
      </c>
      <c r="T31" s="537">
        <f ca="1">SUMIF(CPSX!$D$28:$W$106,'FORM OH'!$I$31,CPSX!M28:M106)</f>
        <v>0</v>
      </c>
      <c r="U31" s="537">
        <f ca="1">SUMIF(CPSX!$D$28:$W$106,'FORM OH'!$I$31,CPSX!N28:N106)</f>
        <v>0</v>
      </c>
      <c r="V31" s="537">
        <f ca="1">SUMIF(CPSX!$D$28:$W$106,'FORM OH'!$I$31,CPSX!O28:O106)</f>
        <v>0</v>
      </c>
      <c r="W31" s="537">
        <f ca="1">SUMIF(CPSX!$D$28:$W$106,'FORM OH'!$I$31,CPSX!P28:P106)</f>
        <v>0</v>
      </c>
      <c r="X31" s="537">
        <f ca="1">SUMIF(CPSX!$D$28:$W$106,'FORM OH'!$I$31,CPSX!Q28:Q106)</f>
        <v>0</v>
      </c>
      <c r="Y31" s="537">
        <f ca="1">SUMIF(CPSX!$D$28:$W$106,'FORM OH'!$I$31,CPSX!R28:R106)</f>
        <v>0</v>
      </c>
      <c r="Z31" s="537">
        <f ca="1">SUMIF(CPSX!$D$28:$W$106,'FORM OH'!$I$31,CPSX!S28:S106)</f>
        <v>0</v>
      </c>
      <c r="AA31" s="537">
        <f ca="1">SUMIF(CPSX!$D$28:$W$106,'FORM OH'!$I$31,CPSX!T28:T106)</f>
        <v>0</v>
      </c>
      <c r="AB31" s="537">
        <f ca="1">SUMIF(CPSX!$D$28:$W$106,'FORM OH'!$I$31,CPSX!U28:U106)</f>
        <v>0</v>
      </c>
      <c r="AC31" s="537">
        <f ca="1">SUMIF(CPSX!$D$28:$W$106,'FORM OH'!$I$31,CPSX!V28:V106)</f>
        <v>0</v>
      </c>
      <c r="AD31" s="537">
        <f t="shared" ca="1" si="10"/>
        <v>0</v>
      </c>
      <c r="AE31" s="533"/>
      <c r="AF31" s="537">
        <f ca="1">SUMIF(CPSX!$D$28:$W$106,'FORM OH'!$I$31,CPSX!Y28:Y106)</f>
        <v>0</v>
      </c>
      <c r="AG31" s="537">
        <f ca="1">SUMIF(CPSX!$D$28:$W$106,'FORM OH'!$I$31,CPSX!Z28:Z106)</f>
        <v>0</v>
      </c>
      <c r="AH31" s="537">
        <f ca="1">SUMIF(CPSX!$D$28:$W$106,'FORM OH'!$I$31,CPSX!AA28:AA106)</f>
        <v>0</v>
      </c>
      <c r="AI31" s="537">
        <f ca="1">SUMIF(CPSX!$D$28:$W$106,'FORM OH'!$I$31,CPSX!AB28:AB106)</f>
        <v>0</v>
      </c>
      <c r="AJ31" s="537">
        <f ca="1">SUMIF(CPSX!$D$28:$W$106,'FORM OH'!$I$31,CPSX!AC28:AC106)</f>
        <v>0</v>
      </c>
      <c r="AK31" s="537">
        <f ca="1">SUMIF(CPSX!$D$28:$W$106,'FORM OH'!$I$31,CPSX!AD28:AD106)</f>
        <v>0</v>
      </c>
      <c r="AL31" s="537">
        <f ca="1">SUMIF(CPSX!$D$28:$W$106,'FORM OH'!$I$31,CPSX!AE28:AE106)</f>
        <v>0</v>
      </c>
      <c r="AM31" s="537">
        <f ca="1">SUMIF(CPSX!$D$28:$W$106,'FORM OH'!$I$31,CPSX!AF28:AF106)</f>
        <v>0</v>
      </c>
      <c r="AN31" s="537">
        <f ca="1">SUMIF(CPSX!$D$28:$W$106,'FORM OH'!$I$31,CPSX!AG28:AG106)</f>
        <v>0</v>
      </c>
      <c r="AO31" s="537">
        <f ca="1">SUMIF(CPSX!$D$28:$W$106,'FORM OH'!$I$31,CPSX!AH28:AH106)</f>
        <v>0</v>
      </c>
      <c r="AP31" s="537">
        <f ca="1">SUMIF(CPSX!$D$28:$W$106,'FORM OH'!$I$31,CPSX!AI28:AI106)</f>
        <v>0</v>
      </c>
      <c r="AQ31" s="537">
        <f ca="1">SUMIF(CPSX!$D$28:$W$106,'FORM OH'!$I$31,CPSX!AJ28:AJ106)</f>
        <v>0</v>
      </c>
      <c r="AR31" s="1284">
        <f t="shared" ca="1" si="5"/>
        <v>0</v>
      </c>
      <c r="AS31" s="1284">
        <f t="shared" ca="1" si="2"/>
        <v>0</v>
      </c>
      <c r="AT31" s="1297">
        <f t="shared" ca="1" si="3"/>
        <v>0</v>
      </c>
    </row>
    <row r="32" spans="1:46" s="539" customFormat="1" ht="16.399999999999999" customHeight="1" outlineLevel="1" x14ac:dyDescent="0.35">
      <c r="A32" s="534" t="s">
        <v>782</v>
      </c>
      <c r="B32" s="534" t="s">
        <v>783</v>
      </c>
      <c r="C32" s="535" t="s">
        <v>150</v>
      </c>
      <c r="D32" s="536" t="s">
        <v>195</v>
      </c>
      <c r="E32" s="536" t="s">
        <v>835</v>
      </c>
      <c r="F32" s="536" t="s">
        <v>849</v>
      </c>
      <c r="G32" s="536" t="s">
        <v>610</v>
      </c>
      <c r="H32" s="536" t="s">
        <v>850</v>
      </c>
      <c r="I32" s="535" t="s">
        <v>854</v>
      </c>
      <c r="J32" s="536" t="s">
        <v>855</v>
      </c>
      <c r="K32" s="536" t="s">
        <v>811</v>
      </c>
      <c r="L32" s="535" t="s">
        <v>812</v>
      </c>
      <c r="M32" s="536" t="s">
        <v>813</v>
      </c>
      <c r="N32" s="536"/>
      <c r="O32" s="535"/>
      <c r="P32" s="536"/>
      <c r="Q32" s="536"/>
      <c r="R32" s="537">
        <f ca="1">SUMIF(CPSX!$D$28:$W$106,'FORM OH'!$I$32,CPSX!K28:K106)</f>
        <v>0</v>
      </c>
      <c r="S32" s="537">
        <f ca="1">SUMIF(CPSX!$D$28:$W$106,'FORM OH'!$I$32,CPSX!L28:L106)</f>
        <v>0</v>
      </c>
      <c r="T32" s="537">
        <f ca="1">SUMIF(CPSX!$D$28:$W$106,'FORM OH'!$I$32,CPSX!M28:M106)</f>
        <v>0</v>
      </c>
      <c r="U32" s="537">
        <f ca="1">SUMIF(CPSX!$D$28:$W$106,'FORM OH'!$I$32,CPSX!N28:N106)</f>
        <v>0</v>
      </c>
      <c r="V32" s="537">
        <f ca="1">SUMIF(CPSX!$D$28:$W$106,'FORM OH'!$I$32,CPSX!O28:O106)</f>
        <v>0</v>
      </c>
      <c r="W32" s="537">
        <f ca="1">SUMIF(CPSX!$D$28:$W$106,'FORM OH'!$I$32,CPSX!P28:P106)</f>
        <v>0</v>
      </c>
      <c r="X32" s="537">
        <f ca="1">SUMIF(CPSX!$D$28:$W$106,'FORM OH'!$I$32,CPSX!Q28:Q106)</f>
        <v>0</v>
      </c>
      <c r="Y32" s="537">
        <f ca="1">SUMIF(CPSX!$D$28:$W$106,'FORM OH'!$I$32,CPSX!R28:R106)</f>
        <v>0</v>
      </c>
      <c r="Z32" s="537">
        <f ca="1">SUMIF(CPSX!$D$28:$W$106,'FORM OH'!$I$32,CPSX!S28:S106)</f>
        <v>0</v>
      </c>
      <c r="AA32" s="537">
        <f ca="1">SUMIF(CPSX!$D$28:$W$106,'FORM OH'!$I$32,CPSX!T28:T106)</f>
        <v>0</v>
      </c>
      <c r="AB32" s="537">
        <f ca="1">SUMIF(CPSX!$D$28:$W$106,'FORM OH'!$I$32,CPSX!U28:U106)</f>
        <v>0</v>
      </c>
      <c r="AC32" s="537">
        <f ca="1">SUMIF(CPSX!$D$28:$W$106,'FORM OH'!$I$32,CPSX!V28:V106)</f>
        <v>0</v>
      </c>
      <c r="AD32" s="537">
        <f t="shared" ca="1" si="10"/>
        <v>0</v>
      </c>
      <c r="AE32" s="533"/>
      <c r="AF32" s="537">
        <f ca="1">SUMIF(CPSX!$D$28:$W$106,'FORM OH'!$I$32,CPSX!Y28:Y106)</f>
        <v>0</v>
      </c>
      <c r="AG32" s="537">
        <f ca="1">SUMIF(CPSX!$D$28:$W$106,'FORM OH'!$I$32,CPSX!Z28:Z106)</f>
        <v>0</v>
      </c>
      <c r="AH32" s="537">
        <f ca="1">SUMIF(CPSX!$D$28:$W$106,'FORM OH'!$I$32,CPSX!AA28:AA106)</f>
        <v>0</v>
      </c>
      <c r="AI32" s="537">
        <f ca="1">SUMIF(CPSX!$D$28:$W$106,'FORM OH'!$I$32,CPSX!AB28:AB106)</f>
        <v>0</v>
      </c>
      <c r="AJ32" s="537">
        <f ca="1">SUMIF(CPSX!$D$28:$W$106,'FORM OH'!$I$32,CPSX!AC28:AC106)</f>
        <v>0</v>
      </c>
      <c r="AK32" s="537">
        <f ca="1">SUMIF(CPSX!$D$28:$W$106,'FORM OH'!$I$32,CPSX!AD28:AD106)</f>
        <v>0</v>
      </c>
      <c r="AL32" s="537">
        <f ca="1">SUMIF(CPSX!$D$28:$W$106,'FORM OH'!$I$32,CPSX!AE28:AE106)</f>
        <v>0</v>
      </c>
      <c r="AM32" s="537">
        <f ca="1">SUMIF(CPSX!$D$28:$W$106,'FORM OH'!$I$32,CPSX!AF28:AF106)</f>
        <v>0</v>
      </c>
      <c r="AN32" s="537">
        <f ca="1">SUMIF(CPSX!$D$28:$W$106,'FORM OH'!$I$32,CPSX!AG28:AG106)</f>
        <v>0</v>
      </c>
      <c r="AO32" s="537">
        <f ca="1">SUMIF(CPSX!$D$28:$W$106,'FORM OH'!$I$32,CPSX!AH28:AH106)</f>
        <v>0</v>
      </c>
      <c r="AP32" s="537">
        <f ca="1">SUMIF(CPSX!$D$28:$W$106,'FORM OH'!$I$32,CPSX!AI28:AI106)</f>
        <v>0</v>
      </c>
      <c r="AQ32" s="537">
        <f ca="1">SUMIF(CPSX!$D$28:$W$106,'FORM OH'!$I$32,CPSX!AJ28:AJ106)</f>
        <v>0</v>
      </c>
      <c r="AR32" s="1284">
        <f t="shared" ca="1" si="5"/>
        <v>0</v>
      </c>
      <c r="AS32" s="1284">
        <f t="shared" ca="1" si="2"/>
        <v>0</v>
      </c>
      <c r="AT32" s="1297">
        <f t="shared" ca="1" si="3"/>
        <v>0</v>
      </c>
    </row>
    <row r="33" spans="1:46" s="539" customFormat="1" ht="16.399999999999999" customHeight="1" outlineLevel="1" x14ac:dyDescent="0.35">
      <c r="A33" s="534" t="s">
        <v>782</v>
      </c>
      <c r="B33" s="534" t="s">
        <v>783</v>
      </c>
      <c r="C33" s="535" t="s">
        <v>150</v>
      </c>
      <c r="D33" s="536" t="s">
        <v>195</v>
      </c>
      <c r="E33" s="536" t="s">
        <v>835</v>
      </c>
      <c r="F33" s="536" t="s">
        <v>856</v>
      </c>
      <c r="G33" s="536" t="s">
        <v>610</v>
      </c>
      <c r="H33" s="536" t="s">
        <v>850</v>
      </c>
      <c r="I33" s="535" t="s">
        <v>857</v>
      </c>
      <c r="J33" s="536" t="s">
        <v>467</v>
      </c>
      <c r="K33" s="536" t="s">
        <v>570</v>
      </c>
      <c r="L33" s="535" t="s">
        <v>858</v>
      </c>
      <c r="M33" s="536" t="s">
        <v>859</v>
      </c>
      <c r="N33" s="536"/>
      <c r="O33" s="535"/>
      <c r="P33" s="536"/>
      <c r="Q33" s="536"/>
      <c r="R33" s="537">
        <f ca="1">SUMIF(CPSX!$D$28:$W$106,'FORM OH'!$I$33,CPSX!K28:K106)</f>
        <v>6650000</v>
      </c>
      <c r="S33" s="537">
        <f ca="1">SUMIF(CPSX!$D$28:$W$106,'FORM OH'!$I$33,CPSX!L28:L106)</f>
        <v>5852000</v>
      </c>
      <c r="T33" s="537">
        <f ca="1">SUMIF(CPSX!$D$28:$W$106,'FORM OH'!$I$33,CPSX!M28:M106)</f>
        <v>6384000</v>
      </c>
      <c r="U33" s="537">
        <f ca="1">SUMIF(CPSX!$D$28:$W$106,'FORM OH'!$I$33,CPSX!N28:N106)</f>
        <v>7182000</v>
      </c>
      <c r="V33" s="537">
        <f ca="1">SUMIF(CPSX!$D$28:$W$106,'FORM OH'!$I$33,CPSX!O28:O106)</f>
        <v>5852000</v>
      </c>
      <c r="W33" s="537">
        <f ca="1">SUMIF(CPSX!$D$28:$W$106,'FORM OH'!$I$33,CPSX!P28:P106)</f>
        <v>7182000</v>
      </c>
      <c r="X33" s="537">
        <f ca="1">SUMIF(CPSX!$D$28:$W$106,'FORM OH'!$I$33,CPSX!Q28:Q106)</f>
        <v>6916000</v>
      </c>
      <c r="Y33" s="537">
        <f ca="1">SUMIF(CPSX!$D$28:$W$106,'FORM OH'!$I$33,CPSX!R28:R106)</f>
        <v>6916000</v>
      </c>
      <c r="Z33" s="537">
        <f ca="1">SUMIF(CPSX!$D$28:$W$106,'FORM OH'!$I$33,CPSX!S28:S106)</f>
        <v>6650000</v>
      </c>
      <c r="AA33" s="537">
        <f ca="1">SUMIF(CPSX!$D$28:$W$106,'FORM OH'!$I$33,CPSX!T28:T106)</f>
        <v>6650000</v>
      </c>
      <c r="AB33" s="537">
        <f ca="1">SUMIF(CPSX!$D$28:$W$106,'FORM OH'!$I$33,CPSX!U28:U106)</f>
        <v>7182000</v>
      </c>
      <c r="AC33" s="537">
        <f ca="1">SUMIF(CPSX!$D$28:$W$106,'FORM OH'!$I$33,CPSX!V28:V106)</f>
        <v>6916000</v>
      </c>
      <c r="AD33" s="537">
        <f t="shared" ca="1" si="10"/>
        <v>80332000</v>
      </c>
      <c r="AE33" s="533"/>
      <c r="AF33" s="537">
        <f ca="1">SUMIF(CPSX!$D$28:$W$106,'FORM OH'!$I$33,CPSX!Y28:Y106)</f>
        <v>1250000</v>
      </c>
      <c r="AG33" s="537">
        <f ca="1">SUMIF(CPSX!$D$28:$W$106,'FORM OH'!$I$33,CPSX!Z28:Z106)</f>
        <v>850000</v>
      </c>
      <c r="AH33" s="537">
        <f ca="1">SUMIF(CPSX!$D$28:$W$106,'FORM OH'!$I$33,CPSX!AA28:AA106)</f>
        <v>775000</v>
      </c>
      <c r="AI33" s="537">
        <f ca="1">SUMIF(CPSX!$D$28:$W$106,'FORM OH'!$I$33,CPSX!AB28:AB106)</f>
        <v>3575000</v>
      </c>
      <c r="AJ33" s="537">
        <f ca="1">SUMIF(CPSX!$D$28:$W$106,'FORM OH'!$I$33,CPSX!AC28:AC106)</f>
        <v>3491250</v>
      </c>
      <c r="AK33" s="537">
        <f ca="1">SUMIF(CPSX!$D$28:$W$106,'FORM OH'!$I$33,CPSX!AD28:AD106)</f>
        <v>4147500</v>
      </c>
      <c r="AL33" s="537">
        <f ca="1">SUMIF(CPSX!$D$28:$W$106,'FORM OH'!$I$33,CPSX!AE28:AE106)</f>
        <v>4170631</v>
      </c>
      <c r="AM33" s="537">
        <f ca="1">SUMIF(CPSX!$D$28:$W$106,'FORM OH'!$I$33,CPSX!AF28:AF106)</f>
        <v>3970421</v>
      </c>
      <c r="AN33" s="537">
        <f ca="1">SUMIF(CPSX!$D$28:$W$106,'FORM OH'!$I$33,CPSX!AG28:AG106)</f>
        <v>3540477</v>
      </c>
      <c r="AO33" s="537">
        <f ca="1">SUMIF(CPSX!$D$28:$W$106,'FORM OH'!$I$33,CPSX!AH28:AH106)</f>
        <v>3540477</v>
      </c>
      <c r="AP33" s="537">
        <f ca="1">SUMIF(CPSX!$D$28:$W$106,'FORM OH'!$I$33,CPSX!AI28:AI106)</f>
        <v>3540477</v>
      </c>
      <c r="AQ33" s="537">
        <f ca="1">SUMIF(CPSX!$D$28:$W$106,'FORM OH'!$I$33,CPSX!AJ28:AJ106)</f>
        <v>3540477</v>
      </c>
      <c r="AR33" s="1284">
        <f t="shared" ca="1" si="5"/>
        <v>36391710</v>
      </c>
      <c r="AS33" s="1284">
        <f t="shared" ca="1" si="2"/>
        <v>43940290</v>
      </c>
      <c r="AT33" s="1297">
        <f t="shared" ca="1" si="3"/>
        <v>1.2074258120874233</v>
      </c>
    </row>
    <row r="34" spans="1:46" s="539" customFormat="1" ht="16.399999999999999" customHeight="1" outlineLevel="1" x14ac:dyDescent="0.35">
      <c r="A34" s="534" t="s">
        <v>782</v>
      </c>
      <c r="B34" s="534" t="s">
        <v>783</v>
      </c>
      <c r="C34" s="535" t="s">
        <v>150</v>
      </c>
      <c r="D34" s="536" t="s">
        <v>817</v>
      </c>
      <c r="E34" s="536" t="s">
        <v>818</v>
      </c>
      <c r="F34" s="536" t="s">
        <v>860</v>
      </c>
      <c r="G34" s="536" t="s">
        <v>820</v>
      </c>
      <c r="H34" s="536" t="s">
        <v>861</v>
      </c>
      <c r="I34" s="535" t="s">
        <v>862</v>
      </c>
      <c r="J34" s="536" t="s">
        <v>863</v>
      </c>
      <c r="K34" s="536" t="s">
        <v>597</v>
      </c>
      <c r="L34" s="535" t="s">
        <v>864</v>
      </c>
      <c r="M34" s="536" t="s">
        <v>865</v>
      </c>
      <c r="N34" s="536"/>
      <c r="O34" s="535"/>
      <c r="P34" s="536"/>
      <c r="Q34" s="536"/>
      <c r="R34" s="537">
        <f ca="1">SUMIF(CPSX!$D$28:$W$106,'FORM OH'!$I$34,CPSX!K28:K106)</f>
        <v>0</v>
      </c>
      <c r="S34" s="537">
        <f ca="1">SUMIF(CPSX!$D$28:$W$106,'FORM OH'!$I$34,CPSX!L28:L106)</f>
        <v>0</v>
      </c>
      <c r="T34" s="537">
        <f ca="1">SUMIF(CPSX!$D$28:$W$106,'FORM OH'!$I$34,CPSX!M28:M106)</f>
        <v>0</v>
      </c>
      <c r="U34" s="537">
        <f ca="1">SUMIF(CPSX!$D$28:$W$106,'FORM OH'!$I$34,CPSX!N28:N106)</f>
        <v>0</v>
      </c>
      <c r="V34" s="537">
        <f ca="1">SUMIF(CPSX!$D$28:$W$106,'FORM OH'!$I$34,CPSX!O28:O106)</f>
        <v>0</v>
      </c>
      <c r="W34" s="537">
        <f ca="1">SUMIF(CPSX!$D$28:$W$106,'FORM OH'!$I$34,CPSX!P28:P106)</f>
        <v>0</v>
      </c>
      <c r="X34" s="537">
        <f ca="1">SUMIF(CPSX!$D$28:$W$106,'FORM OH'!$I$34,CPSX!Q28:Q106)</f>
        <v>0</v>
      </c>
      <c r="Y34" s="537">
        <f ca="1">SUMIF(CPSX!$D$28:$W$106,'FORM OH'!$I$34,CPSX!R28:R106)</f>
        <v>0</v>
      </c>
      <c r="Z34" s="537">
        <f ca="1">SUMIF(CPSX!$D$28:$W$106,'FORM OH'!$I$34,CPSX!S28:S106)</f>
        <v>0</v>
      </c>
      <c r="AA34" s="537">
        <f ca="1">SUMIF(CPSX!$D$28:$W$106,'FORM OH'!$I$34,CPSX!T28:T106)</f>
        <v>0</v>
      </c>
      <c r="AB34" s="537">
        <f ca="1">SUMIF(CPSX!$D$28:$W$106,'FORM OH'!$I$34,CPSX!U28:U106)</f>
        <v>0</v>
      </c>
      <c r="AC34" s="537">
        <f ca="1">SUMIF(CPSX!$D$28:$W$106,'FORM OH'!$I$34,CPSX!V28:V106)</f>
        <v>0</v>
      </c>
      <c r="AD34" s="537">
        <f t="shared" ca="1" si="10"/>
        <v>0</v>
      </c>
      <c r="AE34" s="533"/>
      <c r="AF34" s="537">
        <f ca="1">SUMIF(CPSX!$D$28:$W$106,'FORM OH'!$I$34,CPSX!Y28:Y106)</f>
        <v>0</v>
      </c>
      <c r="AG34" s="537">
        <f ca="1">SUMIF(CPSX!$D$28:$W$106,'FORM OH'!$I$34,CPSX!Z28:Z106)</f>
        <v>0</v>
      </c>
      <c r="AH34" s="537">
        <f ca="1">SUMIF(CPSX!$D$28:$W$106,'FORM OH'!$I$34,CPSX!AA28:AA106)</f>
        <v>0</v>
      </c>
      <c r="AI34" s="537">
        <f ca="1">SUMIF(CPSX!$D$28:$W$106,'FORM OH'!$I$34,CPSX!AB28:AB106)</f>
        <v>0</v>
      </c>
      <c r="AJ34" s="537">
        <f ca="1">SUMIF(CPSX!$D$28:$W$106,'FORM OH'!$I$34,CPSX!AC28:AC106)</f>
        <v>0</v>
      </c>
      <c r="AK34" s="537">
        <f ca="1">SUMIF(CPSX!$D$28:$W$106,'FORM OH'!$I$34,CPSX!AD28:AD106)</f>
        <v>0</v>
      </c>
      <c r="AL34" s="537">
        <f ca="1">SUMIF(CPSX!$D$28:$W$106,'FORM OH'!$I$34,CPSX!AE28:AE106)</f>
        <v>0</v>
      </c>
      <c r="AM34" s="537">
        <f ca="1">SUMIF(CPSX!$D$28:$W$106,'FORM OH'!$I$34,CPSX!AF28:AF106)</f>
        <v>0</v>
      </c>
      <c r="AN34" s="537">
        <f ca="1">SUMIF(CPSX!$D$28:$W$106,'FORM OH'!$I$34,CPSX!AG28:AG106)</f>
        <v>0</v>
      </c>
      <c r="AO34" s="537">
        <f ca="1">SUMIF(CPSX!$D$28:$W$106,'FORM OH'!$I$34,CPSX!AH28:AH106)</f>
        <v>0</v>
      </c>
      <c r="AP34" s="537">
        <f ca="1">SUMIF(CPSX!$D$28:$W$106,'FORM OH'!$I$34,CPSX!AI28:AI106)</f>
        <v>0</v>
      </c>
      <c r="AQ34" s="537">
        <f ca="1">SUMIF(CPSX!$D$28:$W$106,'FORM OH'!$I$34,CPSX!AJ28:AJ106)</f>
        <v>0</v>
      </c>
      <c r="AR34" s="1284">
        <f t="shared" ca="1" si="5"/>
        <v>0</v>
      </c>
      <c r="AS34" s="1284">
        <f t="shared" ca="1" si="2"/>
        <v>0</v>
      </c>
      <c r="AT34" s="1297">
        <f t="shared" ca="1" si="3"/>
        <v>0</v>
      </c>
    </row>
    <row r="35" spans="1:46" s="533" customFormat="1" ht="16.399999999999999" customHeight="1" outlineLevel="1" x14ac:dyDescent="0.35">
      <c r="A35" s="534" t="s">
        <v>782</v>
      </c>
      <c r="B35" s="534" t="s">
        <v>783</v>
      </c>
      <c r="C35" s="535" t="s">
        <v>150</v>
      </c>
      <c r="D35" s="536" t="s">
        <v>817</v>
      </c>
      <c r="E35" s="536" t="s">
        <v>818</v>
      </c>
      <c r="F35" s="536" t="s">
        <v>819</v>
      </c>
      <c r="G35" s="536" t="s">
        <v>820</v>
      </c>
      <c r="H35" s="536" t="s">
        <v>866</v>
      </c>
      <c r="I35" s="535" t="s">
        <v>867</v>
      </c>
      <c r="J35" s="536" t="s">
        <v>430</v>
      </c>
      <c r="K35" s="536" t="s">
        <v>570</v>
      </c>
      <c r="L35" s="535" t="s">
        <v>822</v>
      </c>
      <c r="M35" s="536" t="s">
        <v>823</v>
      </c>
      <c r="N35" s="536"/>
      <c r="O35" s="535"/>
      <c r="P35" s="536"/>
      <c r="Q35" s="536"/>
      <c r="R35" s="537">
        <f ca="1">SUMIF(CPSX!$D$28:$W$106,'FORM OH'!$I$35,CPSX!K28:K106)</f>
        <v>3543261.7647058815</v>
      </c>
      <c r="S35" s="537">
        <f ca="1">SUMIF(CPSX!$D$28:$W$106,'FORM OH'!$I$35,CPSX!L28:L106)</f>
        <v>3543261.7647058815</v>
      </c>
      <c r="T35" s="537">
        <f ca="1">SUMIF(CPSX!$D$28:$W$106,'FORM OH'!$I$35,CPSX!M28:M106)</f>
        <v>3543261.7647058815</v>
      </c>
      <c r="U35" s="537">
        <f ca="1">SUMIF(CPSX!$D$28:$W$106,'FORM OH'!$I$35,CPSX!N28:N106)</f>
        <v>587011.76470588159</v>
      </c>
      <c r="V35" s="537">
        <f ca="1">SUMIF(CPSX!$D$28:$W$106,'FORM OH'!$I$35,CPSX!O28:O106)</f>
        <v>587011.76470588159</v>
      </c>
      <c r="W35" s="537">
        <f ca="1">SUMIF(CPSX!$D$28:$W$106,'FORM OH'!$I$35,CPSX!P28:P106)</f>
        <v>587011.76470588159</v>
      </c>
      <c r="X35" s="537">
        <f ca="1">SUMIF(CPSX!$D$28:$W$106,'FORM OH'!$I$35,CPSX!Q28:Q106)</f>
        <v>587011.76470588159</v>
      </c>
      <c r="Y35" s="537">
        <f ca="1">SUMIF(CPSX!$D$28:$W$106,'FORM OH'!$I$35,CPSX!R28:R106)</f>
        <v>587011.76470588159</v>
      </c>
      <c r="Z35" s="537">
        <f ca="1">SUMIF(CPSX!$D$28:$W$106,'FORM OH'!$I$35,CPSX!S28:S106)</f>
        <v>587011.76470588159</v>
      </c>
      <c r="AA35" s="537">
        <f ca="1">SUMIF(CPSX!$D$28:$W$106,'FORM OH'!$I$35,CPSX!T28:T106)</f>
        <v>587011.76470588159</v>
      </c>
      <c r="AB35" s="537">
        <f ca="1">SUMIF(CPSX!$D$28:$W$106,'FORM OH'!$I$35,CPSX!U28:U106)</f>
        <v>587011.76470588159</v>
      </c>
      <c r="AC35" s="537">
        <f ca="1">SUMIF(CPSX!$D$28:$W$106,'FORM OH'!$I$35,CPSX!V28:V106)</f>
        <v>587011.76470588159</v>
      </c>
      <c r="AD35" s="537">
        <f t="shared" ca="1" si="10"/>
        <v>15912891.176470578</v>
      </c>
      <c r="AF35" s="537">
        <f ca="1">SUMIF(CPSX!$D$28:$W$106,'FORM OH'!$I$35,CPSX!Y28:Y106)</f>
        <v>0</v>
      </c>
      <c r="AG35" s="537">
        <f ca="1">SUMIF(CPSX!$D$28:$W$106,'FORM OH'!$I$35,CPSX!Z28:Z106)</f>
        <v>0</v>
      </c>
      <c r="AH35" s="537">
        <f ca="1">SUMIF(CPSX!$D$28:$W$106,'FORM OH'!$I$35,CPSX!AA28:AA106)</f>
        <v>0</v>
      </c>
      <c r="AI35" s="537">
        <f ca="1">SUMIF(CPSX!$D$28:$W$106,'FORM OH'!$I$35,CPSX!AB28:AB106)</f>
        <v>0</v>
      </c>
      <c r="AJ35" s="537">
        <f ca="1">SUMIF(CPSX!$D$28:$W$106,'FORM OH'!$I$35,CPSX!AC28:AC106)</f>
        <v>0</v>
      </c>
      <c r="AK35" s="537">
        <f ca="1">SUMIF(CPSX!$D$28:$W$106,'FORM OH'!$I$35,CPSX!AD28:AD106)</f>
        <v>0</v>
      </c>
      <c r="AL35" s="537">
        <f ca="1">SUMIF(CPSX!$D$28:$W$106,'FORM OH'!$I$35,CPSX!AE28:AE106)</f>
        <v>0</v>
      </c>
      <c r="AM35" s="537">
        <f ca="1">SUMIF(CPSX!$D$28:$W$106,'FORM OH'!$I$35,CPSX!AF28:AF106)</f>
        <v>0</v>
      </c>
      <c r="AN35" s="537">
        <f ca="1">SUMIF(CPSX!$D$28:$W$106,'FORM OH'!$I$35,CPSX!AG28:AG106)</f>
        <v>0</v>
      </c>
      <c r="AO35" s="537">
        <f ca="1">SUMIF(CPSX!$D$28:$W$106,'FORM OH'!$I$35,CPSX!AH28:AH106)</f>
        <v>0</v>
      </c>
      <c r="AP35" s="537">
        <f ca="1">SUMIF(CPSX!$D$28:$W$106,'FORM OH'!$I$35,CPSX!AI28:AI106)</f>
        <v>0</v>
      </c>
      <c r="AQ35" s="537">
        <f ca="1">SUMIF(CPSX!$D$28:$W$106,'FORM OH'!$I$35,CPSX!AJ28:AJ106)</f>
        <v>0</v>
      </c>
      <c r="AR35" s="1284">
        <f t="shared" ca="1" si="5"/>
        <v>0</v>
      </c>
      <c r="AS35" s="719">
        <f t="shared" ca="1" si="2"/>
        <v>15912891.176470578</v>
      </c>
      <c r="AT35" s="718">
        <f t="shared" ca="1" si="3"/>
        <v>0</v>
      </c>
    </row>
    <row r="36" spans="1:46" s="539" customFormat="1" ht="16.399999999999999" customHeight="1" outlineLevel="1" x14ac:dyDescent="0.35">
      <c r="A36" s="534" t="s">
        <v>782</v>
      </c>
      <c r="B36" s="534" t="s">
        <v>783</v>
      </c>
      <c r="C36" s="535" t="s">
        <v>150</v>
      </c>
      <c r="D36" s="536" t="s">
        <v>817</v>
      </c>
      <c r="E36" s="536" t="s">
        <v>818</v>
      </c>
      <c r="F36" s="536" t="s">
        <v>824</v>
      </c>
      <c r="G36" s="536" t="s">
        <v>820</v>
      </c>
      <c r="H36" s="536" t="s">
        <v>848</v>
      </c>
      <c r="I36" s="535" t="s">
        <v>868</v>
      </c>
      <c r="J36" s="536" t="s">
        <v>431</v>
      </c>
      <c r="K36" s="536" t="s">
        <v>570</v>
      </c>
      <c r="L36" s="535" t="s">
        <v>825</v>
      </c>
      <c r="M36" s="536" t="s">
        <v>826</v>
      </c>
      <c r="N36" s="536"/>
      <c r="O36" s="535"/>
      <c r="P36" s="536"/>
      <c r="Q36" s="536"/>
      <c r="R36" s="537">
        <f ca="1">SUMIF(CPSX!$D$28:$W$106,'FORM OH'!$I$36,CPSX!K28:K106)</f>
        <v>0</v>
      </c>
      <c r="S36" s="537">
        <f ca="1">SUMIF(CPSX!$D$28:$W$106,'FORM OH'!$I$36,CPSX!L28:L106)</f>
        <v>19250000</v>
      </c>
      <c r="T36" s="537">
        <f ca="1">SUMIF(CPSX!$D$28:$W$106,'FORM OH'!$I$36,CPSX!M28:M106)</f>
        <v>0</v>
      </c>
      <c r="U36" s="537">
        <f ca="1">SUMIF(CPSX!$D$28:$W$106,'FORM OH'!$I$36,CPSX!N28:N106)</f>
        <v>0</v>
      </c>
      <c r="V36" s="537">
        <f ca="1">SUMIF(CPSX!$D$28:$W$106,'FORM OH'!$I$36,CPSX!O28:O106)</f>
        <v>0</v>
      </c>
      <c r="W36" s="537">
        <f ca="1">SUMIF(CPSX!$D$28:$W$106,'FORM OH'!$I$36,CPSX!P28:P106)</f>
        <v>0</v>
      </c>
      <c r="X36" s="537">
        <f ca="1">SUMIF(CPSX!$D$28:$W$106,'FORM OH'!$I$36,CPSX!Q28:Q106)</f>
        <v>0</v>
      </c>
      <c r="Y36" s="537">
        <f ca="1">SUMIF(CPSX!$D$28:$W$106,'FORM OH'!$I$36,CPSX!R28:R106)</f>
        <v>0</v>
      </c>
      <c r="Z36" s="537">
        <f ca="1">SUMIF(CPSX!$D$28:$W$106,'FORM OH'!$I$36,CPSX!S28:S106)</f>
        <v>0</v>
      </c>
      <c r="AA36" s="537">
        <f ca="1">SUMIF(CPSX!$D$28:$W$106,'FORM OH'!$I$36,CPSX!T28:T106)</f>
        <v>0</v>
      </c>
      <c r="AB36" s="537">
        <f ca="1">SUMIF(CPSX!$D$28:$W$106,'FORM OH'!$I$36,CPSX!U28:U106)</f>
        <v>0</v>
      </c>
      <c r="AC36" s="537">
        <f ca="1">SUMIF(CPSX!$D$28:$W$106,'FORM OH'!$I$36,CPSX!V28:V106)</f>
        <v>0</v>
      </c>
      <c r="AD36" s="537">
        <f t="shared" ca="1" si="10"/>
        <v>19250000</v>
      </c>
      <c r="AE36" s="533"/>
      <c r="AF36" s="537">
        <f ca="1">SUMIF(CPSX!$D$28:$W$106,'FORM OH'!$I$36,CPSX!Y28:Y106)</f>
        <v>0</v>
      </c>
      <c r="AG36" s="537">
        <f ca="1">SUMIF(CPSX!$D$28:$W$106,'FORM OH'!$I$36,CPSX!Z28:Z106)</f>
        <v>0</v>
      </c>
      <c r="AH36" s="537">
        <f ca="1">SUMIF(CPSX!$D$28:$W$106,'FORM OH'!$I$36,CPSX!AA28:AA106)</f>
        <v>0</v>
      </c>
      <c r="AI36" s="537">
        <f ca="1">SUMIF(CPSX!$D$28:$W$106,'FORM OH'!$I$36,CPSX!AB28:AB106)</f>
        <v>0</v>
      </c>
      <c r="AJ36" s="537">
        <f ca="1">SUMIF(CPSX!$D$28:$W$106,'FORM OH'!$I$36,CPSX!AC28:AC106)</f>
        <v>0</v>
      </c>
      <c r="AK36" s="537">
        <f ca="1">SUMIF(CPSX!$D$28:$W$106,'FORM OH'!$I$36,CPSX!AD28:AD106)</f>
        <v>0</v>
      </c>
      <c r="AL36" s="537">
        <f ca="1">SUMIF(CPSX!$D$28:$W$106,'FORM OH'!$I$36,CPSX!AE28:AE106)</f>
        <v>0</v>
      </c>
      <c r="AM36" s="537">
        <f ca="1">SUMIF(CPSX!$D$28:$W$106,'FORM OH'!$I$36,CPSX!AF28:AF106)</f>
        <v>0</v>
      </c>
      <c r="AN36" s="537">
        <f ca="1">SUMIF(CPSX!$D$28:$W$106,'FORM OH'!$I$36,CPSX!AG28:AG106)</f>
        <v>0</v>
      </c>
      <c r="AO36" s="537">
        <f ca="1">SUMIF(CPSX!$D$28:$W$106,'FORM OH'!$I$36,CPSX!AH28:AH106)</f>
        <v>0</v>
      </c>
      <c r="AP36" s="537">
        <f ca="1">SUMIF(CPSX!$D$28:$W$106,'FORM OH'!$I$36,CPSX!AI28:AI106)</f>
        <v>0</v>
      </c>
      <c r="AQ36" s="537">
        <f ca="1">SUMIF(CPSX!$D$28:$W$106,'FORM OH'!$I$36,CPSX!AJ28:AJ106)</f>
        <v>0</v>
      </c>
      <c r="AR36" s="1284">
        <f t="shared" ca="1" si="5"/>
        <v>0</v>
      </c>
      <c r="AS36" s="1284">
        <f t="shared" ca="1" si="2"/>
        <v>19250000</v>
      </c>
      <c r="AT36" s="1297">
        <f t="shared" ca="1" si="3"/>
        <v>0</v>
      </c>
    </row>
    <row r="37" spans="1:46" s="539" customFormat="1" ht="16.399999999999999" customHeight="1" x14ac:dyDescent="0.35">
      <c r="A37" s="528" t="s">
        <v>782</v>
      </c>
      <c r="B37" s="528" t="s">
        <v>783</v>
      </c>
      <c r="C37" s="529" t="s">
        <v>150</v>
      </c>
      <c r="D37" s="529"/>
      <c r="E37" s="529"/>
      <c r="F37" s="529"/>
      <c r="G37" s="529"/>
      <c r="H37" s="530" t="s">
        <v>869</v>
      </c>
      <c r="I37" s="530" t="s">
        <v>870</v>
      </c>
      <c r="J37" s="542"/>
      <c r="K37" s="529"/>
      <c r="L37" s="529"/>
      <c r="M37" s="529"/>
      <c r="N37" s="542"/>
      <c r="O37" s="530" t="s">
        <v>870</v>
      </c>
      <c r="P37" s="542"/>
      <c r="Q37" s="542"/>
      <c r="R37" s="532">
        <f ca="1">SUM(R38:R107)</f>
        <v>449061189.86217463</v>
      </c>
      <c r="S37" s="532">
        <f t="shared" ref="S37:AC37" ca="1" si="11">SUM(S38:S107)</f>
        <v>405094860.43482536</v>
      </c>
      <c r="T37" s="532">
        <f t="shared" ca="1" si="11"/>
        <v>442860399.77129102</v>
      </c>
      <c r="U37" s="532">
        <f t="shared" ca="1" si="11"/>
        <v>459742815.28040737</v>
      </c>
      <c r="V37" s="532">
        <f t="shared" ca="1" si="11"/>
        <v>450155518.98040742</v>
      </c>
      <c r="W37" s="532">
        <f t="shared" ca="1" si="11"/>
        <v>470450139.08040738</v>
      </c>
      <c r="X37" s="532">
        <f t="shared" ca="1" si="11"/>
        <v>450865426.28040737</v>
      </c>
      <c r="Y37" s="532">
        <f t="shared" ca="1" si="11"/>
        <v>455210824.53040737</v>
      </c>
      <c r="Z37" s="532">
        <f t="shared" ca="1" si="11"/>
        <v>447386432.98040742</v>
      </c>
      <c r="AA37" s="532">
        <f t="shared" ca="1" si="11"/>
        <v>452421003.98040742</v>
      </c>
      <c r="AB37" s="532">
        <f t="shared" ca="1" si="11"/>
        <v>446709409.28040737</v>
      </c>
      <c r="AC37" s="532">
        <f t="shared" ca="1" si="11"/>
        <v>459771300.08040738</v>
      </c>
      <c r="AD37" s="532">
        <f ca="1">SUM(AD38:AD107)</f>
        <v>5389729320.5419579</v>
      </c>
      <c r="AE37" s="533"/>
      <c r="AF37" s="532">
        <f t="shared" ref="AF37:AR37" ca="1" si="12">SUM(AF38:AF107)</f>
        <v>308460942.11536813</v>
      </c>
      <c r="AG37" s="532">
        <f t="shared" ca="1" si="12"/>
        <v>298561255.92489219</v>
      </c>
      <c r="AH37" s="532">
        <f t="shared" ca="1" si="12"/>
        <v>294363122.9010818</v>
      </c>
      <c r="AI37" s="532">
        <f t="shared" ca="1" si="12"/>
        <v>291201801.06774879</v>
      </c>
      <c r="AJ37" s="532">
        <f t="shared" ca="1" si="12"/>
        <v>331629061.7582252</v>
      </c>
      <c r="AK37" s="532">
        <f t="shared" ca="1" si="12"/>
        <v>312990694.09155822</v>
      </c>
      <c r="AL37" s="532">
        <f t="shared" ca="1" si="12"/>
        <v>344433828.4010818</v>
      </c>
      <c r="AM37" s="532">
        <f t="shared" ca="1" si="12"/>
        <v>332215903.56434703</v>
      </c>
      <c r="AN37" s="532">
        <f t="shared" ca="1" si="12"/>
        <v>330309174.14541316</v>
      </c>
      <c r="AO37" s="532">
        <f t="shared" ca="1" si="12"/>
        <v>317805248.96230984</v>
      </c>
      <c r="AP37" s="532">
        <f t="shared" ca="1" si="12"/>
        <v>308823001.21230984</v>
      </c>
      <c r="AQ37" s="532">
        <f t="shared" ca="1" si="12"/>
        <v>282219520.21230984</v>
      </c>
      <c r="AR37" s="1283">
        <f t="shared" ca="1" si="12"/>
        <v>3753013554.3566456</v>
      </c>
      <c r="AS37" s="1283">
        <f t="shared" ca="1" si="2"/>
        <v>1636715766.1853123</v>
      </c>
      <c r="AT37" s="1298">
        <f t="shared" ca="1" si="3"/>
        <v>0.43610707568198048</v>
      </c>
    </row>
    <row r="38" spans="1:46" s="539" customFormat="1" ht="16.399999999999999" customHeight="1" outlineLevel="1" x14ac:dyDescent="0.35">
      <c r="A38" s="534" t="s">
        <v>782</v>
      </c>
      <c r="B38" s="534" t="s">
        <v>783</v>
      </c>
      <c r="C38" s="535" t="s">
        <v>150</v>
      </c>
      <c r="D38" s="536" t="s">
        <v>817</v>
      </c>
      <c r="E38" s="536" t="s">
        <v>818</v>
      </c>
      <c r="F38" s="536" t="s">
        <v>871</v>
      </c>
      <c r="G38" s="536" t="s">
        <v>820</v>
      </c>
      <c r="H38" s="536" t="s">
        <v>850</v>
      </c>
      <c r="I38" s="535" t="s">
        <v>872</v>
      </c>
      <c r="J38" s="536" t="s">
        <v>873</v>
      </c>
      <c r="K38" s="536" t="s">
        <v>570</v>
      </c>
      <c r="L38" s="535" t="s">
        <v>874</v>
      </c>
      <c r="M38" s="536" t="s">
        <v>875</v>
      </c>
      <c r="N38" s="544"/>
      <c r="O38" s="535"/>
      <c r="P38" s="536"/>
      <c r="Q38" s="536"/>
      <c r="R38" s="540">
        <f ca="1">SUMIF(CPSX!$D$28:$W$106,'FORM OH'!$I$38,CPSX!K28:K106)</f>
        <v>0</v>
      </c>
      <c r="S38" s="540">
        <f ca="1">SUMIF(CPSX!$D$28:$W$106,'FORM OH'!$I$38,CPSX!L28:L106)</f>
        <v>0</v>
      </c>
      <c r="T38" s="540">
        <f ca="1">SUMIF(CPSX!$D$28:$W$106,'FORM OH'!$I$38,CPSX!M28:M106)</f>
        <v>0</v>
      </c>
      <c r="U38" s="540">
        <f ca="1">SUMIF(CPSX!$D$28:$W$106,'FORM OH'!$I$38,CPSX!N28:N106)</f>
        <v>0</v>
      </c>
      <c r="V38" s="540">
        <f ca="1">SUMIF(CPSX!$D$28:$W$106,'FORM OH'!$I$38,CPSX!O28:O106)</f>
        <v>0</v>
      </c>
      <c r="W38" s="540">
        <f ca="1">SUMIF(CPSX!$D$28:$W$106,'FORM OH'!$I$38,CPSX!P28:P106)</f>
        <v>0</v>
      </c>
      <c r="X38" s="540">
        <f ca="1">SUMIF(CPSX!$D$28:$W$106,'FORM OH'!$I$38,CPSX!Q28:Q106)</f>
        <v>0</v>
      </c>
      <c r="Y38" s="540">
        <f ca="1">SUMIF(CPSX!$D$28:$W$106,'FORM OH'!$I$38,CPSX!R28:R106)</f>
        <v>0</v>
      </c>
      <c r="Z38" s="540">
        <f ca="1">SUMIF(CPSX!$D$28:$W$106,'FORM OH'!$I$38,CPSX!S28:S106)</f>
        <v>0</v>
      </c>
      <c r="AA38" s="540">
        <f ca="1">SUMIF(CPSX!$D$28:$W$106,'FORM OH'!$I$38,CPSX!T28:T106)</f>
        <v>0</v>
      </c>
      <c r="AB38" s="540">
        <f ca="1">SUMIF(CPSX!$D$28:$W$106,'FORM OH'!$I$38,CPSX!U28:U106)</f>
        <v>0</v>
      </c>
      <c r="AC38" s="540">
        <f ca="1">SUMIF(CPSX!$D$28:$W$106,'FORM OH'!$I$38,CPSX!V28:V106)</f>
        <v>0</v>
      </c>
      <c r="AD38" s="540">
        <f t="shared" ref="AD38:AD101" ca="1" si="13">SUM(R38:AC38)</f>
        <v>0</v>
      </c>
      <c r="AE38" s="533"/>
      <c r="AF38" s="540">
        <f ca="1">SUMIF(CPSX!$D$28:$W$106,'FORM OH'!$I$38,CPSX!Y28:Y106)</f>
        <v>0</v>
      </c>
      <c r="AG38" s="540">
        <f ca="1">SUMIF(CPSX!$D$28:$W$106,'FORM OH'!$I$38,CPSX!Z28:Z106)</f>
        <v>0</v>
      </c>
      <c r="AH38" s="540">
        <f ca="1">SUMIF(CPSX!$D$28:$W$106,'FORM OH'!$I$38,CPSX!AA28:AA106)</f>
        <v>0</v>
      </c>
      <c r="AI38" s="540">
        <f ca="1">SUMIF(CPSX!$D$28:$W$106,'FORM OH'!$I$38,CPSX!AB28:AB106)</f>
        <v>0</v>
      </c>
      <c r="AJ38" s="540">
        <f ca="1">SUMIF(CPSX!$D$28:$W$106,'FORM OH'!$I$38,CPSX!AC28:AC106)</f>
        <v>0</v>
      </c>
      <c r="AK38" s="540">
        <f ca="1">SUMIF(CPSX!$D$28:$W$106,'FORM OH'!$I$38,CPSX!AD28:AD106)</f>
        <v>0</v>
      </c>
      <c r="AL38" s="540">
        <f ca="1">SUMIF(CPSX!$D$28:$W$106,'FORM OH'!$I$38,CPSX!AE28:AE106)</f>
        <v>0</v>
      </c>
      <c r="AM38" s="540">
        <f ca="1">SUMIF(CPSX!$D$28:$W$106,'FORM OH'!$I$38,CPSX!AF28:AF106)</f>
        <v>0</v>
      </c>
      <c r="AN38" s="540">
        <f ca="1">SUMIF(CPSX!$D$28:$W$106,'FORM OH'!$I$38,CPSX!AG28:AG106)</f>
        <v>0</v>
      </c>
      <c r="AO38" s="540">
        <f ca="1">SUMIF(CPSX!$D$28:$W$106,'FORM OH'!$I$38,CPSX!AH28:AH106)</f>
        <v>0</v>
      </c>
      <c r="AP38" s="540">
        <f ca="1">SUMIF(CPSX!$D$28:$W$106,'FORM OH'!$I$38,CPSX!AI28:AI106)</f>
        <v>0</v>
      </c>
      <c r="AQ38" s="540">
        <f ca="1">SUMIF(CPSX!$D$28:$W$106,'FORM OH'!$I$38,CPSX!AJ28:AJ106)</f>
        <v>0</v>
      </c>
      <c r="AR38" s="1284">
        <f ca="1">SUM(AF38:AQ38)</f>
        <v>0</v>
      </c>
      <c r="AS38" s="1284">
        <f t="shared" ca="1" si="2"/>
        <v>0</v>
      </c>
      <c r="AT38" s="1297">
        <f t="shared" ca="1" si="3"/>
        <v>0</v>
      </c>
    </row>
    <row r="39" spans="1:46" s="539" customFormat="1" ht="16.399999999999999" customHeight="1" outlineLevel="1" x14ac:dyDescent="0.35">
      <c r="A39" s="534" t="s">
        <v>782</v>
      </c>
      <c r="B39" s="534" t="s">
        <v>783</v>
      </c>
      <c r="C39" s="535" t="s">
        <v>150</v>
      </c>
      <c r="D39" s="536" t="s">
        <v>817</v>
      </c>
      <c r="E39" s="536" t="s">
        <v>818</v>
      </c>
      <c r="F39" s="536" t="s">
        <v>871</v>
      </c>
      <c r="G39" s="536" t="s">
        <v>820</v>
      </c>
      <c r="H39" s="536" t="s">
        <v>850</v>
      </c>
      <c r="I39" s="535" t="s">
        <v>876</v>
      </c>
      <c r="J39" s="536" t="s">
        <v>877</v>
      </c>
      <c r="K39" s="536" t="s">
        <v>570</v>
      </c>
      <c r="L39" s="535" t="s">
        <v>874</v>
      </c>
      <c r="M39" s="536" t="s">
        <v>875</v>
      </c>
      <c r="N39" s="544"/>
      <c r="O39" s="535"/>
      <c r="P39" s="536"/>
      <c r="Q39" s="536"/>
      <c r="R39" s="540">
        <f ca="1">SUMIF(CPSX!$D$28:$W$106,'FORM OH'!$I$39,CPSX!K28:K106)</f>
        <v>0</v>
      </c>
      <c r="S39" s="540">
        <f ca="1">SUMIF(CPSX!$D$28:$W$106,'FORM OH'!$I$39,CPSX!L28:L106)</f>
        <v>0</v>
      </c>
      <c r="T39" s="540">
        <f ca="1">SUMIF(CPSX!$D$28:$W$106,'FORM OH'!$I$39,CPSX!M28:M106)</f>
        <v>0</v>
      </c>
      <c r="U39" s="540">
        <f ca="1">SUMIF(CPSX!$D$28:$W$106,'FORM OH'!$I$39,CPSX!N28:N106)</f>
        <v>0</v>
      </c>
      <c r="V39" s="540">
        <f ca="1">SUMIF(CPSX!$D$28:$W$106,'FORM OH'!$I$39,CPSX!O28:O106)</f>
        <v>0</v>
      </c>
      <c r="W39" s="540">
        <f ca="1">SUMIF(CPSX!$D$28:$W$106,'FORM OH'!$I$39,CPSX!P28:P106)</f>
        <v>0</v>
      </c>
      <c r="X39" s="540">
        <f ca="1">SUMIF(CPSX!$D$28:$W$106,'FORM OH'!$I$39,CPSX!Q28:Q106)</f>
        <v>0</v>
      </c>
      <c r="Y39" s="540">
        <f ca="1">SUMIF(CPSX!$D$28:$W$106,'FORM OH'!$I$39,CPSX!R28:R106)</f>
        <v>0</v>
      </c>
      <c r="Z39" s="540">
        <f ca="1">SUMIF(CPSX!$D$28:$W$106,'FORM OH'!$I$39,CPSX!S28:S106)</f>
        <v>0</v>
      </c>
      <c r="AA39" s="540">
        <f ca="1">SUMIF(CPSX!$D$28:$W$106,'FORM OH'!$I$39,CPSX!T28:T106)</f>
        <v>0</v>
      </c>
      <c r="AB39" s="540">
        <f ca="1">SUMIF(CPSX!$D$28:$W$106,'FORM OH'!$I$39,CPSX!U28:U106)</f>
        <v>0</v>
      </c>
      <c r="AC39" s="540">
        <f ca="1">SUMIF(CPSX!$D$28:$W$106,'FORM OH'!$I$39,CPSX!V28:V106)</f>
        <v>0</v>
      </c>
      <c r="AD39" s="540">
        <f t="shared" ca="1" si="13"/>
        <v>0</v>
      </c>
      <c r="AE39" s="533"/>
      <c r="AF39" s="540">
        <f ca="1">SUMIF(CPSX!$D$28:$W$106,'FORM OH'!$I$39,CPSX!Y28:Y106)</f>
        <v>0</v>
      </c>
      <c r="AG39" s="540">
        <f ca="1">SUMIF(CPSX!$D$28:$W$106,'FORM OH'!$I$39,CPSX!Z28:Z106)</f>
        <v>0</v>
      </c>
      <c r="AH39" s="540">
        <f ca="1">SUMIF(CPSX!$D$28:$W$106,'FORM OH'!$I$39,CPSX!AA28:AA106)</f>
        <v>0</v>
      </c>
      <c r="AI39" s="540">
        <f ca="1">SUMIF(CPSX!$D$28:$W$106,'FORM OH'!$I$39,CPSX!AB28:AB106)</f>
        <v>0</v>
      </c>
      <c r="AJ39" s="540">
        <f ca="1">SUMIF(CPSX!$D$28:$W$106,'FORM OH'!$I$39,CPSX!AC28:AC106)</f>
        <v>0</v>
      </c>
      <c r="AK39" s="540">
        <f ca="1">SUMIF(CPSX!$D$28:$W$106,'FORM OH'!$I$39,CPSX!AD28:AD106)</f>
        <v>0</v>
      </c>
      <c r="AL39" s="540">
        <f ca="1">SUMIF(CPSX!$D$28:$W$106,'FORM OH'!$I$39,CPSX!AE28:AE106)</f>
        <v>0</v>
      </c>
      <c r="AM39" s="540">
        <f ca="1">SUMIF(CPSX!$D$28:$W$106,'FORM OH'!$I$39,CPSX!AF28:AF106)</f>
        <v>0</v>
      </c>
      <c r="AN39" s="540">
        <f ca="1">SUMIF(CPSX!$D$28:$W$106,'FORM OH'!$I$39,CPSX!AG28:AG106)</f>
        <v>0</v>
      </c>
      <c r="AO39" s="540">
        <f ca="1">SUMIF(CPSX!$D$28:$W$106,'FORM OH'!$I$39,CPSX!AH28:AH106)</f>
        <v>0</v>
      </c>
      <c r="AP39" s="540">
        <f ca="1">SUMIF(CPSX!$D$28:$W$106,'FORM OH'!$I$39,CPSX!AI28:AI106)</f>
        <v>0</v>
      </c>
      <c r="AQ39" s="540">
        <f ca="1">SUMIF(CPSX!$D$28:$W$106,'FORM OH'!$I$39,CPSX!AJ28:AJ106)</f>
        <v>0</v>
      </c>
      <c r="AR39" s="1284">
        <f t="shared" ref="AR39:AR102" ca="1" si="14">SUM(AF39:AQ39)</f>
        <v>0</v>
      </c>
      <c r="AS39" s="1284">
        <f t="shared" ca="1" si="2"/>
        <v>0</v>
      </c>
      <c r="AT39" s="1297">
        <f t="shared" ca="1" si="3"/>
        <v>0</v>
      </c>
    </row>
    <row r="40" spans="1:46" s="539" customFormat="1" ht="16.399999999999999" customHeight="1" outlineLevel="1" x14ac:dyDescent="0.35">
      <c r="A40" s="534" t="s">
        <v>782</v>
      </c>
      <c r="B40" s="534" t="s">
        <v>783</v>
      </c>
      <c r="C40" s="535" t="s">
        <v>150</v>
      </c>
      <c r="D40" s="536" t="s">
        <v>828</v>
      </c>
      <c r="E40" s="536" t="s">
        <v>818</v>
      </c>
      <c r="F40" s="536" t="s">
        <v>878</v>
      </c>
      <c r="G40" s="536" t="s">
        <v>820</v>
      </c>
      <c r="H40" s="536" t="s">
        <v>879</v>
      </c>
      <c r="I40" s="535" t="s">
        <v>880</v>
      </c>
      <c r="J40" s="536" t="s">
        <v>881</v>
      </c>
      <c r="K40" s="536" t="s">
        <v>571</v>
      </c>
      <c r="L40" s="535" t="s">
        <v>882</v>
      </c>
      <c r="M40" s="536" t="s">
        <v>879</v>
      </c>
      <c r="N40" s="536"/>
      <c r="O40" s="535"/>
      <c r="P40" s="536"/>
      <c r="Q40" s="536"/>
      <c r="R40" s="540">
        <f ca="1">SUMIF(CPSX!$D$28:$W$106,'FORM OH'!$I$40,CPSX!K28:K106)</f>
        <v>0</v>
      </c>
      <c r="S40" s="540">
        <f ca="1">SUMIF(CPSX!$D$28:$W$106,'FORM OH'!$I$40,CPSX!L28:L106)</f>
        <v>0</v>
      </c>
      <c r="T40" s="540">
        <f ca="1">SUMIF(CPSX!$D$28:$W$106,'FORM OH'!$I$40,CPSX!M28:M106)</f>
        <v>0</v>
      </c>
      <c r="U40" s="540">
        <f ca="1">SUMIF(CPSX!$D$28:$W$106,'FORM OH'!$I$40,CPSX!N28:N106)</f>
        <v>0</v>
      </c>
      <c r="V40" s="540">
        <f ca="1">SUMIF(CPSX!$D$28:$W$106,'FORM OH'!$I$40,CPSX!O28:O106)</f>
        <v>0</v>
      </c>
      <c r="W40" s="540">
        <f ca="1">SUMIF(CPSX!$D$28:$W$106,'FORM OH'!$I$40,CPSX!P28:P106)</f>
        <v>0</v>
      </c>
      <c r="X40" s="540">
        <f ca="1">SUMIF(CPSX!$D$28:$W$106,'FORM OH'!$I$40,CPSX!Q28:Q106)</f>
        <v>0</v>
      </c>
      <c r="Y40" s="540">
        <f ca="1">SUMIF(CPSX!$D$28:$W$106,'FORM OH'!$I$40,CPSX!R28:R106)</f>
        <v>0</v>
      </c>
      <c r="Z40" s="540">
        <f ca="1">SUMIF(CPSX!$D$28:$W$106,'FORM OH'!$I$40,CPSX!S28:S106)</f>
        <v>0</v>
      </c>
      <c r="AA40" s="540">
        <f ca="1">SUMIF(CPSX!$D$28:$W$106,'FORM OH'!$I$40,CPSX!T28:T106)</f>
        <v>0</v>
      </c>
      <c r="AB40" s="540">
        <f ca="1">SUMIF(CPSX!$D$28:$W$106,'FORM OH'!$I$40,CPSX!U28:U106)</f>
        <v>0</v>
      </c>
      <c r="AC40" s="540">
        <f ca="1">SUMIF(CPSX!$D$28:$W$106,'FORM OH'!$I$40,CPSX!V28:V106)</f>
        <v>0</v>
      </c>
      <c r="AD40" s="540">
        <f t="shared" ca="1" si="13"/>
        <v>0</v>
      </c>
      <c r="AE40" s="533"/>
      <c r="AF40" s="540">
        <f ca="1">SUMIF(CPSX!$D$28:$W$106,'FORM OH'!$I$40,CPSX!Y28:Y106)</f>
        <v>0</v>
      </c>
      <c r="AG40" s="540">
        <f ca="1">SUMIF(CPSX!$D$28:$W$106,'FORM OH'!$I$40,CPSX!Z28:Z106)</f>
        <v>0</v>
      </c>
      <c r="AH40" s="540">
        <f ca="1">SUMIF(CPSX!$D$28:$W$106,'FORM OH'!$I$40,CPSX!AA28:AA106)</f>
        <v>0</v>
      </c>
      <c r="AI40" s="540">
        <f ca="1">SUMIF(CPSX!$D$28:$W$106,'FORM OH'!$I$40,CPSX!AB28:AB106)</f>
        <v>0</v>
      </c>
      <c r="AJ40" s="540">
        <f ca="1">SUMIF(CPSX!$D$28:$W$106,'FORM OH'!$I$40,CPSX!AC28:AC106)</f>
        <v>0</v>
      </c>
      <c r="AK40" s="540">
        <f ca="1">SUMIF(CPSX!$D$28:$W$106,'FORM OH'!$I$40,CPSX!AD28:AD106)</f>
        <v>0</v>
      </c>
      <c r="AL40" s="540">
        <f ca="1">SUMIF(CPSX!$D$28:$W$106,'FORM OH'!$I$40,CPSX!AE28:AE106)</f>
        <v>0</v>
      </c>
      <c r="AM40" s="540">
        <f ca="1">SUMIF(CPSX!$D$28:$W$106,'FORM OH'!$I$40,CPSX!AF28:AF106)</f>
        <v>0</v>
      </c>
      <c r="AN40" s="540">
        <f ca="1">SUMIF(CPSX!$D$28:$W$106,'FORM OH'!$I$40,CPSX!AG28:AG106)</f>
        <v>0</v>
      </c>
      <c r="AO40" s="540">
        <f ca="1">SUMIF(CPSX!$D$28:$W$106,'FORM OH'!$I$40,CPSX!AH28:AH106)</f>
        <v>0</v>
      </c>
      <c r="AP40" s="540">
        <f ca="1">SUMIF(CPSX!$D$28:$W$106,'FORM OH'!$I$40,CPSX!AI28:AI106)</f>
        <v>0</v>
      </c>
      <c r="AQ40" s="540">
        <f ca="1">SUMIF(CPSX!$D$28:$W$106,'FORM OH'!$I$40,CPSX!AJ28:AJ106)</f>
        <v>0</v>
      </c>
      <c r="AR40" s="1284">
        <f t="shared" ca="1" si="14"/>
        <v>0</v>
      </c>
      <c r="AS40" s="1284">
        <f t="shared" ca="1" si="2"/>
        <v>0</v>
      </c>
      <c r="AT40" s="1297">
        <f t="shared" ca="1" si="3"/>
        <v>0</v>
      </c>
    </row>
    <row r="41" spans="1:46" s="539" customFormat="1" ht="16.399999999999999" customHeight="1" outlineLevel="1" x14ac:dyDescent="0.35">
      <c r="A41" s="534" t="s">
        <v>782</v>
      </c>
      <c r="B41" s="534" t="s">
        <v>783</v>
      </c>
      <c r="C41" s="535" t="s">
        <v>150</v>
      </c>
      <c r="D41" s="536" t="s">
        <v>817</v>
      </c>
      <c r="E41" s="536" t="s">
        <v>818</v>
      </c>
      <c r="F41" s="536" t="s">
        <v>883</v>
      </c>
      <c r="G41" s="536" t="s">
        <v>820</v>
      </c>
      <c r="H41" s="536" t="s">
        <v>884</v>
      </c>
      <c r="I41" s="535" t="s">
        <v>885</v>
      </c>
      <c r="J41" s="536" t="s">
        <v>886</v>
      </c>
      <c r="K41" s="536" t="s">
        <v>580</v>
      </c>
      <c r="L41" s="535" t="s">
        <v>887</v>
      </c>
      <c r="M41" s="536" t="s">
        <v>888</v>
      </c>
      <c r="N41" s="536"/>
      <c r="O41" s="535"/>
      <c r="P41" s="536"/>
      <c r="Q41" s="536"/>
      <c r="R41" s="540">
        <f ca="1">SUMIF(CPSX!$D$28:$W$106,'FORM OH'!$I$41,CPSX!K28:K106)</f>
        <v>0</v>
      </c>
      <c r="S41" s="540">
        <f ca="1">SUMIF(CPSX!$D$28:$W$106,'FORM OH'!$I$41,CPSX!L28:L106)</f>
        <v>0</v>
      </c>
      <c r="T41" s="540">
        <f ca="1">SUMIF(CPSX!$D$28:$W$106,'FORM OH'!$I$41,CPSX!M28:M106)</f>
        <v>0</v>
      </c>
      <c r="U41" s="540">
        <f ca="1">SUMIF(CPSX!$D$28:$W$106,'FORM OH'!$I$41,CPSX!N28:N106)</f>
        <v>0</v>
      </c>
      <c r="V41" s="540">
        <f ca="1">SUMIF(CPSX!$D$28:$W$106,'FORM OH'!$I$41,CPSX!O28:O106)</f>
        <v>0</v>
      </c>
      <c r="W41" s="540">
        <f ca="1">SUMIF(CPSX!$D$28:$W$106,'FORM OH'!$I$41,CPSX!P28:P106)</f>
        <v>0</v>
      </c>
      <c r="X41" s="540">
        <f ca="1">SUMIF(CPSX!$D$28:$W$106,'FORM OH'!$I$41,CPSX!Q28:Q106)</f>
        <v>0</v>
      </c>
      <c r="Y41" s="540">
        <f ca="1">SUMIF(CPSX!$D$28:$W$106,'FORM OH'!$I$41,CPSX!R28:R106)</f>
        <v>0</v>
      </c>
      <c r="Z41" s="540">
        <f ca="1">SUMIF(CPSX!$D$28:$W$106,'FORM OH'!$I$41,CPSX!S28:S106)</f>
        <v>0</v>
      </c>
      <c r="AA41" s="540">
        <f ca="1">SUMIF(CPSX!$D$28:$W$106,'FORM OH'!$I$41,CPSX!T28:T106)</f>
        <v>0</v>
      </c>
      <c r="AB41" s="540">
        <f ca="1">SUMIF(CPSX!$D$28:$W$106,'FORM OH'!$I$41,CPSX!U28:U106)</f>
        <v>0</v>
      </c>
      <c r="AC41" s="540">
        <f ca="1">SUMIF(CPSX!$D$28:$W$106,'FORM OH'!$I$41,CPSX!V28:V106)</f>
        <v>0</v>
      </c>
      <c r="AD41" s="540">
        <f t="shared" ca="1" si="13"/>
        <v>0</v>
      </c>
      <c r="AE41" s="533"/>
      <c r="AF41" s="540">
        <f ca="1">SUMIF(CPSX!$D$28:$W$106,'FORM OH'!$I$41,CPSX!Y28:Y106)</f>
        <v>0</v>
      </c>
      <c r="AG41" s="540">
        <f ca="1">SUMIF(CPSX!$D$28:$W$106,'FORM OH'!$I$41,CPSX!Z28:Z106)</f>
        <v>0</v>
      </c>
      <c r="AH41" s="540">
        <f ca="1">SUMIF(CPSX!$D$28:$W$106,'FORM OH'!$I$41,CPSX!AA28:AA106)</f>
        <v>0</v>
      </c>
      <c r="AI41" s="540">
        <f ca="1">SUMIF(CPSX!$D$28:$W$106,'FORM OH'!$I$41,CPSX!AB28:AB106)</f>
        <v>0</v>
      </c>
      <c r="AJ41" s="540">
        <f ca="1">SUMIF(CPSX!$D$28:$W$106,'FORM OH'!$I$41,CPSX!AC28:AC106)</f>
        <v>0</v>
      </c>
      <c r="AK41" s="540">
        <f ca="1">SUMIF(CPSX!$D$28:$W$106,'FORM OH'!$I$41,CPSX!AD28:AD106)</f>
        <v>0</v>
      </c>
      <c r="AL41" s="540">
        <f ca="1">SUMIF(CPSX!$D$28:$W$106,'FORM OH'!$I$41,CPSX!AE28:AE106)</f>
        <v>0</v>
      </c>
      <c r="AM41" s="540">
        <f ca="1">SUMIF(CPSX!$D$28:$W$106,'FORM OH'!$I$41,CPSX!AF28:AF106)</f>
        <v>0</v>
      </c>
      <c r="AN41" s="540">
        <f ca="1">SUMIF(CPSX!$D$28:$W$106,'FORM OH'!$I$41,CPSX!AG28:AG106)</f>
        <v>0</v>
      </c>
      <c r="AO41" s="540">
        <f ca="1">SUMIF(CPSX!$D$28:$W$106,'FORM OH'!$I$41,CPSX!AH28:AH106)</f>
        <v>0</v>
      </c>
      <c r="AP41" s="540">
        <f ca="1">SUMIF(CPSX!$D$28:$W$106,'FORM OH'!$I$41,CPSX!AI28:AI106)</f>
        <v>0</v>
      </c>
      <c r="AQ41" s="540">
        <f ca="1">SUMIF(CPSX!$D$28:$W$106,'FORM OH'!$I$41,CPSX!AJ28:AJ106)</f>
        <v>0</v>
      </c>
      <c r="AR41" s="1284">
        <f t="shared" ca="1" si="14"/>
        <v>0</v>
      </c>
      <c r="AS41" s="1284">
        <f t="shared" ca="1" si="2"/>
        <v>0</v>
      </c>
      <c r="AT41" s="1297">
        <f t="shared" ca="1" si="3"/>
        <v>0</v>
      </c>
    </row>
    <row r="42" spans="1:46" s="539" customFormat="1" ht="16.399999999999999" customHeight="1" outlineLevel="1" x14ac:dyDescent="0.35">
      <c r="A42" s="534" t="s">
        <v>782</v>
      </c>
      <c r="B42" s="534" t="s">
        <v>783</v>
      </c>
      <c r="C42" s="535" t="s">
        <v>150</v>
      </c>
      <c r="D42" s="536" t="s">
        <v>817</v>
      </c>
      <c r="E42" s="536" t="s">
        <v>818</v>
      </c>
      <c r="F42" s="536" t="s">
        <v>883</v>
      </c>
      <c r="G42" s="536" t="s">
        <v>820</v>
      </c>
      <c r="H42" s="536" t="s">
        <v>884</v>
      </c>
      <c r="I42" s="535" t="s">
        <v>889</v>
      </c>
      <c r="J42" s="536" t="s">
        <v>432</v>
      </c>
      <c r="K42" s="536" t="s">
        <v>580</v>
      </c>
      <c r="L42" s="535" t="s">
        <v>890</v>
      </c>
      <c r="M42" s="536" t="s">
        <v>891</v>
      </c>
      <c r="N42" s="544"/>
      <c r="O42" s="535"/>
      <c r="P42" s="536"/>
      <c r="Q42" s="536"/>
      <c r="R42" s="540">
        <f ca="1">SUMIF(CPSX!$D$28:$W$106,'FORM OH'!$I$42,CPSX!K28:K106)</f>
        <v>17775922.666666668</v>
      </c>
      <c r="S42" s="540">
        <f ca="1">SUMIF(CPSX!$D$28:$W$106,'FORM OH'!$I$42,CPSX!L28:L106)</f>
        <v>12626816.666666668</v>
      </c>
      <c r="T42" s="540">
        <f ca="1">SUMIF(CPSX!$D$28:$W$106,'FORM OH'!$I$42,CPSX!M28:M106)</f>
        <v>9950172.6666666679</v>
      </c>
      <c r="U42" s="540">
        <f ca="1">SUMIF(CPSX!$D$28:$W$106,'FORM OH'!$I$42,CPSX!N28:N106)</f>
        <v>12749666.666666668</v>
      </c>
      <c r="V42" s="540">
        <f ca="1">SUMIF(CPSX!$D$28:$W$106,'FORM OH'!$I$42,CPSX!O28:O106)</f>
        <v>9133072.6666666679</v>
      </c>
      <c r="W42" s="540">
        <f ca="1">SUMIF(CPSX!$D$28:$W$106,'FORM OH'!$I$42,CPSX!P28:P106)</f>
        <v>17417916.666666668</v>
      </c>
      <c r="X42" s="540">
        <f ca="1">SUMIF(CPSX!$D$28:$W$106,'FORM OH'!$I$42,CPSX!Q28:Q106)</f>
        <v>9255922.6666666679</v>
      </c>
      <c r="Y42" s="540">
        <f ca="1">SUMIF(CPSX!$D$28:$W$106,'FORM OH'!$I$42,CPSX!R28:R106)</f>
        <v>12626816.666666668</v>
      </c>
      <c r="Z42" s="540">
        <f ca="1">SUMIF(CPSX!$D$28:$W$106,'FORM OH'!$I$42,CPSX!S28:S106)</f>
        <v>8739172.6666666679</v>
      </c>
      <c r="AA42" s="540">
        <f ca="1">SUMIF(CPSX!$D$28:$W$106,'FORM OH'!$I$42,CPSX!T28:T106)</f>
        <v>12674666.666666668</v>
      </c>
      <c r="AB42" s="540">
        <f ca="1">SUMIF(CPSX!$D$28:$W$106,'FORM OH'!$I$42,CPSX!U28:U106)</f>
        <v>8678072.6666666679</v>
      </c>
      <c r="AC42" s="540">
        <f ca="1">SUMIF(CPSX!$D$28:$W$106,'FORM OH'!$I$42,CPSX!V28:V106)</f>
        <v>12502916.666666668</v>
      </c>
      <c r="AD42" s="540">
        <f t="shared" ca="1" si="13"/>
        <v>144131136.00000003</v>
      </c>
      <c r="AE42" s="533"/>
      <c r="AF42" s="540">
        <f ca="1">SUMIF(CPSX!$D$28:$W$106,'FORM OH'!$I$42,CPSX!Y28:Y106)</f>
        <v>1590000</v>
      </c>
      <c r="AG42" s="540">
        <f ca="1">SUMIF(CPSX!$D$28:$W$106,'FORM OH'!$I$42,CPSX!Z28:Z106)</f>
        <v>0</v>
      </c>
      <c r="AH42" s="540">
        <f ca="1">SUMIF(CPSX!$D$28:$W$106,'FORM OH'!$I$42,CPSX!AA28:AA106)</f>
        <v>9084000</v>
      </c>
      <c r="AI42" s="540">
        <f ca="1">SUMIF(CPSX!$D$28:$W$106,'FORM OH'!$I$42,CPSX!AB28:AB106)</f>
        <v>3355347</v>
      </c>
      <c r="AJ42" s="540">
        <f ca="1">SUMIF(CPSX!$D$28:$W$106,'FORM OH'!$I$42,CPSX!AC28:AC106)</f>
        <v>21014604</v>
      </c>
      <c r="AK42" s="540">
        <f ca="1">SUMIF(CPSX!$D$28:$W$106,'FORM OH'!$I$42,CPSX!AD28:AD106)</f>
        <v>0</v>
      </c>
      <c r="AL42" s="540">
        <f ca="1">SUMIF(CPSX!$D$28:$W$106,'FORM OH'!$I$42,CPSX!AE28:AE106)</f>
        <v>4020000</v>
      </c>
      <c r="AM42" s="540">
        <f ca="1">SUMIF(CPSX!$D$28:$W$106,'FORM OH'!$I$42,CPSX!AF28:AF106)</f>
        <v>0</v>
      </c>
      <c r="AN42" s="540">
        <f ca="1">SUMIF(CPSX!$D$28:$W$106,'FORM OH'!$I$42,CPSX!AG28:AG106)</f>
        <v>820000</v>
      </c>
      <c r="AO42" s="540">
        <f ca="1">SUMIF(CPSX!$D$28:$W$106,'FORM OH'!$I$42,CPSX!AH28:AH106)</f>
        <v>10431550</v>
      </c>
      <c r="AP42" s="540">
        <f ca="1">SUMIF(CPSX!$D$28:$W$106,'FORM OH'!$I$42,CPSX!AI28:AI106)</f>
        <v>10431550</v>
      </c>
      <c r="AQ42" s="540">
        <f ca="1">SUMIF(CPSX!$D$28:$W$106,'FORM OH'!$I$42,CPSX!AJ28:AJ106)</f>
        <v>10431550</v>
      </c>
      <c r="AR42" s="1284">
        <f t="shared" ca="1" si="14"/>
        <v>71178601</v>
      </c>
      <c r="AS42" s="1284">
        <f t="shared" ca="1" si="2"/>
        <v>72952535.00000003</v>
      </c>
      <c r="AT42" s="1297">
        <f t="shared" ca="1" si="3"/>
        <v>1.0249222937101563</v>
      </c>
    </row>
    <row r="43" spans="1:46" s="1319" customFormat="1" ht="16.399999999999999" customHeight="1" outlineLevel="1" x14ac:dyDescent="0.35">
      <c r="A43" s="1314" t="s">
        <v>782</v>
      </c>
      <c r="B43" s="1314" t="s">
        <v>783</v>
      </c>
      <c r="C43" s="552" t="s">
        <v>150</v>
      </c>
      <c r="D43" s="551" t="s">
        <v>828</v>
      </c>
      <c r="E43" s="551" t="s">
        <v>818</v>
      </c>
      <c r="F43" s="551" t="s">
        <v>883</v>
      </c>
      <c r="G43" s="551" t="s">
        <v>820</v>
      </c>
      <c r="H43" s="551" t="s">
        <v>884</v>
      </c>
      <c r="I43" s="552" t="s">
        <v>892</v>
      </c>
      <c r="J43" s="551" t="s">
        <v>429</v>
      </c>
      <c r="K43" s="551" t="s">
        <v>572</v>
      </c>
      <c r="L43" s="552" t="s">
        <v>890</v>
      </c>
      <c r="M43" s="551" t="s">
        <v>891</v>
      </c>
      <c r="N43" s="551"/>
      <c r="O43" s="552"/>
      <c r="P43" s="551"/>
      <c r="Q43" s="551"/>
      <c r="R43" s="1315">
        <f ca="1">SUMIF(CPSX!$D$28:$W$106,'FORM OH'!$I$43,CPSX!K28:K106)</f>
        <v>104367168.30294532</v>
      </c>
      <c r="S43" s="1315">
        <f ca="1">SUMIF(CPSX!$D$28:$W$106,'FORM OH'!$I$43,CPSX!L28:L106)</f>
        <v>78275376.227208972</v>
      </c>
      <c r="T43" s="1315">
        <f ca="1">SUMIF(CPSX!$D$28:$W$106,'FORM OH'!$I$43,CPSX!M28:M106)</f>
        <v>113064432.32819074</v>
      </c>
      <c r="U43" s="1315">
        <f ca="1">SUMIF(CPSX!$D$28:$W$106,'FORM OH'!$I$43,CPSX!N28:N106)</f>
        <v>121761696.35343619</v>
      </c>
      <c r="V43" s="1315">
        <f ca="1">SUMIF(CPSX!$D$28:$W$106,'FORM OH'!$I$43,CPSX!O28:O106)</f>
        <v>121761696.35343619</v>
      </c>
      <c r="W43" s="1315">
        <f ca="1">SUMIF(CPSX!$D$28:$W$106,'FORM OH'!$I$43,CPSX!P28:P106)</f>
        <v>121761696.35343619</v>
      </c>
      <c r="X43" s="1315">
        <f ca="1">SUMIF(CPSX!$D$28:$W$106,'FORM OH'!$I$43,CPSX!Q28:Q106)</f>
        <v>121761696.35343619</v>
      </c>
      <c r="Y43" s="1315">
        <f ca="1">SUMIF(CPSX!$D$28:$W$106,'FORM OH'!$I$43,CPSX!R28:R106)</f>
        <v>121761696.35343619</v>
      </c>
      <c r="Z43" s="1315">
        <f ca="1">SUMIF(CPSX!$D$28:$W$106,'FORM OH'!$I$43,CPSX!S28:S106)</f>
        <v>121761696.35343619</v>
      </c>
      <c r="AA43" s="1315">
        <f ca="1">SUMIF(CPSX!$D$28:$W$106,'FORM OH'!$I$43,CPSX!T28:T106)</f>
        <v>121761696.35343619</v>
      </c>
      <c r="AB43" s="1315">
        <f ca="1">SUMIF(CPSX!$D$28:$W$106,'FORM OH'!$I$43,CPSX!U28:U106)</f>
        <v>121761696.35343619</v>
      </c>
      <c r="AC43" s="1315">
        <f ca="1">SUMIF(CPSX!$D$28:$W$106,'FORM OH'!$I$43,CPSX!V28:V106)</f>
        <v>121761696.35343619</v>
      </c>
      <c r="AD43" s="1315">
        <f t="shared" ca="1" si="13"/>
        <v>1391562244.0392709</v>
      </c>
      <c r="AE43" s="1316"/>
      <c r="AF43" s="1315">
        <f ca="1">SUMIF(CPSX!$D$28:$W$106,'FORM OH'!$I$43,CPSX!Y28:Y106)</f>
        <v>39166667</v>
      </c>
      <c r="AG43" s="1315">
        <f ca="1">SUMIF(CPSX!$D$28:$W$106,'FORM OH'!$I$43,CPSX!Z28:Z106)</f>
        <v>62071533</v>
      </c>
      <c r="AH43" s="1315">
        <f ca="1">SUMIF(CPSX!$D$28:$W$106,'FORM OH'!$I$43,CPSX!AA28:AA106)</f>
        <v>39138889</v>
      </c>
      <c r="AI43" s="1315">
        <f ca="1">SUMIF(CPSX!$D$28:$W$106,'FORM OH'!$I$43,CPSX!AB28:AB106)</f>
        <v>29822222</v>
      </c>
      <c r="AJ43" s="1315">
        <f ca="1">SUMIF(CPSX!$D$28:$W$106,'FORM OH'!$I$43,CPSX!AC28:AC106)</f>
        <v>31136111</v>
      </c>
      <c r="AK43" s="1315">
        <f ca="1">SUMIF(CPSX!$D$28:$W$106,'FORM OH'!$I$43,CPSX!AD28:AD106)</f>
        <v>14666667</v>
      </c>
      <c r="AL43" s="1315">
        <f ca="1">SUMIF(CPSX!$D$28:$W$106,'FORM OH'!$I$43,CPSX!AE28:AE106)</f>
        <v>24532565</v>
      </c>
      <c r="AM43" s="1315">
        <f ca="1">SUMIF(CPSX!$D$28:$W$106,'FORM OH'!$I$43,CPSX!AF28:AF106)</f>
        <v>35744666</v>
      </c>
      <c r="AN43" s="1315">
        <f ca="1">SUMIF(CPSX!$D$28:$W$106,'FORM OH'!$I$43,CPSX!AG28:AG106)</f>
        <v>33340726</v>
      </c>
      <c r="AO43" s="1315">
        <f ca="1">SUMIF(CPSX!$D$28:$W$106,'FORM OH'!$I$43,CPSX!AH28:AH106)</f>
        <v>29369347.826086957</v>
      </c>
      <c r="AP43" s="1315">
        <f ca="1">SUMIF(CPSX!$D$28:$W$106,'FORM OH'!$I$43,CPSX!AI28:AI106)</f>
        <v>29369347.826086957</v>
      </c>
      <c r="AQ43" s="1315">
        <f ca="1">SUMIF(CPSX!$D$28:$W$106,'FORM OH'!$I$43,CPSX!AJ28:AJ106)</f>
        <v>29369347.826086957</v>
      </c>
      <c r="AR43" s="1317">
        <f t="shared" ca="1" si="14"/>
        <v>397728089.47826082</v>
      </c>
      <c r="AS43" s="1317">
        <f t="shared" ca="1" si="2"/>
        <v>993834154.56101012</v>
      </c>
      <c r="AT43" s="1318">
        <f t="shared" ca="1" si="3"/>
        <v>2.4987778858282814</v>
      </c>
    </row>
    <row r="44" spans="1:46" s="539" customFormat="1" ht="16.399999999999999" customHeight="1" outlineLevel="1" x14ac:dyDescent="0.35">
      <c r="A44" s="534" t="s">
        <v>782</v>
      </c>
      <c r="B44" s="534" t="s">
        <v>783</v>
      </c>
      <c r="C44" s="535" t="s">
        <v>150</v>
      </c>
      <c r="D44" s="536" t="s">
        <v>817</v>
      </c>
      <c r="E44" s="536" t="s">
        <v>818</v>
      </c>
      <c r="F44" s="536" t="s">
        <v>883</v>
      </c>
      <c r="G44" s="536" t="s">
        <v>820</v>
      </c>
      <c r="H44" s="536" t="s">
        <v>884</v>
      </c>
      <c r="I44" s="535" t="s">
        <v>893</v>
      </c>
      <c r="J44" s="536" t="s">
        <v>894</v>
      </c>
      <c r="K44" s="536" t="s">
        <v>580</v>
      </c>
      <c r="L44" s="535" t="s">
        <v>895</v>
      </c>
      <c r="M44" s="536" t="s">
        <v>896</v>
      </c>
      <c r="N44" s="536"/>
      <c r="O44" s="535"/>
      <c r="P44" s="536"/>
      <c r="Q44" s="536"/>
      <c r="R44" s="540">
        <f ca="1">SUMIF(CPSX!$D$28:$W$106,'FORM OH'!$I$44,CPSX!K28:K106)</f>
        <v>0</v>
      </c>
      <c r="S44" s="540">
        <f ca="1">SUMIF(CPSX!$D$28:$W$106,'FORM OH'!$I$44,CPSX!L28:L106)</f>
        <v>0</v>
      </c>
      <c r="T44" s="540">
        <f ca="1">SUMIF(CPSX!$D$28:$W$106,'FORM OH'!$I$44,CPSX!M28:M106)</f>
        <v>0</v>
      </c>
      <c r="U44" s="540">
        <f ca="1">SUMIF(CPSX!$D$28:$W$106,'FORM OH'!$I$44,CPSX!N28:N106)</f>
        <v>0</v>
      </c>
      <c r="V44" s="540">
        <f ca="1">SUMIF(CPSX!$D$28:$W$106,'FORM OH'!$I$44,CPSX!O28:O106)</f>
        <v>0</v>
      </c>
      <c r="W44" s="540">
        <f ca="1">SUMIF(CPSX!$D$28:$W$106,'FORM OH'!$I$44,CPSX!P28:P106)</f>
        <v>0</v>
      </c>
      <c r="X44" s="540">
        <f ca="1">SUMIF(CPSX!$D$28:$W$106,'FORM OH'!$I$44,CPSX!Q28:Q106)</f>
        <v>0</v>
      </c>
      <c r="Y44" s="540">
        <f ca="1">SUMIF(CPSX!$D$28:$W$106,'FORM OH'!$I$44,CPSX!R28:R106)</f>
        <v>0</v>
      </c>
      <c r="Z44" s="540">
        <f ca="1">SUMIF(CPSX!$D$28:$W$106,'FORM OH'!$I$44,CPSX!S28:S106)</f>
        <v>0</v>
      </c>
      <c r="AA44" s="540">
        <f ca="1">SUMIF(CPSX!$D$28:$W$106,'FORM OH'!$I$44,CPSX!T28:T106)</f>
        <v>0</v>
      </c>
      <c r="AB44" s="540">
        <f ca="1">SUMIF(CPSX!$D$28:$W$106,'FORM OH'!$I$44,CPSX!U28:U106)</f>
        <v>0</v>
      </c>
      <c r="AC44" s="540">
        <f ca="1">SUMIF(CPSX!$D$28:$W$106,'FORM OH'!$I$44,CPSX!V28:V106)</f>
        <v>0</v>
      </c>
      <c r="AD44" s="540">
        <f t="shared" ca="1" si="13"/>
        <v>0</v>
      </c>
      <c r="AE44" s="533"/>
      <c r="AF44" s="540">
        <f ca="1">SUMIF(CPSX!$D$28:$W$106,'FORM OH'!$I$44,CPSX!Y28:Y106)</f>
        <v>0</v>
      </c>
      <c r="AG44" s="540">
        <f ca="1">SUMIF(CPSX!$D$28:$W$106,'FORM OH'!$I$44,CPSX!Z28:Z106)</f>
        <v>0</v>
      </c>
      <c r="AH44" s="540">
        <f ca="1">SUMIF(CPSX!$D$28:$W$106,'FORM OH'!$I$44,CPSX!AA28:AA106)</f>
        <v>0</v>
      </c>
      <c r="AI44" s="540">
        <f ca="1">SUMIF(CPSX!$D$28:$W$106,'FORM OH'!$I$44,CPSX!AB28:AB106)</f>
        <v>0</v>
      </c>
      <c r="AJ44" s="540">
        <f ca="1">SUMIF(CPSX!$D$28:$W$106,'FORM OH'!$I$44,CPSX!AC28:AC106)</f>
        <v>0</v>
      </c>
      <c r="AK44" s="540">
        <f ca="1">SUMIF(CPSX!$D$28:$W$106,'FORM OH'!$I$44,CPSX!AD28:AD106)</f>
        <v>0</v>
      </c>
      <c r="AL44" s="540">
        <f ca="1">SUMIF(CPSX!$D$28:$W$106,'FORM OH'!$I$44,CPSX!AE28:AE106)</f>
        <v>0</v>
      </c>
      <c r="AM44" s="540">
        <f ca="1">SUMIF(CPSX!$D$28:$W$106,'FORM OH'!$I$44,CPSX!AF28:AF106)</f>
        <v>0</v>
      </c>
      <c r="AN44" s="540">
        <f ca="1">SUMIF(CPSX!$D$28:$W$106,'FORM OH'!$I$44,CPSX!AG28:AG106)</f>
        <v>0</v>
      </c>
      <c r="AO44" s="540">
        <f ca="1">SUMIF(CPSX!$D$28:$W$106,'FORM OH'!$I$44,CPSX!AH28:AH106)</f>
        <v>0</v>
      </c>
      <c r="AP44" s="540">
        <f ca="1">SUMIF(CPSX!$D$28:$W$106,'FORM OH'!$I$44,CPSX!AI28:AI106)</f>
        <v>0</v>
      </c>
      <c r="AQ44" s="540">
        <f ca="1">SUMIF(CPSX!$D$28:$W$106,'FORM OH'!$I$44,CPSX!AJ28:AJ106)</f>
        <v>0</v>
      </c>
      <c r="AR44" s="1284">
        <f t="shared" ca="1" si="14"/>
        <v>0</v>
      </c>
      <c r="AS44" s="1284">
        <f t="shared" ca="1" si="2"/>
        <v>0</v>
      </c>
      <c r="AT44" s="1297">
        <f t="shared" ca="1" si="3"/>
        <v>0</v>
      </c>
    </row>
    <row r="45" spans="1:46" s="539" customFormat="1" ht="16.399999999999999" customHeight="1" outlineLevel="1" x14ac:dyDescent="0.35">
      <c r="A45" s="534" t="s">
        <v>782</v>
      </c>
      <c r="B45" s="534" t="s">
        <v>783</v>
      </c>
      <c r="C45" s="535" t="s">
        <v>150</v>
      </c>
      <c r="D45" s="536" t="s">
        <v>817</v>
      </c>
      <c r="E45" s="536" t="s">
        <v>818</v>
      </c>
      <c r="F45" s="536" t="s">
        <v>883</v>
      </c>
      <c r="G45" s="536" t="s">
        <v>820</v>
      </c>
      <c r="H45" s="536" t="s">
        <v>884</v>
      </c>
      <c r="I45" s="535" t="s">
        <v>897</v>
      </c>
      <c r="J45" s="536" t="s">
        <v>898</v>
      </c>
      <c r="K45" s="536" t="s">
        <v>580</v>
      </c>
      <c r="L45" s="535" t="s">
        <v>899</v>
      </c>
      <c r="M45" s="536" t="s">
        <v>900</v>
      </c>
      <c r="N45" s="536"/>
      <c r="O45" s="535"/>
      <c r="P45" s="536"/>
      <c r="Q45" s="536"/>
      <c r="R45" s="540">
        <f ca="1">SUMIF(CPSX!$D$28:$W$106,'FORM OH'!$I$45,CPSX!K28:K106)</f>
        <v>0</v>
      </c>
      <c r="S45" s="540">
        <f ca="1">SUMIF(CPSX!$D$28:$W$106,'FORM OH'!$I$45,CPSX!L28:L106)</f>
        <v>0</v>
      </c>
      <c r="T45" s="540">
        <f ca="1">SUMIF(CPSX!$D$28:$W$106,'FORM OH'!$I$45,CPSX!M28:M106)</f>
        <v>0</v>
      </c>
      <c r="U45" s="540">
        <f ca="1">SUMIF(CPSX!$D$28:$W$106,'FORM OH'!$I$45,CPSX!N28:N106)</f>
        <v>0</v>
      </c>
      <c r="V45" s="540">
        <f ca="1">SUMIF(CPSX!$D$28:$W$106,'FORM OH'!$I$45,CPSX!O28:O106)</f>
        <v>0</v>
      </c>
      <c r="W45" s="540">
        <f ca="1">SUMIF(CPSX!$D$28:$W$106,'FORM OH'!$I$45,CPSX!P28:P106)</f>
        <v>0</v>
      </c>
      <c r="X45" s="540">
        <f ca="1">SUMIF(CPSX!$D$28:$W$106,'FORM OH'!$I$45,CPSX!Q28:Q106)</f>
        <v>0</v>
      </c>
      <c r="Y45" s="540">
        <f ca="1">SUMIF(CPSX!$D$28:$W$106,'FORM OH'!$I$45,CPSX!R28:R106)</f>
        <v>0</v>
      </c>
      <c r="Z45" s="540">
        <f ca="1">SUMIF(CPSX!$D$28:$W$106,'FORM OH'!$I$45,CPSX!S28:S106)</f>
        <v>0</v>
      </c>
      <c r="AA45" s="540">
        <f ca="1">SUMIF(CPSX!$D$28:$W$106,'FORM OH'!$I$45,CPSX!T28:T106)</f>
        <v>0</v>
      </c>
      <c r="AB45" s="540">
        <f ca="1">SUMIF(CPSX!$D$28:$W$106,'FORM OH'!$I$45,CPSX!U28:U106)</f>
        <v>0</v>
      </c>
      <c r="AC45" s="540">
        <f ca="1">SUMIF(CPSX!$D$28:$W$106,'FORM OH'!$I$45,CPSX!V28:V106)</f>
        <v>0</v>
      </c>
      <c r="AD45" s="540">
        <f t="shared" ca="1" si="13"/>
        <v>0</v>
      </c>
      <c r="AE45" s="533"/>
      <c r="AF45" s="540">
        <f ca="1">SUMIF(CPSX!$D$28:$W$106,'FORM OH'!$I$45,CPSX!Y28:Y106)</f>
        <v>0</v>
      </c>
      <c r="AG45" s="540">
        <f ca="1">SUMIF(CPSX!$D$28:$W$106,'FORM OH'!$I$45,CPSX!Z28:Z106)</f>
        <v>0</v>
      </c>
      <c r="AH45" s="540">
        <f ca="1">SUMIF(CPSX!$D$28:$W$106,'FORM OH'!$I$45,CPSX!AA28:AA106)</f>
        <v>0</v>
      </c>
      <c r="AI45" s="540">
        <f ca="1">SUMIF(CPSX!$D$28:$W$106,'FORM OH'!$I$45,CPSX!AB28:AB106)</f>
        <v>0</v>
      </c>
      <c r="AJ45" s="540">
        <f ca="1">SUMIF(CPSX!$D$28:$W$106,'FORM OH'!$I$45,CPSX!AC28:AC106)</f>
        <v>0</v>
      </c>
      <c r="AK45" s="540">
        <f ca="1">SUMIF(CPSX!$D$28:$W$106,'FORM OH'!$I$45,CPSX!AD28:AD106)</f>
        <v>0</v>
      </c>
      <c r="AL45" s="540">
        <f ca="1">SUMIF(CPSX!$D$28:$W$106,'FORM OH'!$I$45,CPSX!AE28:AE106)</f>
        <v>0</v>
      </c>
      <c r="AM45" s="540">
        <f ca="1">SUMIF(CPSX!$D$28:$W$106,'FORM OH'!$I$45,CPSX!AF28:AF106)</f>
        <v>0</v>
      </c>
      <c r="AN45" s="540">
        <f ca="1">SUMIF(CPSX!$D$28:$W$106,'FORM OH'!$I$45,CPSX!AG28:AG106)</f>
        <v>0</v>
      </c>
      <c r="AO45" s="540">
        <f ca="1">SUMIF(CPSX!$D$28:$W$106,'FORM OH'!$I$45,CPSX!AH28:AH106)</f>
        <v>0</v>
      </c>
      <c r="AP45" s="540">
        <f ca="1">SUMIF(CPSX!$D$28:$W$106,'FORM OH'!$I$45,CPSX!AI28:AI106)</f>
        <v>0</v>
      </c>
      <c r="AQ45" s="540">
        <f ca="1">SUMIF(CPSX!$D$28:$W$106,'FORM OH'!$I$45,CPSX!AJ28:AJ106)</f>
        <v>0</v>
      </c>
      <c r="AR45" s="1284">
        <f t="shared" ca="1" si="14"/>
        <v>0</v>
      </c>
      <c r="AS45" s="1284">
        <f t="shared" ca="1" si="2"/>
        <v>0</v>
      </c>
      <c r="AT45" s="1297">
        <f t="shared" ca="1" si="3"/>
        <v>0</v>
      </c>
    </row>
    <row r="46" spans="1:46" s="539" customFormat="1" ht="16.399999999999999" customHeight="1" outlineLevel="1" x14ac:dyDescent="0.35">
      <c r="A46" s="534" t="s">
        <v>782</v>
      </c>
      <c r="B46" s="534" t="s">
        <v>783</v>
      </c>
      <c r="C46" s="535" t="s">
        <v>150</v>
      </c>
      <c r="D46" s="536" t="s">
        <v>828</v>
      </c>
      <c r="E46" s="536" t="s">
        <v>818</v>
      </c>
      <c r="F46" s="536" t="s">
        <v>883</v>
      </c>
      <c r="G46" s="536" t="s">
        <v>820</v>
      </c>
      <c r="H46" s="536" t="s">
        <v>884</v>
      </c>
      <c r="I46" s="535" t="s">
        <v>901</v>
      </c>
      <c r="J46" s="536" t="s">
        <v>902</v>
      </c>
      <c r="K46" s="536" t="s">
        <v>572</v>
      </c>
      <c r="L46" s="535" t="s">
        <v>903</v>
      </c>
      <c r="M46" s="536" t="s">
        <v>891</v>
      </c>
      <c r="N46" s="536"/>
      <c r="O46" s="535"/>
      <c r="P46" s="536"/>
      <c r="Q46" s="536"/>
      <c r="R46" s="540">
        <f ca="1">SUMIF(CPSX!$D$28:$W$106,'FORM OH'!$I$46,CPSX!K28:K106)</f>
        <v>0</v>
      </c>
      <c r="S46" s="540">
        <f ca="1">SUMIF(CPSX!$D$28:$W$106,'FORM OH'!$I$46,CPSX!L28:L106)</f>
        <v>0</v>
      </c>
      <c r="T46" s="540">
        <f ca="1">SUMIF(CPSX!$D$28:$W$106,'FORM OH'!$I$46,CPSX!M28:M106)</f>
        <v>0</v>
      </c>
      <c r="U46" s="540">
        <f ca="1">SUMIF(CPSX!$D$28:$W$106,'FORM OH'!$I$46,CPSX!N28:N106)</f>
        <v>0</v>
      </c>
      <c r="V46" s="540">
        <f ca="1">SUMIF(CPSX!$D$28:$W$106,'FORM OH'!$I$46,CPSX!O28:O106)</f>
        <v>0</v>
      </c>
      <c r="W46" s="540">
        <f ca="1">SUMIF(CPSX!$D$28:$W$106,'FORM OH'!$I$46,CPSX!P28:P106)</f>
        <v>0</v>
      </c>
      <c r="X46" s="540">
        <f ca="1">SUMIF(CPSX!$D$28:$W$106,'FORM OH'!$I$46,CPSX!Q28:Q106)</f>
        <v>0</v>
      </c>
      <c r="Y46" s="540">
        <f ca="1">SUMIF(CPSX!$D$28:$W$106,'FORM OH'!$I$46,CPSX!R28:R106)</f>
        <v>0</v>
      </c>
      <c r="Z46" s="540">
        <f ca="1">SUMIF(CPSX!$D$28:$W$106,'FORM OH'!$I$46,CPSX!S28:S106)</f>
        <v>0</v>
      </c>
      <c r="AA46" s="540">
        <f ca="1">SUMIF(CPSX!$D$28:$W$106,'FORM OH'!$I$46,CPSX!T28:T106)</f>
        <v>0</v>
      </c>
      <c r="AB46" s="540">
        <f ca="1">SUMIF(CPSX!$D$28:$W$106,'FORM OH'!$I$46,CPSX!U28:U106)</f>
        <v>0</v>
      </c>
      <c r="AC46" s="540">
        <f ca="1">SUMIF(CPSX!$D$28:$W$106,'FORM OH'!$I$46,CPSX!V28:V106)</f>
        <v>0</v>
      </c>
      <c r="AD46" s="540">
        <f t="shared" ca="1" si="13"/>
        <v>0</v>
      </c>
      <c r="AE46" s="533"/>
      <c r="AF46" s="540">
        <f ca="1">SUMIF(CPSX!$D$28:$W$106,'FORM OH'!$I$46,CPSX!Y28:Y106)</f>
        <v>0</v>
      </c>
      <c r="AG46" s="540">
        <f ca="1">SUMIF(CPSX!$D$28:$W$106,'FORM OH'!$I$46,CPSX!Z28:Z106)</f>
        <v>0</v>
      </c>
      <c r="AH46" s="540">
        <f ca="1">SUMIF(CPSX!$D$28:$W$106,'FORM OH'!$I$46,CPSX!AA28:AA106)</f>
        <v>0</v>
      </c>
      <c r="AI46" s="540">
        <f ca="1">SUMIF(CPSX!$D$28:$W$106,'FORM OH'!$I$46,CPSX!AB28:AB106)</f>
        <v>0</v>
      </c>
      <c r="AJ46" s="540">
        <f ca="1">SUMIF(CPSX!$D$28:$W$106,'FORM OH'!$I$46,CPSX!AC28:AC106)</f>
        <v>0</v>
      </c>
      <c r="AK46" s="540">
        <f ca="1">SUMIF(CPSX!$D$28:$W$106,'FORM OH'!$I$46,CPSX!AD28:AD106)</f>
        <v>0</v>
      </c>
      <c r="AL46" s="540">
        <f ca="1">SUMIF(CPSX!$D$28:$W$106,'FORM OH'!$I$46,CPSX!AE28:AE106)</f>
        <v>0</v>
      </c>
      <c r="AM46" s="540">
        <f ca="1">SUMIF(CPSX!$D$28:$W$106,'FORM OH'!$I$46,CPSX!AF28:AF106)</f>
        <v>0</v>
      </c>
      <c r="AN46" s="540">
        <f ca="1">SUMIF(CPSX!$D$28:$W$106,'FORM OH'!$I$46,CPSX!AG28:AG106)</f>
        <v>0</v>
      </c>
      <c r="AO46" s="540">
        <f ca="1">SUMIF(CPSX!$D$28:$W$106,'FORM OH'!$I$46,CPSX!AH28:AH106)</f>
        <v>0</v>
      </c>
      <c r="AP46" s="540">
        <f ca="1">SUMIF(CPSX!$D$28:$W$106,'FORM OH'!$I$46,CPSX!AI28:AI106)</f>
        <v>0</v>
      </c>
      <c r="AQ46" s="540">
        <f ca="1">SUMIF(CPSX!$D$28:$W$106,'FORM OH'!$I$46,CPSX!AJ28:AJ106)</f>
        <v>0</v>
      </c>
      <c r="AR46" s="1284">
        <f t="shared" ca="1" si="14"/>
        <v>0</v>
      </c>
      <c r="AS46" s="1284">
        <f t="shared" ca="1" si="2"/>
        <v>0</v>
      </c>
      <c r="AT46" s="1297">
        <f t="shared" ca="1" si="3"/>
        <v>0</v>
      </c>
    </row>
    <row r="47" spans="1:46" s="539" customFormat="1" ht="16.399999999999999" customHeight="1" outlineLevel="1" x14ac:dyDescent="0.35">
      <c r="A47" s="534" t="s">
        <v>782</v>
      </c>
      <c r="B47" s="534" t="s">
        <v>783</v>
      </c>
      <c r="C47" s="535" t="s">
        <v>150</v>
      </c>
      <c r="D47" s="536" t="s">
        <v>828</v>
      </c>
      <c r="E47" s="536" t="s">
        <v>818</v>
      </c>
      <c r="F47" s="536" t="s">
        <v>883</v>
      </c>
      <c r="G47" s="536" t="s">
        <v>820</v>
      </c>
      <c r="H47" s="536" t="s">
        <v>884</v>
      </c>
      <c r="I47" s="535" t="s">
        <v>904</v>
      </c>
      <c r="J47" s="536" t="s">
        <v>902</v>
      </c>
      <c r="K47" s="536" t="s">
        <v>572</v>
      </c>
      <c r="L47" s="535" t="s">
        <v>903</v>
      </c>
      <c r="M47" s="536" t="s">
        <v>891</v>
      </c>
      <c r="N47" s="536"/>
      <c r="O47" s="535"/>
      <c r="P47" s="536"/>
      <c r="Q47" s="536"/>
      <c r="R47" s="540">
        <f ca="1">SUMIF(CPSX!$D$28:$W$106,'FORM OH'!$I$47,CPSX!K28:K106)</f>
        <v>0</v>
      </c>
      <c r="S47" s="540">
        <f ca="1">SUMIF(CPSX!$D$28:$W$106,'FORM OH'!$I$47,CPSX!L28:L106)</f>
        <v>0</v>
      </c>
      <c r="T47" s="540">
        <f ca="1">SUMIF(CPSX!$D$28:$W$106,'FORM OH'!$I$47,CPSX!M28:M106)</f>
        <v>0</v>
      </c>
      <c r="U47" s="540">
        <f ca="1">SUMIF(CPSX!$D$28:$W$106,'FORM OH'!$I$47,CPSX!N28:N106)</f>
        <v>0</v>
      </c>
      <c r="V47" s="540">
        <f ca="1">SUMIF(CPSX!$D$28:$W$106,'FORM OH'!$I$47,CPSX!O28:O106)</f>
        <v>0</v>
      </c>
      <c r="W47" s="540">
        <f ca="1">SUMIF(CPSX!$D$28:$W$106,'FORM OH'!$I$47,CPSX!P28:P106)</f>
        <v>0</v>
      </c>
      <c r="X47" s="540">
        <f ca="1">SUMIF(CPSX!$D$28:$W$106,'FORM OH'!$I$47,CPSX!Q28:Q106)</f>
        <v>0</v>
      </c>
      <c r="Y47" s="540">
        <f ca="1">SUMIF(CPSX!$D$28:$W$106,'FORM OH'!$I$47,CPSX!R28:R106)</f>
        <v>0</v>
      </c>
      <c r="Z47" s="540">
        <f ca="1">SUMIF(CPSX!$D$28:$W$106,'FORM OH'!$I$47,CPSX!S28:S106)</f>
        <v>0</v>
      </c>
      <c r="AA47" s="540">
        <f ca="1">SUMIF(CPSX!$D$28:$W$106,'FORM OH'!$I$47,CPSX!T28:T106)</f>
        <v>0</v>
      </c>
      <c r="AB47" s="540">
        <f ca="1">SUMIF(CPSX!$D$28:$W$106,'FORM OH'!$I$47,CPSX!U28:U106)</f>
        <v>0</v>
      </c>
      <c r="AC47" s="540">
        <f ca="1">SUMIF(CPSX!$D$28:$W$106,'FORM OH'!$I$47,CPSX!V28:V106)</f>
        <v>0</v>
      </c>
      <c r="AD47" s="540">
        <f t="shared" ca="1" si="13"/>
        <v>0</v>
      </c>
      <c r="AE47" s="533"/>
      <c r="AF47" s="540">
        <f ca="1">SUMIF(CPSX!$D$28:$W$106,'FORM OH'!$I$47,CPSX!Y28:Y106)</f>
        <v>0</v>
      </c>
      <c r="AG47" s="540">
        <f ca="1">SUMIF(CPSX!$D$28:$W$106,'FORM OH'!$I$47,CPSX!Z28:Z106)</f>
        <v>0</v>
      </c>
      <c r="AH47" s="540">
        <f ca="1">SUMIF(CPSX!$D$28:$W$106,'FORM OH'!$I$47,CPSX!AA28:AA106)</f>
        <v>0</v>
      </c>
      <c r="AI47" s="540">
        <f ca="1">SUMIF(CPSX!$D$28:$W$106,'FORM OH'!$I$47,CPSX!AB28:AB106)</f>
        <v>0</v>
      </c>
      <c r="AJ47" s="540">
        <f ca="1">SUMIF(CPSX!$D$28:$W$106,'FORM OH'!$I$47,CPSX!AC28:AC106)</f>
        <v>0</v>
      </c>
      <c r="AK47" s="540">
        <f ca="1">SUMIF(CPSX!$D$28:$W$106,'FORM OH'!$I$47,CPSX!AD28:AD106)</f>
        <v>0</v>
      </c>
      <c r="AL47" s="540">
        <f ca="1">SUMIF(CPSX!$D$28:$W$106,'FORM OH'!$I$47,CPSX!AE28:AE106)</f>
        <v>0</v>
      </c>
      <c r="AM47" s="540">
        <f ca="1">SUMIF(CPSX!$D$28:$W$106,'FORM OH'!$I$47,CPSX!AF28:AF106)</f>
        <v>0</v>
      </c>
      <c r="AN47" s="540">
        <f ca="1">SUMIF(CPSX!$D$28:$W$106,'FORM OH'!$I$47,CPSX!AG28:AG106)</f>
        <v>0</v>
      </c>
      <c r="AO47" s="540">
        <f ca="1">SUMIF(CPSX!$D$28:$W$106,'FORM OH'!$I$47,CPSX!AH28:AH106)</f>
        <v>0</v>
      </c>
      <c r="AP47" s="540">
        <f ca="1">SUMIF(CPSX!$D$28:$W$106,'FORM OH'!$I$47,CPSX!AI28:AI106)</f>
        <v>0</v>
      </c>
      <c r="AQ47" s="540">
        <f ca="1">SUMIF(CPSX!$D$28:$W$106,'FORM OH'!$I$47,CPSX!AJ28:AJ106)</f>
        <v>0</v>
      </c>
      <c r="AR47" s="1284">
        <f t="shared" ca="1" si="14"/>
        <v>0</v>
      </c>
      <c r="AS47" s="1284">
        <f t="shared" ca="1" si="2"/>
        <v>0</v>
      </c>
      <c r="AT47" s="1297">
        <f t="shared" ca="1" si="3"/>
        <v>0</v>
      </c>
    </row>
    <row r="48" spans="1:46" s="539" customFormat="1" ht="16.399999999999999" customHeight="1" outlineLevel="1" x14ac:dyDescent="0.35">
      <c r="A48" s="534" t="s">
        <v>782</v>
      </c>
      <c r="B48" s="534" t="s">
        <v>783</v>
      </c>
      <c r="C48" s="535" t="s">
        <v>150</v>
      </c>
      <c r="D48" s="536" t="s">
        <v>817</v>
      </c>
      <c r="E48" s="536" t="s">
        <v>818</v>
      </c>
      <c r="F48" s="536" t="s">
        <v>883</v>
      </c>
      <c r="G48" s="536" t="s">
        <v>820</v>
      </c>
      <c r="H48" s="536" t="s">
        <v>884</v>
      </c>
      <c r="I48" s="535" t="s">
        <v>905</v>
      </c>
      <c r="J48" s="536" t="s">
        <v>906</v>
      </c>
      <c r="K48" s="536" t="s">
        <v>580</v>
      </c>
      <c r="L48" s="535" t="s">
        <v>907</v>
      </c>
      <c r="M48" s="536" t="s">
        <v>908</v>
      </c>
      <c r="N48" s="536"/>
      <c r="O48" s="535"/>
      <c r="P48" s="536"/>
      <c r="Q48" s="536"/>
      <c r="R48" s="540">
        <f ca="1">SUMIF(CPSX!$D$28:$W$106,'FORM OH'!$I$48,CPSX!K28:K106)</f>
        <v>0</v>
      </c>
      <c r="S48" s="540">
        <f ca="1">SUMIF(CPSX!$D$28:$W$106,'FORM OH'!$I$48,CPSX!L28:L106)</f>
        <v>0</v>
      </c>
      <c r="T48" s="540">
        <f ca="1">SUMIF(CPSX!$D$28:$W$106,'FORM OH'!$I$48,CPSX!M28:M106)</f>
        <v>0</v>
      </c>
      <c r="U48" s="540">
        <f ca="1">SUMIF(CPSX!$D$28:$W$106,'FORM OH'!$I$48,CPSX!N28:N106)</f>
        <v>0</v>
      </c>
      <c r="V48" s="540">
        <f ca="1">SUMIF(CPSX!$D$28:$W$106,'FORM OH'!$I$48,CPSX!O28:O106)</f>
        <v>0</v>
      </c>
      <c r="W48" s="540">
        <f ca="1">SUMIF(CPSX!$D$28:$W$106,'FORM OH'!$I$48,CPSX!P28:P106)</f>
        <v>0</v>
      </c>
      <c r="X48" s="540">
        <f ca="1">SUMIF(CPSX!$D$28:$W$106,'FORM OH'!$I$48,CPSX!Q28:Q106)</f>
        <v>0</v>
      </c>
      <c r="Y48" s="540">
        <f ca="1">SUMIF(CPSX!$D$28:$W$106,'FORM OH'!$I$48,CPSX!R28:R106)</f>
        <v>0</v>
      </c>
      <c r="Z48" s="540">
        <f ca="1">SUMIF(CPSX!$D$28:$W$106,'FORM OH'!$I$48,CPSX!S28:S106)</f>
        <v>0</v>
      </c>
      <c r="AA48" s="540">
        <f ca="1">SUMIF(CPSX!$D$28:$W$106,'FORM OH'!$I$48,CPSX!T28:T106)</f>
        <v>0</v>
      </c>
      <c r="AB48" s="540">
        <f ca="1">SUMIF(CPSX!$D$28:$W$106,'FORM OH'!$I$48,CPSX!U28:U106)</f>
        <v>0</v>
      </c>
      <c r="AC48" s="540">
        <f ca="1">SUMIF(CPSX!$D$28:$W$106,'FORM OH'!$I$48,CPSX!V28:V106)</f>
        <v>0</v>
      </c>
      <c r="AD48" s="540">
        <f t="shared" ca="1" si="13"/>
        <v>0</v>
      </c>
      <c r="AE48" s="533"/>
      <c r="AF48" s="540">
        <f ca="1">SUMIF(CPSX!$D$28:$W$106,'FORM OH'!$I$48,CPSX!Y28:Y106)</f>
        <v>0</v>
      </c>
      <c r="AG48" s="540">
        <f ca="1">SUMIF(CPSX!$D$28:$W$106,'FORM OH'!$I$48,CPSX!Z28:Z106)</f>
        <v>0</v>
      </c>
      <c r="AH48" s="540">
        <f ca="1">SUMIF(CPSX!$D$28:$W$106,'FORM OH'!$I$48,CPSX!AA28:AA106)</f>
        <v>0</v>
      </c>
      <c r="AI48" s="540">
        <f ca="1">SUMIF(CPSX!$D$28:$W$106,'FORM OH'!$I$48,CPSX!AB28:AB106)</f>
        <v>0</v>
      </c>
      <c r="AJ48" s="540">
        <f ca="1">SUMIF(CPSX!$D$28:$W$106,'FORM OH'!$I$48,CPSX!AC28:AC106)</f>
        <v>0</v>
      </c>
      <c r="AK48" s="540">
        <f ca="1">SUMIF(CPSX!$D$28:$W$106,'FORM OH'!$I$48,CPSX!AD28:AD106)</f>
        <v>0</v>
      </c>
      <c r="AL48" s="540">
        <f ca="1">SUMIF(CPSX!$D$28:$W$106,'FORM OH'!$I$48,CPSX!AE28:AE106)</f>
        <v>0</v>
      </c>
      <c r="AM48" s="540">
        <f ca="1">SUMIF(CPSX!$D$28:$W$106,'FORM OH'!$I$48,CPSX!AF28:AF106)</f>
        <v>0</v>
      </c>
      <c r="AN48" s="540">
        <f ca="1">SUMIF(CPSX!$D$28:$W$106,'FORM OH'!$I$48,CPSX!AG28:AG106)</f>
        <v>0</v>
      </c>
      <c r="AO48" s="540">
        <f ca="1">SUMIF(CPSX!$D$28:$W$106,'FORM OH'!$I$48,CPSX!AH28:AH106)</f>
        <v>0</v>
      </c>
      <c r="AP48" s="540">
        <f ca="1">SUMIF(CPSX!$D$28:$W$106,'FORM OH'!$I$48,CPSX!AI28:AI106)</f>
        <v>0</v>
      </c>
      <c r="AQ48" s="540">
        <f ca="1">SUMIF(CPSX!$D$28:$W$106,'FORM OH'!$I$48,CPSX!AJ28:AJ106)</f>
        <v>0</v>
      </c>
      <c r="AR48" s="1284">
        <f t="shared" ca="1" si="14"/>
        <v>0</v>
      </c>
      <c r="AS48" s="1284">
        <f t="shared" ca="1" si="2"/>
        <v>0</v>
      </c>
      <c r="AT48" s="1297">
        <f t="shared" ca="1" si="3"/>
        <v>0</v>
      </c>
    </row>
    <row r="49" spans="1:46" s="539" customFormat="1" ht="16.399999999999999" customHeight="1" outlineLevel="1" x14ac:dyDescent="0.35">
      <c r="A49" s="534" t="s">
        <v>782</v>
      </c>
      <c r="B49" s="534" t="s">
        <v>783</v>
      </c>
      <c r="C49" s="535" t="s">
        <v>150</v>
      </c>
      <c r="D49" s="536" t="s">
        <v>828</v>
      </c>
      <c r="E49" s="536" t="s">
        <v>818</v>
      </c>
      <c r="F49" s="536" t="s">
        <v>883</v>
      </c>
      <c r="G49" s="536" t="s">
        <v>820</v>
      </c>
      <c r="H49" s="536" t="s">
        <v>884</v>
      </c>
      <c r="I49" s="535" t="s">
        <v>909</v>
      </c>
      <c r="J49" s="536" t="s">
        <v>910</v>
      </c>
      <c r="K49" s="536" t="s">
        <v>580</v>
      </c>
      <c r="L49" s="535" t="s">
        <v>911</v>
      </c>
      <c r="M49" s="536" t="s">
        <v>912</v>
      </c>
      <c r="N49" s="536"/>
      <c r="O49" s="535"/>
      <c r="P49" s="536"/>
      <c r="Q49" s="536"/>
      <c r="R49" s="540">
        <f ca="1">SUMIF(CPSX!$D$28:$W$106,'FORM OH'!$I$49,CPSX!K28:K106)</f>
        <v>0</v>
      </c>
      <c r="S49" s="540">
        <f ca="1">SUMIF(CPSX!$D$28:$W$106,'FORM OH'!$I$49,CPSX!L28:L106)</f>
        <v>0</v>
      </c>
      <c r="T49" s="540">
        <f ca="1">SUMIF(CPSX!$D$28:$W$106,'FORM OH'!$I$49,CPSX!M28:M106)</f>
        <v>0</v>
      </c>
      <c r="U49" s="540">
        <f ca="1">SUMIF(CPSX!$D$28:$W$106,'FORM OH'!$I$49,CPSX!N28:N106)</f>
        <v>0</v>
      </c>
      <c r="V49" s="540">
        <f ca="1">SUMIF(CPSX!$D$28:$W$106,'FORM OH'!$I$49,CPSX!O28:O106)</f>
        <v>0</v>
      </c>
      <c r="W49" s="540">
        <f ca="1">SUMIF(CPSX!$D$28:$W$106,'FORM OH'!$I$49,CPSX!P28:P106)</f>
        <v>0</v>
      </c>
      <c r="X49" s="540">
        <f ca="1">SUMIF(CPSX!$D$28:$W$106,'FORM OH'!$I$49,CPSX!Q28:Q106)</f>
        <v>0</v>
      </c>
      <c r="Y49" s="540">
        <f ca="1">SUMIF(CPSX!$D$28:$W$106,'FORM OH'!$I$49,CPSX!R28:R106)</f>
        <v>0</v>
      </c>
      <c r="Z49" s="540">
        <f ca="1">SUMIF(CPSX!$D$28:$W$106,'FORM OH'!$I$49,CPSX!S28:S106)</f>
        <v>0</v>
      </c>
      <c r="AA49" s="540">
        <f ca="1">SUMIF(CPSX!$D$28:$W$106,'FORM OH'!$I$49,CPSX!T28:T106)</f>
        <v>0</v>
      </c>
      <c r="AB49" s="540">
        <f ca="1">SUMIF(CPSX!$D$28:$W$106,'FORM OH'!$I$49,CPSX!U28:U106)</f>
        <v>0</v>
      </c>
      <c r="AC49" s="540">
        <f ca="1">SUMIF(CPSX!$D$28:$W$106,'FORM OH'!$I$49,CPSX!V28:V106)</f>
        <v>0</v>
      </c>
      <c r="AD49" s="540">
        <f t="shared" ca="1" si="13"/>
        <v>0</v>
      </c>
      <c r="AE49" s="533"/>
      <c r="AF49" s="540">
        <f ca="1">SUMIF(CPSX!$D$28:$W$106,'FORM OH'!$I$49,CPSX!Y28:Y106)</f>
        <v>0</v>
      </c>
      <c r="AG49" s="540">
        <f ca="1">SUMIF(CPSX!$D$28:$W$106,'FORM OH'!$I$49,CPSX!Z28:Z106)</f>
        <v>0</v>
      </c>
      <c r="AH49" s="540">
        <f ca="1">SUMIF(CPSX!$D$28:$W$106,'FORM OH'!$I$49,CPSX!AA28:AA106)</f>
        <v>0</v>
      </c>
      <c r="AI49" s="540">
        <f ca="1">SUMIF(CPSX!$D$28:$W$106,'FORM OH'!$I$49,CPSX!AB28:AB106)</f>
        <v>0</v>
      </c>
      <c r="AJ49" s="540">
        <f ca="1">SUMIF(CPSX!$D$28:$W$106,'FORM OH'!$I$49,CPSX!AC28:AC106)</f>
        <v>0</v>
      </c>
      <c r="AK49" s="540">
        <f ca="1">SUMIF(CPSX!$D$28:$W$106,'FORM OH'!$I$49,CPSX!AD28:AD106)</f>
        <v>0</v>
      </c>
      <c r="AL49" s="540">
        <f ca="1">SUMIF(CPSX!$D$28:$W$106,'FORM OH'!$I$49,CPSX!AE28:AE106)</f>
        <v>0</v>
      </c>
      <c r="AM49" s="540">
        <f ca="1">SUMIF(CPSX!$D$28:$W$106,'FORM OH'!$I$49,CPSX!AF28:AF106)</f>
        <v>0</v>
      </c>
      <c r="AN49" s="540">
        <f ca="1">SUMIF(CPSX!$D$28:$W$106,'FORM OH'!$I$49,CPSX!AG28:AG106)</f>
        <v>0</v>
      </c>
      <c r="AO49" s="540">
        <f ca="1">SUMIF(CPSX!$D$28:$W$106,'FORM OH'!$I$49,CPSX!AH28:AH106)</f>
        <v>0</v>
      </c>
      <c r="AP49" s="540">
        <f ca="1">SUMIF(CPSX!$D$28:$W$106,'FORM OH'!$I$49,CPSX!AI28:AI106)</f>
        <v>0</v>
      </c>
      <c r="AQ49" s="540">
        <f ca="1">SUMIF(CPSX!$D$28:$W$106,'FORM OH'!$I$49,CPSX!AJ28:AJ106)</f>
        <v>0</v>
      </c>
      <c r="AR49" s="1284">
        <f t="shared" ca="1" si="14"/>
        <v>0</v>
      </c>
      <c r="AS49" s="1284">
        <f t="shared" ca="1" si="2"/>
        <v>0</v>
      </c>
      <c r="AT49" s="1297">
        <f t="shared" ca="1" si="3"/>
        <v>0</v>
      </c>
    </row>
    <row r="50" spans="1:46" s="539" customFormat="1" ht="16.399999999999999" customHeight="1" outlineLevel="1" x14ac:dyDescent="0.35">
      <c r="A50" s="534" t="s">
        <v>782</v>
      </c>
      <c r="B50" s="534" t="s">
        <v>783</v>
      </c>
      <c r="C50" s="535" t="s">
        <v>150</v>
      </c>
      <c r="D50" s="536" t="s">
        <v>817</v>
      </c>
      <c r="E50" s="536" t="s">
        <v>818</v>
      </c>
      <c r="F50" s="536" t="s">
        <v>883</v>
      </c>
      <c r="G50" s="536" t="s">
        <v>820</v>
      </c>
      <c r="H50" s="536" t="s">
        <v>884</v>
      </c>
      <c r="I50" s="535" t="s">
        <v>913</v>
      </c>
      <c r="J50" s="536" t="s">
        <v>914</v>
      </c>
      <c r="K50" s="536" t="s">
        <v>579</v>
      </c>
      <c r="L50" s="535" t="s">
        <v>915</v>
      </c>
      <c r="M50" s="536" t="s">
        <v>916</v>
      </c>
      <c r="N50" s="536"/>
      <c r="O50" s="535"/>
      <c r="P50" s="536"/>
      <c r="Q50" s="536"/>
      <c r="R50" s="540">
        <f ca="1">SUMIF(CPSX!$D$28:$W$106,'FORM OH'!$I$50,CPSX!K28:K106)</f>
        <v>0</v>
      </c>
      <c r="S50" s="540">
        <f ca="1">SUMIF(CPSX!$D$28:$W$106,'FORM OH'!$I$50,CPSX!L28:L106)</f>
        <v>0</v>
      </c>
      <c r="T50" s="540">
        <f ca="1">SUMIF(CPSX!$D$28:$W$106,'FORM OH'!$I$50,CPSX!M28:M106)</f>
        <v>0</v>
      </c>
      <c r="U50" s="540">
        <f ca="1">SUMIF(CPSX!$D$28:$W$106,'FORM OH'!$I$50,CPSX!N28:N106)</f>
        <v>0</v>
      </c>
      <c r="V50" s="540">
        <f ca="1">SUMIF(CPSX!$D$28:$W$106,'FORM OH'!$I$50,CPSX!O28:O106)</f>
        <v>0</v>
      </c>
      <c r="W50" s="540">
        <f ca="1">SUMIF(CPSX!$D$28:$W$106,'FORM OH'!$I$50,CPSX!P28:P106)</f>
        <v>0</v>
      </c>
      <c r="X50" s="540">
        <f ca="1">SUMIF(CPSX!$D$28:$W$106,'FORM OH'!$I$50,CPSX!Q28:Q106)</f>
        <v>0</v>
      </c>
      <c r="Y50" s="540">
        <f ca="1">SUMIF(CPSX!$D$28:$W$106,'FORM OH'!$I$50,CPSX!R28:R106)</f>
        <v>0</v>
      </c>
      <c r="Z50" s="540">
        <f ca="1">SUMIF(CPSX!$D$28:$W$106,'FORM OH'!$I$50,CPSX!S28:S106)</f>
        <v>0</v>
      </c>
      <c r="AA50" s="540">
        <f ca="1">SUMIF(CPSX!$D$28:$W$106,'FORM OH'!$I$50,CPSX!T28:T106)</f>
        <v>0</v>
      </c>
      <c r="AB50" s="540">
        <f ca="1">SUMIF(CPSX!$D$28:$W$106,'FORM OH'!$I$50,CPSX!U28:U106)</f>
        <v>0</v>
      </c>
      <c r="AC50" s="540">
        <f ca="1">SUMIF(CPSX!$D$28:$W$106,'FORM OH'!$I$50,CPSX!V28:V106)</f>
        <v>0</v>
      </c>
      <c r="AD50" s="540">
        <f t="shared" ca="1" si="13"/>
        <v>0</v>
      </c>
      <c r="AE50" s="533"/>
      <c r="AF50" s="540">
        <f ca="1">SUMIF(CPSX!$D$28:$W$106,'FORM OH'!$I$50,CPSX!Y28:Y106)</f>
        <v>0</v>
      </c>
      <c r="AG50" s="540">
        <f ca="1">SUMIF(CPSX!$D$28:$W$106,'FORM OH'!$I$50,CPSX!Z28:Z106)</f>
        <v>0</v>
      </c>
      <c r="AH50" s="540">
        <f ca="1">SUMIF(CPSX!$D$28:$W$106,'FORM OH'!$I$50,CPSX!AA28:AA106)</f>
        <v>0</v>
      </c>
      <c r="AI50" s="540">
        <f ca="1">SUMIF(CPSX!$D$28:$W$106,'FORM OH'!$I$50,CPSX!AB28:AB106)</f>
        <v>0</v>
      </c>
      <c r="AJ50" s="540">
        <f ca="1">SUMIF(CPSX!$D$28:$W$106,'FORM OH'!$I$50,CPSX!AC28:AC106)</f>
        <v>0</v>
      </c>
      <c r="AK50" s="540">
        <f ca="1">SUMIF(CPSX!$D$28:$W$106,'FORM OH'!$I$50,CPSX!AD28:AD106)</f>
        <v>0</v>
      </c>
      <c r="AL50" s="540">
        <f ca="1">SUMIF(CPSX!$D$28:$W$106,'FORM OH'!$I$50,CPSX!AE28:AE106)</f>
        <v>0</v>
      </c>
      <c r="AM50" s="540">
        <f ca="1">SUMIF(CPSX!$D$28:$W$106,'FORM OH'!$I$50,CPSX!AF28:AF106)</f>
        <v>0</v>
      </c>
      <c r="AN50" s="540">
        <f ca="1">SUMIF(CPSX!$D$28:$W$106,'FORM OH'!$I$50,CPSX!AG28:AG106)</f>
        <v>0</v>
      </c>
      <c r="AO50" s="540">
        <f ca="1">SUMIF(CPSX!$D$28:$W$106,'FORM OH'!$I$50,CPSX!AH28:AH106)</f>
        <v>0</v>
      </c>
      <c r="AP50" s="540">
        <f ca="1">SUMIF(CPSX!$D$28:$W$106,'FORM OH'!$I$50,CPSX!AI28:AI106)</f>
        <v>0</v>
      </c>
      <c r="AQ50" s="540">
        <f ca="1">SUMIF(CPSX!$D$28:$W$106,'FORM OH'!$I$50,CPSX!AJ28:AJ106)</f>
        <v>0</v>
      </c>
      <c r="AR50" s="1284">
        <f t="shared" ca="1" si="14"/>
        <v>0</v>
      </c>
      <c r="AS50" s="1284">
        <f t="shared" ca="1" si="2"/>
        <v>0</v>
      </c>
      <c r="AT50" s="1297">
        <f t="shared" ca="1" si="3"/>
        <v>0</v>
      </c>
    </row>
    <row r="51" spans="1:46" s="539" customFormat="1" ht="16.399999999999999" customHeight="1" outlineLevel="1" x14ac:dyDescent="0.35">
      <c r="A51" s="534" t="s">
        <v>782</v>
      </c>
      <c r="B51" s="534" t="s">
        <v>783</v>
      </c>
      <c r="C51" s="535" t="s">
        <v>150</v>
      </c>
      <c r="D51" s="536" t="s">
        <v>828</v>
      </c>
      <c r="E51" s="536" t="s">
        <v>818</v>
      </c>
      <c r="F51" s="536" t="s">
        <v>917</v>
      </c>
      <c r="G51" s="536" t="s">
        <v>820</v>
      </c>
      <c r="H51" s="536" t="s">
        <v>918</v>
      </c>
      <c r="I51" s="535" t="s">
        <v>919</v>
      </c>
      <c r="J51" s="536" t="s">
        <v>920</v>
      </c>
      <c r="K51" s="536" t="s">
        <v>921</v>
      </c>
      <c r="L51" s="535" t="s">
        <v>922</v>
      </c>
      <c r="M51" s="536" t="s">
        <v>918</v>
      </c>
      <c r="N51" s="536"/>
      <c r="O51" s="535"/>
      <c r="P51" s="536"/>
      <c r="Q51" s="536"/>
      <c r="R51" s="540">
        <f ca="1">SUMIF(CPSX!$D$28:$W$106,'FORM OH'!$I$51,CPSX!K28:K106)</f>
        <v>0</v>
      </c>
      <c r="S51" s="540">
        <f ca="1">SUMIF(CPSX!$D$28:$W$106,'FORM OH'!$I$51,CPSX!L28:L106)</f>
        <v>0</v>
      </c>
      <c r="T51" s="540">
        <f ca="1">SUMIF(CPSX!$D$28:$W$106,'FORM OH'!$I$51,CPSX!M28:M106)</f>
        <v>0</v>
      </c>
      <c r="U51" s="540">
        <f ca="1">SUMIF(CPSX!$D$28:$W$106,'FORM OH'!$I$51,CPSX!N28:N106)</f>
        <v>0</v>
      </c>
      <c r="V51" s="540">
        <f ca="1">SUMIF(CPSX!$D$28:$W$106,'FORM OH'!$I$51,CPSX!O28:O106)</f>
        <v>0</v>
      </c>
      <c r="W51" s="540">
        <f ca="1">SUMIF(CPSX!$D$28:$W$106,'FORM OH'!$I$51,CPSX!P28:P106)</f>
        <v>0</v>
      </c>
      <c r="X51" s="540">
        <f ca="1">SUMIF(CPSX!$D$28:$W$106,'FORM OH'!$I$51,CPSX!Q28:Q106)</f>
        <v>0</v>
      </c>
      <c r="Y51" s="540">
        <f ca="1">SUMIF(CPSX!$D$28:$W$106,'FORM OH'!$I$51,CPSX!R28:R106)</f>
        <v>0</v>
      </c>
      <c r="Z51" s="540">
        <f ca="1">SUMIF(CPSX!$D$28:$W$106,'FORM OH'!$I$51,CPSX!S28:S106)</f>
        <v>0</v>
      </c>
      <c r="AA51" s="540">
        <f ca="1">SUMIF(CPSX!$D$28:$W$106,'FORM OH'!$I$51,CPSX!T28:T106)</f>
        <v>0</v>
      </c>
      <c r="AB51" s="540">
        <f ca="1">SUMIF(CPSX!$D$28:$W$106,'FORM OH'!$I$51,CPSX!U28:U106)</f>
        <v>0</v>
      </c>
      <c r="AC51" s="540">
        <f ca="1">SUMIF(CPSX!$D$28:$W$106,'FORM OH'!$I$51,CPSX!V28:V106)</f>
        <v>0</v>
      </c>
      <c r="AD51" s="540">
        <f t="shared" ca="1" si="13"/>
        <v>0</v>
      </c>
      <c r="AE51" s="533"/>
      <c r="AF51" s="540">
        <f ca="1">SUMIF(CPSX!$D$28:$W$106,'FORM OH'!$I$51,CPSX!Y28:Y106)</f>
        <v>0</v>
      </c>
      <c r="AG51" s="540">
        <f ca="1">SUMIF(CPSX!$D$28:$W$106,'FORM OH'!$I$51,CPSX!Z28:Z106)</f>
        <v>0</v>
      </c>
      <c r="AH51" s="540">
        <f ca="1">SUMIF(CPSX!$D$28:$W$106,'FORM OH'!$I$51,CPSX!AA28:AA106)</f>
        <v>0</v>
      </c>
      <c r="AI51" s="540">
        <f ca="1">SUMIF(CPSX!$D$28:$W$106,'FORM OH'!$I$51,CPSX!AB28:AB106)</f>
        <v>0</v>
      </c>
      <c r="AJ51" s="540">
        <f ca="1">SUMIF(CPSX!$D$28:$W$106,'FORM OH'!$I$51,CPSX!AC28:AC106)</f>
        <v>0</v>
      </c>
      <c r="AK51" s="540">
        <f ca="1">SUMIF(CPSX!$D$28:$W$106,'FORM OH'!$I$51,CPSX!AD28:AD106)</f>
        <v>0</v>
      </c>
      <c r="AL51" s="540">
        <f ca="1">SUMIF(CPSX!$D$28:$W$106,'FORM OH'!$I$51,CPSX!AE28:AE106)</f>
        <v>0</v>
      </c>
      <c r="AM51" s="540">
        <f ca="1">SUMIF(CPSX!$D$28:$W$106,'FORM OH'!$I$51,CPSX!AF28:AF106)</f>
        <v>0</v>
      </c>
      <c r="AN51" s="540">
        <f ca="1">SUMIF(CPSX!$D$28:$W$106,'FORM OH'!$I$51,CPSX!AG28:AG106)</f>
        <v>0</v>
      </c>
      <c r="AO51" s="540">
        <f ca="1">SUMIF(CPSX!$D$28:$W$106,'FORM OH'!$I$51,CPSX!AH28:AH106)</f>
        <v>0</v>
      </c>
      <c r="AP51" s="540">
        <f ca="1">SUMIF(CPSX!$D$28:$W$106,'FORM OH'!$I$51,CPSX!AI28:AI106)</f>
        <v>0</v>
      </c>
      <c r="AQ51" s="540">
        <f ca="1">SUMIF(CPSX!$D$28:$W$106,'FORM OH'!$I$51,CPSX!AJ28:AJ106)</f>
        <v>0</v>
      </c>
      <c r="AR51" s="1284">
        <f t="shared" ca="1" si="14"/>
        <v>0</v>
      </c>
      <c r="AS51" s="1284">
        <f t="shared" ca="1" si="2"/>
        <v>0</v>
      </c>
      <c r="AT51" s="1297">
        <f t="shared" ca="1" si="3"/>
        <v>0</v>
      </c>
    </row>
    <row r="52" spans="1:46" s="539" customFormat="1" ht="16.399999999999999" customHeight="1" outlineLevel="1" x14ac:dyDescent="0.35">
      <c r="A52" s="534" t="s">
        <v>782</v>
      </c>
      <c r="B52" s="534" t="s">
        <v>783</v>
      </c>
      <c r="C52" s="535" t="s">
        <v>150</v>
      </c>
      <c r="D52" s="536" t="s">
        <v>817</v>
      </c>
      <c r="E52" s="536" t="s">
        <v>818</v>
      </c>
      <c r="F52" s="536" t="s">
        <v>923</v>
      </c>
      <c r="G52" s="536" t="s">
        <v>820</v>
      </c>
      <c r="H52" s="536" t="s">
        <v>924</v>
      </c>
      <c r="I52" s="535" t="s">
        <v>925</v>
      </c>
      <c r="J52" s="536" t="s">
        <v>433</v>
      </c>
      <c r="K52" s="536" t="s">
        <v>578</v>
      </c>
      <c r="L52" s="535" t="s">
        <v>926</v>
      </c>
      <c r="M52" s="536" t="s">
        <v>924</v>
      </c>
      <c r="N52" s="536"/>
      <c r="O52" s="535"/>
      <c r="P52" s="536"/>
      <c r="Q52" s="536"/>
      <c r="R52" s="540">
        <f ca="1">SUMIF(CPSX!$D$28:$W$106,'FORM OH'!$I$52,CPSX!K28:K106)</f>
        <v>150000000</v>
      </c>
      <c r="S52" s="540">
        <f ca="1">SUMIF(CPSX!$D$28:$W$106,'FORM OH'!$I$52,CPSX!L28:L106)</f>
        <v>150000000</v>
      </c>
      <c r="T52" s="540">
        <f ca="1">SUMIF(CPSX!$D$28:$W$106,'FORM OH'!$I$52,CPSX!M28:M106)</f>
        <v>150000000</v>
      </c>
      <c r="U52" s="540">
        <f ca="1">SUMIF(CPSX!$D$28:$W$106,'FORM OH'!$I$52,CPSX!N28:N106)</f>
        <v>150000000</v>
      </c>
      <c r="V52" s="540">
        <f ca="1">SUMIF(CPSX!$D$28:$W$106,'FORM OH'!$I$52,CPSX!O28:O106)</f>
        <v>150000000</v>
      </c>
      <c r="W52" s="540">
        <f ca="1">SUMIF(CPSX!$D$28:$W$106,'FORM OH'!$I$52,CPSX!P28:P106)</f>
        <v>150000000</v>
      </c>
      <c r="X52" s="540">
        <f ca="1">SUMIF(CPSX!$D$28:$W$106,'FORM OH'!$I$52,CPSX!Q28:Q106)</f>
        <v>150000000</v>
      </c>
      <c r="Y52" s="540">
        <f ca="1">SUMIF(CPSX!$D$28:$W$106,'FORM OH'!$I$52,CPSX!R28:R106)</f>
        <v>150000000</v>
      </c>
      <c r="Z52" s="540">
        <f ca="1">SUMIF(CPSX!$D$28:$W$106,'FORM OH'!$I$52,CPSX!S28:S106)</f>
        <v>150000000</v>
      </c>
      <c r="AA52" s="540">
        <f ca="1">SUMIF(CPSX!$D$28:$W$106,'FORM OH'!$I$52,CPSX!T28:T106)</f>
        <v>150000000</v>
      </c>
      <c r="AB52" s="540">
        <f ca="1">SUMIF(CPSX!$D$28:$W$106,'FORM OH'!$I$52,CPSX!U28:U106)</f>
        <v>150000000</v>
      </c>
      <c r="AC52" s="540">
        <f ca="1">SUMIF(CPSX!$D$28:$W$106,'FORM OH'!$I$52,CPSX!V28:V106)</f>
        <v>150000000</v>
      </c>
      <c r="AD52" s="540">
        <f t="shared" ca="1" si="13"/>
        <v>1800000000</v>
      </c>
      <c r="AE52" s="533"/>
      <c r="AF52" s="540">
        <f ca="1">SUMIF(CPSX!$D$28:$W$106,'FORM OH'!$I$52,CPSX!Y28:Y106)</f>
        <v>150000000</v>
      </c>
      <c r="AG52" s="540">
        <f ca="1">SUMIF(CPSX!$D$28:$W$106,'FORM OH'!$I$52,CPSX!Z28:Z106)</f>
        <v>150000000</v>
      </c>
      <c r="AH52" s="540">
        <f ca="1">SUMIF(CPSX!$D$28:$W$106,'FORM OH'!$I$52,CPSX!AA28:AA106)</f>
        <v>150000000</v>
      </c>
      <c r="AI52" s="540">
        <f ca="1">SUMIF(CPSX!$D$28:$W$106,'FORM OH'!$I$52,CPSX!AB28:AB106)</f>
        <v>150000000</v>
      </c>
      <c r="AJ52" s="540">
        <f ca="1">SUMIF(CPSX!$D$28:$W$106,'FORM OH'!$I$52,CPSX!AC28:AC106)</f>
        <v>150000000</v>
      </c>
      <c r="AK52" s="540">
        <f ca="1">SUMIF(CPSX!$D$28:$W$106,'FORM OH'!$I$52,CPSX!AD28:AD106)</f>
        <v>150000000</v>
      </c>
      <c r="AL52" s="540">
        <f ca="1">SUMIF(CPSX!$D$28:$W$106,'FORM OH'!$I$52,CPSX!AE28:AE106)</f>
        <v>150000000</v>
      </c>
      <c r="AM52" s="540">
        <f ca="1">SUMIF(CPSX!$D$28:$W$106,'FORM OH'!$I$52,CPSX!AF28:AF106)</f>
        <v>150000000</v>
      </c>
      <c r="AN52" s="540">
        <f ca="1">SUMIF(CPSX!$D$28:$W$106,'FORM OH'!$I$52,CPSX!AG28:AG106)</f>
        <v>150000000</v>
      </c>
      <c r="AO52" s="540">
        <f ca="1">SUMIF(CPSX!$D$28:$W$106,'FORM OH'!$I$52,CPSX!AH28:AH106)</f>
        <v>150000000</v>
      </c>
      <c r="AP52" s="540">
        <f ca="1">SUMIF(CPSX!$D$28:$W$106,'FORM OH'!$I$52,CPSX!AI28:AI106)</f>
        <v>150000000</v>
      </c>
      <c r="AQ52" s="540">
        <f ca="1">SUMIF(CPSX!$D$28:$W$106,'FORM OH'!$I$52,CPSX!AJ28:AJ106)</f>
        <v>150000000</v>
      </c>
      <c r="AR52" s="1284">
        <f t="shared" ca="1" si="14"/>
        <v>1800000000</v>
      </c>
      <c r="AS52" s="1284">
        <f t="shared" ca="1" si="2"/>
        <v>0</v>
      </c>
      <c r="AT52" s="1297">
        <f t="shared" ca="1" si="3"/>
        <v>0</v>
      </c>
    </row>
    <row r="53" spans="1:46" s="539" customFormat="1" ht="16.399999999999999" customHeight="1" outlineLevel="1" x14ac:dyDescent="0.35">
      <c r="A53" s="534" t="s">
        <v>782</v>
      </c>
      <c r="B53" s="534" t="s">
        <v>783</v>
      </c>
      <c r="C53" s="535" t="s">
        <v>150</v>
      </c>
      <c r="D53" s="536" t="s">
        <v>828</v>
      </c>
      <c r="E53" s="536" t="s">
        <v>818</v>
      </c>
      <c r="F53" s="536" t="s">
        <v>927</v>
      </c>
      <c r="G53" s="536" t="s">
        <v>820</v>
      </c>
      <c r="H53" s="536" t="s">
        <v>469</v>
      </c>
      <c r="I53" s="535" t="s">
        <v>928</v>
      </c>
      <c r="J53" s="536" t="s">
        <v>929</v>
      </c>
      <c r="K53" s="536" t="s">
        <v>579</v>
      </c>
      <c r="L53" s="535" t="s">
        <v>930</v>
      </c>
      <c r="M53" s="536" t="s">
        <v>469</v>
      </c>
      <c r="N53" s="536"/>
      <c r="O53" s="535"/>
      <c r="P53" s="536"/>
      <c r="Q53" s="536"/>
      <c r="R53" s="540">
        <f ca="1">SUMIF(CPSX!$D$28:$W$106,'FORM OH'!$I$53,CPSX!K28:K106)</f>
        <v>0</v>
      </c>
      <c r="S53" s="540">
        <f ca="1">SUMIF(CPSX!$D$28:$W$106,'FORM OH'!$I$53,CPSX!L28:L106)</f>
        <v>0</v>
      </c>
      <c r="T53" s="540">
        <f ca="1">SUMIF(CPSX!$D$28:$W$106,'FORM OH'!$I$53,CPSX!M28:M106)</f>
        <v>0</v>
      </c>
      <c r="U53" s="540">
        <f ca="1">SUMIF(CPSX!$D$28:$W$106,'FORM OH'!$I$53,CPSX!N28:N106)</f>
        <v>0</v>
      </c>
      <c r="V53" s="540">
        <f ca="1">SUMIF(CPSX!$D$28:$W$106,'FORM OH'!$I$53,CPSX!O28:O106)</f>
        <v>0</v>
      </c>
      <c r="W53" s="540">
        <f ca="1">SUMIF(CPSX!$D$28:$W$106,'FORM OH'!$I$53,CPSX!P28:P106)</f>
        <v>0</v>
      </c>
      <c r="X53" s="540">
        <f ca="1">SUMIF(CPSX!$D$28:$W$106,'FORM OH'!$I$53,CPSX!Q28:Q106)</f>
        <v>0</v>
      </c>
      <c r="Y53" s="540">
        <f ca="1">SUMIF(CPSX!$D$28:$W$106,'FORM OH'!$I$53,CPSX!R28:R106)</f>
        <v>0</v>
      </c>
      <c r="Z53" s="540">
        <f ca="1">SUMIF(CPSX!$D$28:$W$106,'FORM OH'!$I$53,CPSX!S28:S106)</f>
        <v>0</v>
      </c>
      <c r="AA53" s="540">
        <f ca="1">SUMIF(CPSX!$D$28:$W$106,'FORM OH'!$I$53,CPSX!T28:T106)</f>
        <v>0</v>
      </c>
      <c r="AB53" s="540">
        <f ca="1">SUMIF(CPSX!$D$28:$W$106,'FORM OH'!$I$53,CPSX!U28:U106)</f>
        <v>0</v>
      </c>
      <c r="AC53" s="540">
        <f ca="1">SUMIF(CPSX!$D$28:$W$106,'FORM OH'!$I$53,CPSX!V28:V106)</f>
        <v>0</v>
      </c>
      <c r="AD53" s="540">
        <f t="shared" ca="1" si="13"/>
        <v>0</v>
      </c>
      <c r="AE53" s="533"/>
      <c r="AF53" s="540">
        <f ca="1">SUMIF(CPSX!$D$28:$W$106,'FORM OH'!$I$53,CPSX!Y28:Y106)</f>
        <v>0</v>
      </c>
      <c r="AG53" s="540">
        <f ca="1">SUMIF(CPSX!$D$28:$W$106,'FORM OH'!$I$53,CPSX!Z28:Z106)</f>
        <v>0</v>
      </c>
      <c r="AH53" s="540">
        <f ca="1">SUMIF(CPSX!$D$28:$W$106,'FORM OH'!$I$53,CPSX!AA28:AA106)</f>
        <v>0</v>
      </c>
      <c r="AI53" s="540">
        <f ca="1">SUMIF(CPSX!$D$28:$W$106,'FORM OH'!$I$53,CPSX!AB28:AB106)</f>
        <v>0</v>
      </c>
      <c r="AJ53" s="540">
        <f ca="1">SUMIF(CPSX!$D$28:$W$106,'FORM OH'!$I$53,CPSX!AC28:AC106)</f>
        <v>0</v>
      </c>
      <c r="AK53" s="540">
        <f ca="1">SUMIF(CPSX!$D$28:$W$106,'FORM OH'!$I$53,CPSX!AD28:AD106)</f>
        <v>0</v>
      </c>
      <c r="AL53" s="540">
        <f ca="1">SUMIF(CPSX!$D$28:$W$106,'FORM OH'!$I$53,CPSX!AE28:AE106)</f>
        <v>0</v>
      </c>
      <c r="AM53" s="540">
        <f ca="1">SUMIF(CPSX!$D$28:$W$106,'FORM OH'!$I$53,CPSX!AF28:AF106)</f>
        <v>0</v>
      </c>
      <c r="AN53" s="540">
        <f ca="1">SUMIF(CPSX!$D$28:$W$106,'FORM OH'!$I$53,CPSX!AG28:AG106)</f>
        <v>0</v>
      </c>
      <c r="AO53" s="540">
        <f ca="1">SUMIF(CPSX!$D$28:$W$106,'FORM OH'!$I$53,CPSX!AH28:AH106)</f>
        <v>0</v>
      </c>
      <c r="AP53" s="540">
        <f ca="1">SUMIF(CPSX!$D$28:$W$106,'FORM OH'!$I$53,CPSX!AI28:AI106)</f>
        <v>0</v>
      </c>
      <c r="AQ53" s="540">
        <f ca="1">SUMIF(CPSX!$D$28:$W$106,'FORM OH'!$I$53,CPSX!AJ28:AJ106)</f>
        <v>0</v>
      </c>
      <c r="AR53" s="1284">
        <f t="shared" ca="1" si="14"/>
        <v>0</v>
      </c>
      <c r="AS53" s="1284">
        <f t="shared" ca="1" si="2"/>
        <v>0</v>
      </c>
      <c r="AT53" s="1297">
        <f t="shared" ca="1" si="3"/>
        <v>0</v>
      </c>
    </row>
    <row r="54" spans="1:46" s="539" customFormat="1" ht="16.399999999999999" customHeight="1" outlineLevel="1" x14ac:dyDescent="0.35">
      <c r="A54" s="534" t="s">
        <v>782</v>
      </c>
      <c r="B54" s="534" t="s">
        <v>783</v>
      </c>
      <c r="C54" s="535" t="s">
        <v>150</v>
      </c>
      <c r="D54" s="536" t="s">
        <v>817</v>
      </c>
      <c r="E54" s="536" t="s">
        <v>818</v>
      </c>
      <c r="F54" s="536" t="s">
        <v>927</v>
      </c>
      <c r="G54" s="536" t="s">
        <v>820</v>
      </c>
      <c r="H54" s="536" t="s">
        <v>469</v>
      </c>
      <c r="I54" s="535" t="s">
        <v>931</v>
      </c>
      <c r="J54" s="536" t="s">
        <v>602</v>
      </c>
      <c r="K54" s="536" t="s">
        <v>579</v>
      </c>
      <c r="L54" s="535" t="s">
        <v>930</v>
      </c>
      <c r="M54" s="536" t="s">
        <v>469</v>
      </c>
      <c r="N54" s="536"/>
      <c r="O54" s="535"/>
      <c r="P54" s="536"/>
      <c r="Q54" s="536"/>
      <c r="R54" s="540">
        <f ca="1">SUMIF(CPSX!$D$28:$W$106,'FORM OH'!$I$54,CPSX!K28:K106)</f>
        <v>114057333.23333335</v>
      </c>
      <c r="S54" s="540">
        <f ca="1">SUMIF(CPSX!$D$28:$W$106,'FORM OH'!$I$54,CPSX!L28:L106)</f>
        <v>113214710.33333334</v>
      </c>
      <c r="T54" s="540">
        <f ca="1">SUMIF(CPSX!$D$28:$W$106,'FORM OH'!$I$54,CPSX!M28:M106)</f>
        <v>111970760.63333334</v>
      </c>
      <c r="U54" s="540">
        <f ca="1">SUMIF(CPSX!$D$28:$W$106,'FORM OH'!$I$54,CPSX!N28:N106)</f>
        <v>115290482.63333334</v>
      </c>
      <c r="V54" s="540">
        <f ca="1">SUMIF(CPSX!$D$28:$W$106,'FORM OH'!$I$54,CPSX!O28:O106)</f>
        <v>109319780.33333334</v>
      </c>
      <c r="W54" s="540">
        <f ca="1">SUMIF(CPSX!$D$28:$W$106,'FORM OH'!$I$54,CPSX!P28:P106)</f>
        <v>117179552.43333334</v>
      </c>
      <c r="X54" s="540">
        <f ca="1">SUMIF(CPSX!$D$28:$W$106,'FORM OH'!$I$54,CPSX!Q28:Q106)</f>
        <v>111403170.63333334</v>
      </c>
      <c r="Y54" s="540">
        <f ca="1">SUMIF(CPSX!$D$28:$W$106,'FORM OH'!$I$54,CPSX!R28:R106)</f>
        <v>113001548.88333334</v>
      </c>
      <c r="Z54" s="540">
        <f ca="1">SUMIF(CPSX!$D$28:$W$106,'FORM OH'!$I$54,CPSX!S28:S106)</f>
        <v>109394094.33333334</v>
      </c>
      <c r="AA54" s="540">
        <f ca="1">SUMIF(CPSX!$D$28:$W$106,'FORM OH'!$I$54,CPSX!T28:T106)</f>
        <v>110493171.33333334</v>
      </c>
      <c r="AB54" s="540">
        <f ca="1">SUMIF(CPSX!$D$28:$W$106,'FORM OH'!$I$54,CPSX!U28:U106)</f>
        <v>108778170.63333334</v>
      </c>
      <c r="AC54" s="540">
        <f ca="1">SUMIF(CPSX!$D$28:$W$106,'FORM OH'!$I$54,CPSX!V28:V106)</f>
        <v>116515217.43333334</v>
      </c>
      <c r="AD54" s="540">
        <f t="shared" ca="1" si="13"/>
        <v>1350617992.8500004</v>
      </c>
      <c r="AE54" s="533"/>
      <c r="AF54" s="540">
        <f ca="1">SUMIF(CPSX!$D$28:$W$106,'FORM OH'!$I$54,CPSX!Y28:Y106)</f>
        <v>56197562.115368128</v>
      </c>
      <c r="AG54" s="540">
        <f ca="1">SUMIF(CPSX!$D$28:$W$106,'FORM OH'!$I$54,CPSX!Z28:Z106)</f>
        <v>57421483.924892187</v>
      </c>
      <c r="AH54" s="540">
        <f ca="1">SUMIF(CPSX!$D$28:$W$106,'FORM OH'!$I$54,CPSX!AA28:AA106)</f>
        <v>60305673.9010818</v>
      </c>
      <c r="AI54" s="540">
        <f ca="1">SUMIF(CPSX!$D$28:$W$106,'FORM OH'!$I$54,CPSX!AB28:AB106)</f>
        <v>80082185.067748785</v>
      </c>
      <c r="AJ54" s="540">
        <f ca="1">SUMIF(CPSX!$D$28:$W$106,'FORM OH'!$I$54,CPSX!AC28:AC106)</f>
        <v>84664859.758225203</v>
      </c>
      <c r="AK54" s="540">
        <f ca="1">SUMIF(CPSX!$D$28:$W$106,'FORM OH'!$I$54,CPSX!AD28:AD106)</f>
        <v>117216188.09155822</v>
      </c>
      <c r="AL54" s="540">
        <f ca="1">SUMIF(CPSX!$D$28:$W$106,'FORM OH'!$I$54,CPSX!AE28:AE106)</f>
        <v>112819116.4010818</v>
      </c>
      <c r="AM54" s="540">
        <f ca="1">SUMIF(CPSX!$D$28:$W$106,'FORM OH'!$I$54,CPSX!AF28:AF106)</f>
        <v>79952320.564347029</v>
      </c>
      <c r="AN54" s="540">
        <f ca="1">SUMIF(CPSX!$D$28:$W$106,'FORM OH'!$I$54,CPSX!AG28:AG106)</f>
        <v>96868505.14541316</v>
      </c>
      <c r="AO54" s="540">
        <f ca="1">SUMIF(CPSX!$D$28:$W$106,'FORM OH'!$I$54,CPSX!AH28:AH106)</f>
        <v>80588821</v>
      </c>
      <c r="AP54" s="540">
        <f ca="1">SUMIF(CPSX!$D$28:$W$106,'FORM OH'!$I$54,CPSX!AI28:AI106)</f>
        <v>76446975</v>
      </c>
      <c r="AQ54" s="540">
        <f ca="1">SUMIF(CPSX!$D$28:$W$106,'FORM OH'!$I$54,CPSX!AJ28:AJ106)</f>
        <v>55585172</v>
      </c>
      <c r="AR54" s="1284">
        <f t="shared" ca="1" si="14"/>
        <v>958148862.96971631</v>
      </c>
      <c r="AS54" s="1284">
        <f t="shared" ca="1" si="2"/>
        <v>392469129.88028407</v>
      </c>
      <c r="AT54" s="1297">
        <f t="shared" ca="1" si="3"/>
        <v>0.40961185161129665</v>
      </c>
    </row>
    <row r="55" spans="1:46" s="539" customFormat="1" ht="16.399999999999999" customHeight="1" outlineLevel="1" x14ac:dyDescent="0.35">
      <c r="A55" s="534" t="s">
        <v>782</v>
      </c>
      <c r="B55" s="534" t="s">
        <v>783</v>
      </c>
      <c r="C55" s="535" t="s">
        <v>150</v>
      </c>
      <c r="D55" s="536" t="s">
        <v>817</v>
      </c>
      <c r="E55" s="536" t="s">
        <v>818</v>
      </c>
      <c r="F55" s="536" t="s">
        <v>927</v>
      </c>
      <c r="G55" s="536" t="s">
        <v>820</v>
      </c>
      <c r="H55" s="536" t="s">
        <v>469</v>
      </c>
      <c r="I55" s="535" t="s">
        <v>932</v>
      </c>
      <c r="J55" s="536" t="s">
        <v>603</v>
      </c>
      <c r="K55" s="536" t="s">
        <v>579</v>
      </c>
      <c r="L55" s="535" t="s">
        <v>930</v>
      </c>
      <c r="M55" s="536" t="s">
        <v>469</v>
      </c>
      <c r="N55" s="536"/>
      <c r="O55" s="535"/>
      <c r="P55" s="536"/>
      <c r="Q55" s="536"/>
      <c r="R55" s="540">
        <f ca="1">SUMIF(CPSX!$D$28:$W$106,'FORM OH'!$I$55,CPSX!K28:K106)</f>
        <v>966591</v>
      </c>
      <c r="S55" s="540">
        <f ca="1">SUMIF(CPSX!$D$28:$W$106,'FORM OH'!$I$55,CPSX!L28:L106)</f>
        <v>966591</v>
      </c>
      <c r="T55" s="540">
        <f ca="1">SUMIF(CPSX!$D$28:$W$106,'FORM OH'!$I$55,CPSX!M28:M106)</f>
        <v>966591</v>
      </c>
      <c r="U55" s="540">
        <f ca="1">SUMIF(CPSX!$D$28:$W$106,'FORM OH'!$I$55,CPSX!N28:N106)</f>
        <v>966591</v>
      </c>
      <c r="V55" s="540">
        <f ca="1">SUMIF(CPSX!$D$28:$W$106,'FORM OH'!$I$55,CPSX!O28:O106)</f>
        <v>966591</v>
      </c>
      <c r="W55" s="540">
        <f ca="1">SUMIF(CPSX!$D$28:$W$106,'FORM OH'!$I$55,CPSX!P28:P106)</f>
        <v>966591</v>
      </c>
      <c r="X55" s="540">
        <f ca="1">SUMIF(CPSX!$D$28:$W$106,'FORM OH'!$I$55,CPSX!Q28:Q106)</f>
        <v>966591</v>
      </c>
      <c r="Y55" s="540">
        <f ca="1">SUMIF(CPSX!$D$28:$W$106,'FORM OH'!$I$55,CPSX!R28:R106)</f>
        <v>966591</v>
      </c>
      <c r="Z55" s="540">
        <f ca="1">SUMIF(CPSX!$D$28:$W$106,'FORM OH'!$I$55,CPSX!S28:S106)</f>
        <v>966591</v>
      </c>
      <c r="AA55" s="540">
        <f ca="1">SUMIF(CPSX!$D$28:$W$106,'FORM OH'!$I$55,CPSX!T28:T106)</f>
        <v>966591</v>
      </c>
      <c r="AB55" s="540">
        <f ca="1">SUMIF(CPSX!$D$28:$W$106,'FORM OH'!$I$55,CPSX!U28:U106)</f>
        <v>966591</v>
      </c>
      <c r="AC55" s="540">
        <f ca="1">SUMIF(CPSX!$D$28:$W$106,'FORM OH'!$I$55,CPSX!V28:V106)</f>
        <v>966591</v>
      </c>
      <c r="AD55" s="540">
        <f t="shared" ca="1" si="13"/>
        <v>11599092</v>
      </c>
      <c r="AE55" s="533"/>
      <c r="AF55" s="540">
        <f ca="1">SUMIF(CPSX!$D$28:$W$106,'FORM OH'!$I$55,CPSX!Y28:Y106)</f>
        <v>805758</v>
      </c>
      <c r="AG55" s="540">
        <f ca="1">SUMIF(CPSX!$D$28:$W$106,'FORM OH'!$I$55,CPSX!Z28:Z106)</f>
        <v>805758</v>
      </c>
      <c r="AH55" s="540">
        <f ca="1">SUMIF(CPSX!$D$28:$W$106,'FORM OH'!$I$55,CPSX!AA28:AA106)</f>
        <v>805758</v>
      </c>
      <c r="AI55" s="540">
        <f ca="1">SUMIF(CPSX!$D$28:$W$106,'FORM OH'!$I$55,CPSX!AB28:AB106)</f>
        <v>966591</v>
      </c>
      <c r="AJ55" s="540">
        <f ca="1">SUMIF(CPSX!$D$28:$W$106,'FORM OH'!$I$55,CPSX!AC28:AC106)</f>
        <v>966591</v>
      </c>
      <c r="AK55" s="540">
        <f ca="1">SUMIF(CPSX!$D$28:$W$106,'FORM OH'!$I$55,CPSX!AD28:AD106)</f>
        <v>966591</v>
      </c>
      <c r="AL55" s="540">
        <f ca="1">SUMIF(CPSX!$D$28:$W$106,'FORM OH'!$I$55,CPSX!AE28:AE106)</f>
        <v>966591</v>
      </c>
      <c r="AM55" s="540">
        <f ca="1">SUMIF(CPSX!$D$28:$W$106,'FORM OH'!$I$55,CPSX!AF28:AF106)</f>
        <v>966591</v>
      </c>
      <c r="AN55" s="540">
        <f ca="1">SUMIF(CPSX!$D$28:$W$106,'FORM OH'!$I$55,CPSX!AG28:AG106)</f>
        <v>966591</v>
      </c>
      <c r="AO55" s="540">
        <f ca="1">SUMIF(CPSX!$D$28:$W$106,'FORM OH'!$I$55,CPSX!AH28:AH106)</f>
        <v>966591</v>
      </c>
      <c r="AP55" s="540">
        <f ca="1">SUMIF(CPSX!$D$28:$W$106,'FORM OH'!$I$55,CPSX!AI28:AI106)</f>
        <v>966591</v>
      </c>
      <c r="AQ55" s="540">
        <f ca="1">SUMIF(CPSX!$D$28:$W$106,'FORM OH'!$I$55,CPSX!AJ28:AJ106)</f>
        <v>966591</v>
      </c>
      <c r="AR55" s="1284">
        <f t="shared" ca="1" si="14"/>
        <v>11116593</v>
      </c>
      <c r="AS55" s="1284">
        <f t="shared" ca="1" si="2"/>
        <v>482499</v>
      </c>
      <c r="AT55" s="1297">
        <f t="shared" ca="1" si="3"/>
        <v>4.3403496017170008E-2</v>
      </c>
    </row>
    <row r="56" spans="1:46" s="539" customFormat="1" ht="16.399999999999999" customHeight="1" outlineLevel="1" x14ac:dyDescent="0.35">
      <c r="A56" s="534" t="s">
        <v>782</v>
      </c>
      <c r="B56" s="534" t="s">
        <v>783</v>
      </c>
      <c r="C56" s="535" t="s">
        <v>150</v>
      </c>
      <c r="D56" s="536" t="s">
        <v>817</v>
      </c>
      <c r="E56" s="536" t="s">
        <v>818</v>
      </c>
      <c r="F56" s="536" t="s">
        <v>933</v>
      </c>
      <c r="G56" s="536" t="s">
        <v>820</v>
      </c>
      <c r="H56" s="536" t="s">
        <v>934</v>
      </c>
      <c r="I56" s="535" t="s">
        <v>935</v>
      </c>
      <c r="J56" s="536" t="s">
        <v>434</v>
      </c>
      <c r="K56" s="536" t="s">
        <v>590</v>
      </c>
      <c r="L56" s="535" t="s">
        <v>936</v>
      </c>
      <c r="M56" s="536" t="s">
        <v>937</v>
      </c>
      <c r="N56" s="536"/>
      <c r="O56" s="535"/>
      <c r="P56" s="536"/>
      <c r="Q56" s="536"/>
      <c r="R56" s="540">
        <f ca="1">SUMIF(CPSX!$D$28:$W$106,'FORM OH'!$I$56,CPSX!K28:K106)</f>
        <v>0</v>
      </c>
      <c r="S56" s="540">
        <f ca="1">SUMIF(CPSX!$D$28:$W$106,'FORM OH'!$I$56,CPSX!L28:L106)</f>
        <v>0</v>
      </c>
      <c r="T56" s="540">
        <f ca="1">SUMIF(CPSX!$D$28:$W$106,'FORM OH'!$I$56,CPSX!M28:M106)</f>
        <v>0</v>
      </c>
      <c r="U56" s="540">
        <f ca="1">SUMIF(CPSX!$D$28:$W$106,'FORM OH'!$I$56,CPSX!N28:N106)</f>
        <v>0</v>
      </c>
      <c r="V56" s="540">
        <f ca="1">SUMIF(CPSX!$D$28:$W$106,'FORM OH'!$I$56,CPSX!O28:O106)</f>
        <v>0</v>
      </c>
      <c r="W56" s="540">
        <f ca="1">SUMIF(CPSX!$D$28:$W$106,'FORM OH'!$I$56,CPSX!P28:P106)</f>
        <v>0</v>
      </c>
      <c r="X56" s="540">
        <f ca="1">SUMIF(CPSX!$D$28:$W$106,'FORM OH'!$I$56,CPSX!Q28:Q106)</f>
        <v>0</v>
      </c>
      <c r="Y56" s="540">
        <f ca="1">SUMIF(CPSX!$D$28:$W$106,'FORM OH'!$I$56,CPSX!R28:R106)</f>
        <v>0</v>
      </c>
      <c r="Z56" s="540">
        <f ca="1">SUMIF(CPSX!$D$28:$W$106,'FORM OH'!$I$56,CPSX!S28:S106)</f>
        <v>0</v>
      </c>
      <c r="AA56" s="540">
        <f ca="1">SUMIF(CPSX!$D$28:$W$106,'FORM OH'!$I$56,CPSX!T28:T106)</f>
        <v>0</v>
      </c>
      <c r="AB56" s="540">
        <f ca="1">SUMIF(CPSX!$D$28:$W$106,'FORM OH'!$I$56,CPSX!U28:U106)</f>
        <v>0</v>
      </c>
      <c r="AC56" s="540">
        <f ca="1">SUMIF(CPSX!$D$28:$W$106,'FORM OH'!$I$56,CPSX!V28:V106)</f>
        <v>0</v>
      </c>
      <c r="AD56" s="540">
        <f t="shared" ca="1" si="13"/>
        <v>0</v>
      </c>
      <c r="AE56" s="533"/>
      <c r="AF56" s="540">
        <f ca="1">SUMIF(CPSX!$D$28:$W$106,'FORM OH'!$I$56,CPSX!Y28:Y106)</f>
        <v>0</v>
      </c>
      <c r="AG56" s="540">
        <f ca="1">SUMIF(CPSX!$D$28:$W$106,'FORM OH'!$I$56,CPSX!Z28:Z106)</f>
        <v>0</v>
      </c>
      <c r="AH56" s="540">
        <f ca="1">SUMIF(CPSX!$D$28:$W$106,'FORM OH'!$I$56,CPSX!AA28:AA106)</f>
        <v>0</v>
      </c>
      <c r="AI56" s="540">
        <f ca="1">SUMIF(CPSX!$D$28:$W$106,'FORM OH'!$I$56,CPSX!AB28:AB106)</f>
        <v>0</v>
      </c>
      <c r="AJ56" s="540">
        <f ca="1">SUMIF(CPSX!$D$28:$W$106,'FORM OH'!$I$56,CPSX!AC28:AC106)</f>
        <v>0</v>
      </c>
      <c r="AK56" s="540">
        <f ca="1">SUMIF(CPSX!$D$28:$W$106,'FORM OH'!$I$56,CPSX!AD28:AD106)</f>
        <v>0</v>
      </c>
      <c r="AL56" s="540">
        <f ca="1">SUMIF(CPSX!$D$28:$W$106,'FORM OH'!$I$56,CPSX!AE28:AE106)</f>
        <v>0</v>
      </c>
      <c r="AM56" s="540">
        <f ca="1">SUMIF(CPSX!$D$28:$W$106,'FORM OH'!$I$56,CPSX!AF28:AF106)</f>
        <v>0</v>
      </c>
      <c r="AN56" s="540">
        <f ca="1">SUMIF(CPSX!$D$28:$W$106,'FORM OH'!$I$56,CPSX!AG28:AG106)</f>
        <v>0</v>
      </c>
      <c r="AO56" s="540">
        <f ca="1">SUMIF(CPSX!$D$28:$W$106,'FORM OH'!$I$56,CPSX!AH28:AH106)</f>
        <v>0</v>
      </c>
      <c r="AP56" s="540">
        <f ca="1">SUMIF(CPSX!$D$28:$W$106,'FORM OH'!$I$56,CPSX!AI28:AI106)</f>
        <v>0</v>
      </c>
      <c r="AQ56" s="540">
        <f ca="1">SUMIF(CPSX!$D$28:$W$106,'FORM OH'!$I$56,CPSX!AJ28:AJ106)</f>
        <v>0</v>
      </c>
      <c r="AR56" s="1284">
        <f t="shared" ca="1" si="14"/>
        <v>0</v>
      </c>
      <c r="AS56" s="1284">
        <f t="shared" ca="1" si="2"/>
        <v>0</v>
      </c>
      <c r="AT56" s="1297">
        <f t="shared" ca="1" si="3"/>
        <v>0</v>
      </c>
    </row>
    <row r="57" spans="1:46" s="539" customFormat="1" ht="16.399999999999999" customHeight="1" outlineLevel="1" x14ac:dyDescent="0.35">
      <c r="A57" s="534" t="s">
        <v>782</v>
      </c>
      <c r="B57" s="534" t="s">
        <v>783</v>
      </c>
      <c r="C57" s="535" t="s">
        <v>150</v>
      </c>
      <c r="D57" s="536" t="s">
        <v>817</v>
      </c>
      <c r="E57" s="536" t="s">
        <v>818</v>
      </c>
      <c r="F57" s="536" t="s">
        <v>938</v>
      </c>
      <c r="G57" s="536" t="s">
        <v>820</v>
      </c>
      <c r="H57" s="536" t="s">
        <v>939</v>
      </c>
      <c r="I57" s="535" t="s">
        <v>940</v>
      </c>
      <c r="J57" s="536" t="s">
        <v>941</v>
      </c>
      <c r="K57" s="536" t="s">
        <v>580</v>
      </c>
      <c r="L57" s="535" t="s">
        <v>942</v>
      </c>
      <c r="M57" s="536" t="s">
        <v>943</v>
      </c>
      <c r="N57" s="536"/>
      <c r="O57" s="535"/>
      <c r="P57" s="536"/>
      <c r="Q57" s="536"/>
      <c r="R57" s="540">
        <f ca="1">SUMIF(CPSX!$D$28:$W$106,'FORM OH'!$I$57,CPSX!K28:K106)</f>
        <v>0</v>
      </c>
      <c r="S57" s="540">
        <f ca="1">SUMIF(CPSX!$D$28:$W$106,'FORM OH'!$I$57,CPSX!L28:L106)</f>
        <v>0</v>
      </c>
      <c r="T57" s="540">
        <f ca="1">SUMIF(CPSX!$D$28:$W$106,'FORM OH'!$I$57,CPSX!M28:M106)</f>
        <v>0</v>
      </c>
      <c r="U57" s="540">
        <f ca="1">SUMIF(CPSX!$D$28:$W$106,'FORM OH'!$I$57,CPSX!N28:N106)</f>
        <v>0</v>
      </c>
      <c r="V57" s="540">
        <f ca="1">SUMIF(CPSX!$D$28:$W$106,'FORM OH'!$I$57,CPSX!O28:O106)</f>
        <v>0</v>
      </c>
      <c r="W57" s="540">
        <f ca="1">SUMIF(CPSX!$D$28:$W$106,'FORM OH'!$I$57,CPSX!P28:P106)</f>
        <v>0</v>
      </c>
      <c r="X57" s="540">
        <f ca="1">SUMIF(CPSX!$D$28:$W$106,'FORM OH'!$I$57,CPSX!Q28:Q106)</f>
        <v>0</v>
      </c>
      <c r="Y57" s="540">
        <f ca="1">SUMIF(CPSX!$D$28:$W$106,'FORM OH'!$I$57,CPSX!R28:R106)</f>
        <v>0</v>
      </c>
      <c r="Z57" s="540">
        <f ca="1">SUMIF(CPSX!$D$28:$W$106,'FORM OH'!$I$57,CPSX!S28:S106)</f>
        <v>0</v>
      </c>
      <c r="AA57" s="540">
        <f ca="1">SUMIF(CPSX!$D$28:$W$106,'FORM OH'!$I$57,CPSX!T28:T106)</f>
        <v>0</v>
      </c>
      <c r="AB57" s="540">
        <f ca="1">SUMIF(CPSX!$D$28:$W$106,'FORM OH'!$I$57,CPSX!U28:U106)</f>
        <v>0</v>
      </c>
      <c r="AC57" s="540">
        <f ca="1">SUMIF(CPSX!$D$28:$W$106,'FORM OH'!$I$57,CPSX!V28:V106)</f>
        <v>0</v>
      </c>
      <c r="AD57" s="540">
        <f t="shared" ca="1" si="13"/>
        <v>0</v>
      </c>
      <c r="AE57" s="533"/>
      <c r="AF57" s="540">
        <f ca="1">SUMIF(CPSX!$D$28:$W$106,'FORM OH'!$I$57,CPSX!Y28:Y106)</f>
        <v>0</v>
      </c>
      <c r="AG57" s="540">
        <f ca="1">SUMIF(CPSX!$D$28:$W$106,'FORM OH'!$I$57,CPSX!Z28:Z106)</f>
        <v>0</v>
      </c>
      <c r="AH57" s="540">
        <f ca="1">SUMIF(CPSX!$D$28:$W$106,'FORM OH'!$I$57,CPSX!AA28:AA106)</f>
        <v>0</v>
      </c>
      <c r="AI57" s="540">
        <f ca="1">SUMIF(CPSX!$D$28:$W$106,'FORM OH'!$I$57,CPSX!AB28:AB106)</f>
        <v>0</v>
      </c>
      <c r="AJ57" s="540">
        <f ca="1">SUMIF(CPSX!$D$28:$W$106,'FORM OH'!$I$57,CPSX!AC28:AC106)</f>
        <v>0</v>
      </c>
      <c r="AK57" s="540">
        <f ca="1">SUMIF(CPSX!$D$28:$W$106,'FORM OH'!$I$57,CPSX!AD28:AD106)</f>
        <v>0</v>
      </c>
      <c r="AL57" s="540">
        <f ca="1">SUMIF(CPSX!$D$28:$W$106,'FORM OH'!$I$57,CPSX!AE28:AE106)</f>
        <v>0</v>
      </c>
      <c r="AM57" s="540">
        <f ca="1">SUMIF(CPSX!$D$28:$W$106,'FORM OH'!$I$57,CPSX!AF28:AF106)</f>
        <v>0</v>
      </c>
      <c r="AN57" s="540">
        <f ca="1">SUMIF(CPSX!$D$28:$W$106,'FORM OH'!$I$57,CPSX!AG28:AG106)</f>
        <v>0</v>
      </c>
      <c r="AO57" s="540">
        <f ca="1">SUMIF(CPSX!$D$28:$W$106,'FORM OH'!$I$57,CPSX!AH28:AH106)</f>
        <v>0</v>
      </c>
      <c r="AP57" s="540">
        <f ca="1">SUMIF(CPSX!$D$28:$W$106,'FORM OH'!$I$57,CPSX!AI28:AI106)</f>
        <v>0</v>
      </c>
      <c r="AQ57" s="540">
        <f ca="1">SUMIF(CPSX!$D$28:$W$106,'FORM OH'!$I$57,CPSX!AJ28:AJ106)</f>
        <v>0</v>
      </c>
      <c r="AR57" s="1284">
        <f t="shared" ca="1" si="14"/>
        <v>0</v>
      </c>
      <c r="AS57" s="1284">
        <f t="shared" ca="1" si="2"/>
        <v>0</v>
      </c>
      <c r="AT57" s="1297">
        <f t="shared" ca="1" si="3"/>
        <v>0</v>
      </c>
    </row>
    <row r="58" spans="1:46" s="539" customFormat="1" ht="16.399999999999999" customHeight="1" outlineLevel="1" x14ac:dyDescent="0.35">
      <c r="A58" s="534" t="s">
        <v>782</v>
      </c>
      <c r="B58" s="534" t="s">
        <v>783</v>
      </c>
      <c r="C58" s="535" t="s">
        <v>150</v>
      </c>
      <c r="D58" s="536" t="s">
        <v>817</v>
      </c>
      <c r="E58" s="536" t="s">
        <v>818</v>
      </c>
      <c r="F58" s="536" t="s">
        <v>938</v>
      </c>
      <c r="G58" s="536" t="s">
        <v>820</v>
      </c>
      <c r="H58" s="536" t="s">
        <v>939</v>
      </c>
      <c r="I58" s="535" t="s">
        <v>944</v>
      </c>
      <c r="J58" s="536" t="s">
        <v>941</v>
      </c>
      <c r="K58" s="536" t="s">
        <v>579</v>
      </c>
      <c r="L58" s="535" t="s">
        <v>942</v>
      </c>
      <c r="M58" s="536" t="s">
        <v>943</v>
      </c>
      <c r="N58" s="536"/>
      <c r="O58" s="535"/>
      <c r="P58" s="536"/>
      <c r="Q58" s="536"/>
      <c r="R58" s="540">
        <f ca="1">SUMIF(CPSX!$D$28:$W$106,'FORM OH'!$I$58,CPSX!K28:K106)</f>
        <v>0</v>
      </c>
      <c r="S58" s="540">
        <f ca="1">SUMIF(CPSX!$D$28:$W$106,'FORM OH'!$I$58,CPSX!L28:L106)</f>
        <v>0</v>
      </c>
      <c r="T58" s="540">
        <f ca="1">SUMIF(CPSX!$D$28:$W$106,'FORM OH'!$I$58,CPSX!M28:M106)</f>
        <v>0</v>
      </c>
      <c r="U58" s="540">
        <f ca="1">SUMIF(CPSX!$D$28:$W$106,'FORM OH'!$I$58,CPSX!N28:N106)</f>
        <v>0</v>
      </c>
      <c r="V58" s="540">
        <f ca="1">SUMIF(CPSX!$D$28:$W$106,'FORM OH'!$I$58,CPSX!O28:O106)</f>
        <v>0</v>
      </c>
      <c r="W58" s="540">
        <f ca="1">SUMIF(CPSX!$D$28:$W$106,'FORM OH'!$I$58,CPSX!P28:P106)</f>
        <v>0</v>
      </c>
      <c r="X58" s="540">
        <f ca="1">SUMIF(CPSX!$D$28:$W$106,'FORM OH'!$I$58,CPSX!Q28:Q106)</f>
        <v>0</v>
      </c>
      <c r="Y58" s="540">
        <f ca="1">SUMIF(CPSX!$D$28:$W$106,'FORM OH'!$I$58,CPSX!R28:R106)</f>
        <v>0</v>
      </c>
      <c r="Z58" s="540">
        <f ca="1">SUMIF(CPSX!$D$28:$W$106,'FORM OH'!$I$58,CPSX!S28:S106)</f>
        <v>0</v>
      </c>
      <c r="AA58" s="540">
        <f ca="1">SUMIF(CPSX!$D$28:$W$106,'FORM OH'!$I$58,CPSX!T28:T106)</f>
        <v>0</v>
      </c>
      <c r="AB58" s="540">
        <f ca="1">SUMIF(CPSX!$D$28:$W$106,'FORM OH'!$I$58,CPSX!U28:U106)</f>
        <v>0</v>
      </c>
      <c r="AC58" s="540">
        <f ca="1">SUMIF(CPSX!$D$28:$W$106,'FORM OH'!$I$58,CPSX!V28:V106)</f>
        <v>0</v>
      </c>
      <c r="AD58" s="540">
        <f t="shared" ca="1" si="13"/>
        <v>0</v>
      </c>
      <c r="AE58" s="533"/>
      <c r="AF58" s="540">
        <f ca="1">SUMIF(CPSX!$D$28:$W$106,'FORM OH'!$I$58,CPSX!Y28:Y106)</f>
        <v>0</v>
      </c>
      <c r="AG58" s="540">
        <f ca="1">SUMIF(CPSX!$D$28:$W$106,'FORM OH'!$I$58,CPSX!Z28:Z106)</f>
        <v>0</v>
      </c>
      <c r="AH58" s="540">
        <f ca="1">SUMIF(CPSX!$D$28:$W$106,'FORM OH'!$I$58,CPSX!AA28:AA106)</f>
        <v>0</v>
      </c>
      <c r="AI58" s="540">
        <f ca="1">SUMIF(CPSX!$D$28:$W$106,'FORM OH'!$I$58,CPSX!AB28:AB106)</f>
        <v>0</v>
      </c>
      <c r="AJ58" s="540">
        <f ca="1">SUMIF(CPSX!$D$28:$W$106,'FORM OH'!$I$58,CPSX!AC28:AC106)</f>
        <v>0</v>
      </c>
      <c r="AK58" s="540">
        <f ca="1">SUMIF(CPSX!$D$28:$W$106,'FORM OH'!$I$58,CPSX!AD28:AD106)</f>
        <v>0</v>
      </c>
      <c r="AL58" s="540">
        <f ca="1">SUMIF(CPSX!$D$28:$W$106,'FORM OH'!$I$58,CPSX!AE28:AE106)</f>
        <v>0</v>
      </c>
      <c r="AM58" s="540">
        <f ca="1">SUMIF(CPSX!$D$28:$W$106,'FORM OH'!$I$58,CPSX!AF28:AF106)</f>
        <v>0</v>
      </c>
      <c r="AN58" s="540">
        <f ca="1">SUMIF(CPSX!$D$28:$W$106,'FORM OH'!$I$58,CPSX!AG28:AG106)</f>
        <v>0</v>
      </c>
      <c r="AO58" s="540">
        <f ca="1">SUMIF(CPSX!$D$28:$W$106,'FORM OH'!$I$58,CPSX!AH28:AH106)</f>
        <v>0</v>
      </c>
      <c r="AP58" s="540">
        <f ca="1">SUMIF(CPSX!$D$28:$W$106,'FORM OH'!$I$58,CPSX!AI28:AI106)</f>
        <v>0</v>
      </c>
      <c r="AQ58" s="540">
        <f ca="1">SUMIF(CPSX!$D$28:$W$106,'FORM OH'!$I$58,CPSX!AJ28:AJ106)</f>
        <v>0</v>
      </c>
      <c r="AR58" s="1284">
        <f t="shared" ca="1" si="14"/>
        <v>0</v>
      </c>
      <c r="AS58" s="1284">
        <f t="shared" ca="1" si="2"/>
        <v>0</v>
      </c>
      <c r="AT58" s="1297">
        <f t="shared" ca="1" si="3"/>
        <v>0</v>
      </c>
    </row>
    <row r="59" spans="1:46" s="539" customFormat="1" ht="16.399999999999999" customHeight="1" outlineLevel="1" x14ac:dyDescent="0.35">
      <c r="A59" s="534" t="s">
        <v>782</v>
      </c>
      <c r="B59" s="534" t="s">
        <v>783</v>
      </c>
      <c r="C59" s="535" t="s">
        <v>150</v>
      </c>
      <c r="D59" s="536" t="s">
        <v>817</v>
      </c>
      <c r="E59" s="536" t="s">
        <v>818</v>
      </c>
      <c r="F59" s="536" t="s">
        <v>938</v>
      </c>
      <c r="G59" s="536" t="s">
        <v>820</v>
      </c>
      <c r="H59" s="536" t="s">
        <v>939</v>
      </c>
      <c r="I59" s="535" t="s">
        <v>945</v>
      </c>
      <c r="J59" s="536" t="s">
        <v>946</v>
      </c>
      <c r="K59" s="536" t="s">
        <v>580</v>
      </c>
      <c r="L59" s="535" t="s">
        <v>947</v>
      </c>
      <c r="M59" s="536" t="s">
        <v>948</v>
      </c>
      <c r="N59" s="536"/>
      <c r="O59" s="535"/>
      <c r="P59" s="536"/>
      <c r="Q59" s="536"/>
      <c r="R59" s="540">
        <f ca="1">SUMIF(CPSX!$D$28:$W$106,'FORM OH'!$I$59,CPSX!K28:K106)</f>
        <v>0</v>
      </c>
      <c r="S59" s="540">
        <f ca="1">SUMIF(CPSX!$D$28:$W$106,'FORM OH'!$I$59,CPSX!L28:L106)</f>
        <v>0</v>
      </c>
      <c r="T59" s="540">
        <f ca="1">SUMIF(CPSX!$D$28:$W$106,'FORM OH'!$I$59,CPSX!M28:M106)</f>
        <v>0</v>
      </c>
      <c r="U59" s="540">
        <f ca="1">SUMIF(CPSX!$D$28:$W$106,'FORM OH'!$I$59,CPSX!N28:N106)</f>
        <v>0</v>
      </c>
      <c r="V59" s="540">
        <f ca="1">SUMIF(CPSX!$D$28:$W$106,'FORM OH'!$I$59,CPSX!O28:O106)</f>
        <v>0</v>
      </c>
      <c r="W59" s="540">
        <f ca="1">SUMIF(CPSX!$D$28:$W$106,'FORM OH'!$I$59,CPSX!P28:P106)</f>
        <v>0</v>
      </c>
      <c r="X59" s="540">
        <f ca="1">SUMIF(CPSX!$D$28:$W$106,'FORM OH'!$I$59,CPSX!Q28:Q106)</f>
        <v>0</v>
      </c>
      <c r="Y59" s="540">
        <f ca="1">SUMIF(CPSX!$D$28:$W$106,'FORM OH'!$I$59,CPSX!R28:R106)</f>
        <v>0</v>
      </c>
      <c r="Z59" s="540">
        <f ca="1">SUMIF(CPSX!$D$28:$W$106,'FORM OH'!$I$59,CPSX!S28:S106)</f>
        <v>0</v>
      </c>
      <c r="AA59" s="540">
        <f ca="1">SUMIF(CPSX!$D$28:$W$106,'FORM OH'!$I$59,CPSX!T28:T106)</f>
        <v>0</v>
      </c>
      <c r="AB59" s="540">
        <f ca="1">SUMIF(CPSX!$D$28:$W$106,'FORM OH'!$I$59,CPSX!U28:U106)</f>
        <v>0</v>
      </c>
      <c r="AC59" s="540">
        <f ca="1">SUMIF(CPSX!$D$28:$W$106,'FORM OH'!$I$59,CPSX!V28:V106)</f>
        <v>0</v>
      </c>
      <c r="AD59" s="540">
        <f t="shared" ca="1" si="13"/>
        <v>0</v>
      </c>
      <c r="AE59" s="533"/>
      <c r="AF59" s="540">
        <f ca="1">SUMIF(CPSX!$D$28:$W$106,'FORM OH'!$I$59,CPSX!Y28:Y106)</f>
        <v>0</v>
      </c>
      <c r="AG59" s="540">
        <f ca="1">SUMIF(CPSX!$D$28:$W$106,'FORM OH'!$I$59,CPSX!Z28:Z106)</f>
        <v>0</v>
      </c>
      <c r="AH59" s="540">
        <f ca="1">SUMIF(CPSX!$D$28:$W$106,'FORM OH'!$I$59,CPSX!AA28:AA106)</f>
        <v>0</v>
      </c>
      <c r="AI59" s="540">
        <f ca="1">SUMIF(CPSX!$D$28:$W$106,'FORM OH'!$I$59,CPSX!AB28:AB106)</f>
        <v>0</v>
      </c>
      <c r="AJ59" s="540">
        <f ca="1">SUMIF(CPSX!$D$28:$W$106,'FORM OH'!$I$59,CPSX!AC28:AC106)</f>
        <v>0</v>
      </c>
      <c r="AK59" s="540">
        <f ca="1">SUMIF(CPSX!$D$28:$W$106,'FORM OH'!$I$59,CPSX!AD28:AD106)</f>
        <v>0</v>
      </c>
      <c r="AL59" s="540">
        <f ca="1">SUMIF(CPSX!$D$28:$W$106,'FORM OH'!$I$59,CPSX!AE28:AE106)</f>
        <v>0</v>
      </c>
      <c r="AM59" s="540">
        <f ca="1">SUMIF(CPSX!$D$28:$W$106,'FORM OH'!$I$59,CPSX!AF28:AF106)</f>
        <v>0</v>
      </c>
      <c r="AN59" s="540">
        <f ca="1">SUMIF(CPSX!$D$28:$W$106,'FORM OH'!$I$59,CPSX!AG28:AG106)</f>
        <v>0</v>
      </c>
      <c r="AO59" s="540">
        <f ca="1">SUMIF(CPSX!$D$28:$W$106,'FORM OH'!$I$59,CPSX!AH28:AH106)</f>
        <v>0</v>
      </c>
      <c r="AP59" s="540">
        <f ca="1">SUMIF(CPSX!$D$28:$W$106,'FORM OH'!$I$59,CPSX!AI28:AI106)</f>
        <v>0</v>
      </c>
      <c r="AQ59" s="540">
        <f ca="1">SUMIF(CPSX!$D$28:$W$106,'FORM OH'!$I$59,CPSX!AJ28:AJ106)</f>
        <v>0</v>
      </c>
      <c r="AR59" s="1284">
        <f t="shared" ca="1" si="14"/>
        <v>0</v>
      </c>
      <c r="AS59" s="1284">
        <f t="shared" ca="1" si="2"/>
        <v>0</v>
      </c>
      <c r="AT59" s="1297">
        <f t="shared" ca="1" si="3"/>
        <v>0</v>
      </c>
    </row>
    <row r="60" spans="1:46" s="539" customFormat="1" ht="16.399999999999999" customHeight="1" outlineLevel="1" x14ac:dyDescent="0.35">
      <c r="A60" s="534" t="s">
        <v>782</v>
      </c>
      <c r="B60" s="534" t="s">
        <v>783</v>
      </c>
      <c r="C60" s="535" t="s">
        <v>150</v>
      </c>
      <c r="D60" s="536" t="s">
        <v>817</v>
      </c>
      <c r="E60" s="536" t="s">
        <v>818</v>
      </c>
      <c r="F60" s="536" t="s">
        <v>938</v>
      </c>
      <c r="G60" s="536" t="s">
        <v>820</v>
      </c>
      <c r="H60" s="536" t="s">
        <v>939</v>
      </c>
      <c r="I60" s="535" t="s">
        <v>949</v>
      </c>
      <c r="J60" s="536" t="s">
        <v>950</v>
      </c>
      <c r="K60" s="536" t="s">
        <v>579</v>
      </c>
      <c r="L60" s="535" t="s">
        <v>951</v>
      </c>
      <c r="M60" s="536" t="s">
        <v>952</v>
      </c>
      <c r="N60" s="536"/>
      <c r="O60" s="535"/>
      <c r="P60" s="536"/>
      <c r="Q60" s="536"/>
      <c r="R60" s="540">
        <f ca="1">SUMIF(CPSX!$D$28:$W$106,'FORM OH'!$I$60,CPSX!K28:K106)</f>
        <v>0</v>
      </c>
      <c r="S60" s="540">
        <f ca="1">SUMIF(CPSX!$D$28:$W$106,'FORM OH'!$I$60,CPSX!L28:L106)</f>
        <v>0</v>
      </c>
      <c r="T60" s="540">
        <f ca="1">SUMIF(CPSX!$D$28:$W$106,'FORM OH'!$I$60,CPSX!M28:M106)</f>
        <v>0</v>
      </c>
      <c r="U60" s="540">
        <f ca="1">SUMIF(CPSX!$D$28:$W$106,'FORM OH'!$I$60,CPSX!N28:N106)</f>
        <v>0</v>
      </c>
      <c r="V60" s="540">
        <f ca="1">SUMIF(CPSX!$D$28:$W$106,'FORM OH'!$I$60,CPSX!O28:O106)</f>
        <v>0</v>
      </c>
      <c r="W60" s="540">
        <f ca="1">SUMIF(CPSX!$D$28:$W$106,'FORM OH'!$I$60,CPSX!P28:P106)</f>
        <v>0</v>
      </c>
      <c r="X60" s="540">
        <f ca="1">SUMIF(CPSX!$D$28:$W$106,'FORM OH'!$I$60,CPSX!Q28:Q106)</f>
        <v>0</v>
      </c>
      <c r="Y60" s="540">
        <f ca="1">SUMIF(CPSX!$D$28:$W$106,'FORM OH'!$I$60,CPSX!R28:R106)</f>
        <v>0</v>
      </c>
      <c r="Z60" s="540">
        <f ca="1">SUMIF(CPSX!$D$28:$W$106,'FORM OH'!$I$60,CPSX!S28:S106)</f>
        <v>0</v>
      </c>
      <c r="AA60" s="540">
        <f ca="1">SUMIF(CPSX!$D$28:$W$106,'FORM OH'!$I$60,CPSX!T28:T106)</f>
        <v>0</v>
      </c>
      <c r="AB60" s="540">
        <f ca="1">SUMIF(CPSX!$D$28:$W$106,'FORM OH'!$I$60,CPSX!U28:U106)</f>
        <v>0</v>
      </c>
      <c r="AC60" s="540">
        <f ca="1">SUMIF(CPSX!$D$28:$W$106,'FORM OH'!$I$60,CPSX!V28:V106)</f>
        <v>0</v>
      </c>
      <c r="AD60" s="540">
        <f t="shared" ca="1" si="13"/>
        <v>0</v>
      </c>
      <c r="AE60" s="533"/>
      <c r="AF60" s="540">
        <f ca="1">SUMIF(CPSX!$D$28:$W$106,'FORM OH'!$I$60,CPSX!Y28:Y106)</f>
        <v>0</v>
      </c>
      <c r="AG60" s="540">
        <f ca="1">SUMIF(CPSX!$D$28:$W$106,'FORM OH'!$I$60,CPSX!Z28:Z106)</f>
        <v>0</v>
      </c>
      <c r="AH60" s="540">
        <f ca="1">SUMIF(CPSX!$D$28:$W$106,'FORM OH'!$I$60,CPSX!AA28:AA106)</f>
        <v>0</v>
      </c>
      <c r="AI60" s="540">
        <f ca="1">SUMIF(CPSX!$D$28:$W$106,'FORM OH'!$I$60,CPSX!AB28:AB106)</f>
        <v>0</v>
      </c>
      <c r="AJ60" s="540">
        <f ca="1">SUMIF(CPSX!$D$28:$W$106,'FORM OH'!$I$60,CPSX!AC28:AC106)</f>
        <v>0</v>
      </c>
      <c r="AK60" s="540">
        <f ca="1">SUMIF(CPSX!$D$28:$W$106,'FORM OH'!$I$60,CPSX!AD28:AD106)</f>
        <v>0</v>
      </c>
      <c r="AL60" s="540">
        <f ca="1">SUMIF(CPSX!$D$28:$W$106,'FORM OH'!$I$60,CPSX!AE28:AE106)</f>
        <v>0</v>
      </c>
      <c r="AM60" s="540">
        <f ca="1">SUMIF(CPSX!$D$28:$W$106,'FORM OH'!$I$60,CPSX!AF28:AF106)</f>
        <v>0</v>
      </c>
      <c r="AN60" s="540">
        <f ca="1">SUMIF(CPSX!$D$28:$W$106,'FORM OH'!$I$60,CPSX!AG28:AG106)</f>
        <v>0</v>
      </c>
      <c r="AO60" s="540">
        <f ca="1">SUMIF(CPSX!$D$28:$W$106,'FORM OH'!$I$60,CPSX!AH28:AH106)</f>
        <v>0</v>
      </c>
      <c r="AP60" s="540">
        <f ca="1">SUMIF(CPSX!$D$28:$W$106,'FORM OH'!$I$60,CPSX!AI28:AI106)</f>
        <v>0</v>
      </c>
      <c r="AQ60" s="540">
        <f ca="1">SUMIF(CPSX!$D$28:$W$106,'FORM OH'!$I$60,CPSX!AJ28:AJ106)</f>
        <v>0</v>
      </c>
      <c r="AR60" s="1284">
        <f t="shared" ca="1" si="14"/>
        <v>0</v>
      </c>
      <c r="AS60" s="1284">
        <f t="shared" ca="1" si="2"/>
        <v>0</v>
      </c>
      <c r="AT60" s="1297">
        <f t="shared" ca="1" si="3"/>
        <v>0</v>
      </c>
    </row>
    <row r="61" spans="1:46" s="539" customFormat="1" ht="16.399999999999999" customHeight="1" outlineLevel="1" x14ac:dyDescent="0.35">
      <c r="A61" s="534" t="s">
        <v>782</v>
      </c>
      <c r="B61" s="534" t="s">
        <v>783</v>
      </c>
      <c r="C61" s="535" t="s">
        <v>150</v>
      </c>
      <c r="D61" s="536" t="s">
        <v>817</v>
      </c>
      <c r="E61" s="536" t="s">
        <v>818</v>
      </c>
      <c r="F61" s="536" t="s">
        <v>938</v>
      </c>
      <c r="G61" s="536" t="s">
        <v>820</v>
      </c>
      <c r="H61" s="536" t="s">
        <v>939</v>
      </c>
      <c r="I61" s="535" t="s">
        <v>953</v>
      </c>
      <c r="J61" s="536" t="s">
        <v>954</v>
      </c>
      <c r="K61" s="536" t="s">
        <v>579</v>
      </c>
      <c r="L61" s="535" t="s">
        <v>951</v>
      </c>
      <c r="M61" s="536" t="s">
        <v>952</v>
      </c>
      <c r="N61" s="536"/>
      <c r="O61" s="535"/>
      <c r="P61" s="536"/>
      <c r="Q61" s="536"/>
      <c r="R61" s="540">
        <f ca="1">SUMIF(CPSX!$D$28:$W$106,'FORM OH'!$I$61,CPSX!K28:K106)</f>
        <v>0</v>
      </c>
      <c r="S61" s="540">
        <f ca="1">SUMIF(CPSX!$D$28:$W$106,'FORM OH'!$I$61,CPSX!L28:L106)</f>
        <v>0</v>
      </c>
      <c r="T61" s="540">
        <f ca="1">SUMIF(CPSX!$D$28:$W$106,'FORM OH'!$I$61,CPSX!M28:M106)</f>
        <v>0</v>
      </c>
      <c r="U61" s="540">
        <f ca="1">SUMIF(CPSX!$D$28:$W$106,'FORM OH'!$I$61,CPSX!N28:N106)</f>
        <v>0</v>
      </c>
      <c r="V61" s="540">
        <f ca="1">SUMIF(CPSX!$D$28:$W$106,'FORM OH'!$I$61,CPSX!O28:O106)</f>
        <v>0</v>
      </c>
      <c r="W61" s="540">
        <f ca="1">SUMIF(CPSX!$D$28:$W$106,'FORM OH'!$I$61,CPSX!P28:P106)</f>
        <v>0</v>
      </c>
      <c r="X61" s="540">
        <f ca="1">SUMIF(CPSX!$D$28:$W$106,'FORM OH'!$I$61,CPSX!Q28:Q106)</f>
        <v>0</v>
      </c>
      <c r="Y61" s="540">
        <f ca="1">SUMIF(CPSX!$D$28:$W$106,'FORM OH'!$I$61,CPSX!R28:R106)</f>
        <v>0</v>
      </c>
      <c r="Z61" s="540">
        <f ca="1">SUMIF(CPSX!$D$28:$W$106,'FORM OH'!$I$61,CPSX!S28:S106)</f>
        <v>0</v>
      </c>
      <c r="AA61" s="540">
        <f ca="1">SUMIF(CPSX!$D$28:$W$106,'FORM OH'!$I$61,CPSX!T28:T106)</f>
        <v>0</v>
      </c>
      <c r="AB61" s="540">
        <f ca="1">SUMIF(CPSX!$D$28:$W$106,'FORM OH'!$I$61,CPSX!U28:U106)</f>
        <v>0</v>
      </c>
      <c r="AC61" s="540">
        <f ca="1">SUMIF(CPSX!$D$28:$W$106,'FORM OH'!$I$61,CPSX!V28:V106)</f>
        <v>0</v>
      </c>
      <c r="AD61" s="540">
        <f t="shared" ca="1" si="13"/>
        <v>0</v>
      </c>
      <c r="AE61" s="533"/>
      <c r="AF61" s="540">
        <f ca="1">SUMIF(CPSX!$D$28:$W$106,'FORM OH'!$I$61,CPSX!Y28:Y106)</f>
        <v>0</v>
      </c>
      <c r="AG61" s="540">
        <f ca="1">SUMIF(CPSX!$D$28:$W$106,'FORM OH'!$I$61,CPSX!Z28:Z106)</f>
        <v>0</v>
      </c>
      <c r="AH61" s="540">
        <f ca="1">SUMIF(CPSX!$D$28:$W$106,'FORM OH'!$I$61,CPSX!AA28:AA106)</f>
        <v>0</v>
      </c>
      <c r="AI61" s="540">
        <f ca="1">SUMIF(CPSX!$D$28:$W$106,'FORM OH'!$I$61,CPSX!AB28:AB106)</f>
        <v>0</v>
      </c>
      <c r="AJ61" s="540">
        <f ca="1">SUMIF(CPSX!$D$28:$W$106,'FORM OH'!$I$61,CPSX!AC28:AC106)</f>
        <v>0</v>
      </c>
      <c r="AK61" s="540">
        <f ca="1">SUMIF(CPSX!$D$28:$W$106,'FORM OH'!$I$61,CPSX!AD28:AD106)</f>
        <v>0</v>
      </c>
      <c r="AL61" s="540">
        <f ca="1">SUMIF(CPSX!$D$28:$W$106,'FORM OH'!$I$61,CPSX!AE28:AE106)</f>
        <v>0</v>
      </c>
      <c r="AM61" s="540">
        <f ca="1">SUMIF(CPSX!$D$28:$W$106,'FORM OH'!$I$61,CPSX!AF28:AF106)</f>
        <v>0</v>
      </c>
      <c r="AN61" s="540">
        <f ca="1">SUMIF(CPSX!$D$28:$W$106,'FORM OH'!$I$61,CPSX!AG28:AG106)</f>
        <v>0</v>
      </c>
      <c r="AO61" s="540">
        <f ca="1">SUMIF(CPSX!$D$28:$W$106,'FORM OH'!$I$61,CPSX!AH28:AH106)</f>
        <v>0</v>
      </c>
      <c r="AP61" s="540">
        <f ca="1">SUMIF(CPSX!$D$28:$W$106,'FORM OH'!$I$61,CPSX!AI28:AI106)</f>
        <v>0</v>
      </c>
      <c r="AQ61" s="540">
        <f ca="1">SUMIF(CPSX!$D$28:$W$106,'FORM OH'!$I$61,CPSX!AJ28:AJ106)</f>
        <v>0</v>
      </c>
      <c r="AR61" s="1284">
        <f t="shared" ca="1" si="14"/>
        <v>0</v>
      </c>
      <c r="AS61" s="1284">
        <f t="shared" ca="1" si="2"/>
        <v>0</v>
      </c>
      <c r="AT61" s="1297">
        <f t="shared" ca="1" si="3"/>
        <v>0</v>
      </c>
    </row>
    <row r="62" spans="1:46" s="539" customFormat="1" ht="16.399999999999999" customHeight="1" outlineLevel="1" x14ac:dyDescent="0.35">
      <c r="A62" s="534" t="s">
        <v>782</v>
      </c>
      <c r="B62" s="534" t="s">
        <v>783</v>
      </c>
      <c r="C62" s="535" t="s">
        <v>150</v>
      </c>
      <c r="D62" s="536" t="s">
        <v>817</v>
      </c>
      <c r="E62" s="536" t="s">
        <v>818</v>
      </c>
      <c r="F62" s="536" t="s">
        <v>938</v>
      </c>
      <c r="G62" s="536" t="s">
        <v>820</v>
      </c>
      <c r="H62" s="536" t="s">
        <v>939</v>
      </c>
      <c r="I62" s="535" t="s">
        <v>955</v>
      </c>
      <c r="J62" s="536" t="s">
        <v>956</v>
      </c>
      <c r="K62" s="536" t="s">
        <v>579</v>
      </c>
      <c r="L62" s="535" t="s">
        <v>957</v>
      </c>
      <c r="M62" s="536" t="s">
        <v>958</v>
      </c>
      <c r="N62" s="536"/>
      <c r="O62" s="535"/>
      <c r="P62" s="536"/>
      <c r="Q62" s="536"/>
      <c r="R62" s="540">
        <f ca="1">SUMIF(CPSX!$D$28:$W$106,'FORM OH'!$I$62,CPSX!K28:K106)</f>
        <v>0</v>
      </c>
      <c r="S62" s="540">
        <f ca="1">SUMIF(CPSX!$D$28:$W$106,'FORM OH'!$I$62,CPSX!L28:L106)</f>
        <v>0</v>
      </c>
      <c r="T62" s="540">
        <f ca="1">SUMIF(CPSX!$D$28:$W$106,'FORM OH'!$I$62,CPSX!M28:M106)</f>
        <v>0</v>
      </c>
      <c r="U62" s="540">
        <f ca="1">SUMIF(CPSX!$D$28:$W$106,'FORM OH'!$I$62,CPSX!N28:N106)</f>
        <v>0</v>
      </c>
      <c r="V62" s="540">
        <f ca="1">SUMIF(CPSX!$D$28:$W$106,'FORM OH'!$I$62,CPSX!O28:O106)</f>
        <v>0</v>
      </c>
      <c r="W62" s="540">
        <f ca="1">SUMIF(CPSX!$D$28:$W$106,'FORM OH'!$I$62,CPSX!P28:P106)</f>
        <v>0</v>
      </c>
      <c r="X62" s="540">
        <f ca="1">SUMIF(CPSX!$D$28:$W$106,'FORM OH'!$I$62,CPSX!Q28:Q106)</f>
        <v>0</v>
      </c>
      <c r="Y62" s="540">
        <f ca="1">SUMIF(CPSX!$D$28:$W$106,'FORM OH'!$I$62,CPSX!R28:R106)</f>
        <v>0</v>
      </c>
      <c r="Z62" s="540">
        <f ca="1">SUMIF(CPSX!$D$28:$W$106,'FORM OH'!$I$62,CPSX!S28:S106)</f>
        <v>0</v>
      </c>
      <c r="AA62" s="540">
        <f ca="1">SUMIF(CPSX!$D$28:$W$106,'FORM OH'!$I$62,CPSX!T28:T106)</f>
        <v>0</v>
      </c>
      <c r="AB62" s="540">
        <f ca="1">SUMIF(CPSX!$D$28:$W$106,'FORM OH'!$I$62,CPSX!U28:U106)</f>
        <v>0</v>
      </c>
      <c r="AC62" s="540">
        <f ca="1">SUMIF(CPSX!$D$28:$W$106,'FORM OH'!$I$62,CPSX!V28:V106)</f>
        <v>0</v>
      </c>
      <c r="AD62" s="540">
        <f t="shared" ca="1" si="13"/>
        <v>0</v>
      </c>
      <c r="AE62" s="533"/>
      <c r="AF62" s="540">
        <f ca="1">SUMIF(CPSX!$D$28:$W$106,'FORM OH'!$I$62,CPSX!Y28:Y106)</f>
        <v>0</v>
      </c>
      <c r="AG62" s="540">
        <f ca="1">SUMIF(CPSX!$D$28:$W$106,'FORM OH'!$I$62,CPSX!Z28:Z106)</f>
        <v>0</v>
      </c>
      <c r="AH62" s="540">
        <f ca="1">SUMIF(CPSX!$D$28:$W$106,'FORM OH'!$I$62,CPSX!AA28:AA106)</f>
        <v>0</v>
      </c>
      <c r="AI62" s="540">
        <f ca="1">SUMIF(CPSX!$D$28:$W$106,'FORM OH'!$I$62,CPSX!AB28:AB106)</f>
        <v>0</v>
      </c>
      <c r="AJ62" s="540">
        <f ca="1">SUMIF(CPSX!$D$28:$W$106,'FORM OH'!$I$62,CPSX!AC28:AC106)</f>
        <v>0</v>
      </c>
      <c r="AK62" s="540">
        <f ca="1">SUMIF(CPSX!$D$28:$W$106,'FORM OH'!$I$62,CPSX!AD28:AD106)</f>
        <v>0</v>
      </c>
      <c r="AL62" s="540">
        <f ca="1">SUMIF(CPSX!$D$28:$W$106,'FORM OH'!$I$62,CPSX!AE28:AE106)</f>
        <v>0</v>
      </c>
      <c r="AM62" s="540">
        <f ca="1">SUMIF(CPSX!$D$28:$W$106,'FORM OH'!$I$62,CPSX!AF28:AF106)</f>
        <v>0</v>
      </c>
      <c r="AN62" s="540">
        <f ca="1">SUMIF(CPSX!$D$28:$W$106,'FORM OH'!$I$62,CPSX!AG28:AG106)</f>
        <v>0</v>
      </c>
      <c r="AO62" s="540">
        <f ca="1">SUMIF(CPSX!$D$28:$W$106,'FORM OH'!$I$62,CPSX!AH28:AH106)</f>
        <v>0</v>
      </c>
      <c r="AP62" s="540">
        <f ca="1">SUMIF(CPSX!$D$28:$W$106,'FORM OH'!$I$62,CPSX!AI28:AI106)</f>
        <v>0</v>
      </c>
      <c r="AQ62" s="540">
        <f ca="1">SUMIF(CPSX!$D$28:$W$106,'FORM OH'!$I$62,CPSX!AJ28:AJ106)</f>
        <v>0</v>
      </c>
      <c r="AR62" s="1284">
        <f t="shared" ca="1" si="14"/>
        <v>0</v>
      </c>
      <c r="AS62" s="1284">
        <f t="shared" ca="1" si="2"/>
        <v>0</v>
      </c>
      <c r="AT62" s="1297">
        <f t="shared" ca="1" si="3"/>
        <v>0</v>
      </c>
    </row>
    <row r="63" spans="1:46" s="539" customFormat="1" ht="16.399999999999999" customHeight="1" outlineLevel="1" x14ac:dyDescent="0.35">
      <c r="A63" s="534" t="s">
        <v>782</v>
      </c>
      <c r="B63" s="534" t="s">
        <v>783</v>
      </c>
      <c r="C63" s="535" t="s">
        <v>150</v>
      </c>
      <c r="D63" s="536" t="s">
        <v>817</v>
      </c>
      <c r="E63" s="536" t="s">
        <v>818</v>
      </c>
      <c r="F63" s="536" t="s">
        <v>938</v>
      </c>
      <c r="G63" s="536" t="s">
        <v>820</v>
      </c>
      <c r="H63" s="536" t="s">
        <v>939</v>
      </c>
      <c r="I63" s="535" t="s">
        <v>959</v>
      </c>
      <c r="J63" s="536" t="s">
        <v>960</v>
      </c>
      <c r="K63" s="536" t="s">
        <v>580</v>
      </c>
      <c r="L63" s="535" t="s">
        <v>961</v>
      </c>
      <c r="M63" s="536" t="s">
        <v>962</v>
      </c>
      <c r="N63" s="536"/>
      <c r="O63" s="535"/>
      <c r="P63" s="536"/>
      <c r="Q63" s="536"/>
      <c r="R63" s="540">
        <f ca="1">SUMIF(CPSX!$D$28:$W$106,'FORM OH'!$I$63,CPSX!K28:K106)</f>
        <v>0</v>
      </c>
      <c r="S63" s="540">
        <f ca="1">SUMIF(CPSX!$D$28:$W$106,'FORM OH'!$I$63,CPSX!L28:L106)</f>
        <v>0</v>
      </c>
      <c r="T63" s="540">
        <f ca="1">SUMIF(CPSX!$D$28:$W$106,'FORM OH'!$I$63,CPSX!M28:M106)</f>
        <v>0</v>
      </c>
      <c r="U63" s="540">
        <f ca="1">SUMIF(CPSX!$D$28:$W$106,'FORM OH'!$I$63,CPSX!N28:N106)</f>
        <v>0</v>
      </c>
      <c r="V63" s="540">
        <f ca="1">SUMIF(CPSX!$D$28:$W$106,'FORM OH'!$I$63,CPSX!O28:O106)</f>
        <v>0</v>
      </c>
      <c r="W63" s="540">
        <f ca="1">SUMIF(CPSX!$D$28:$W$106,'FORM OH'!$I$63,CPSX!P28:P106)</f>
        <v>0</v>
      </c>
      <c r="X63" s="540">
        <f ca="1">SUMIF(CPSX!$D$28:$W$106,'FORM OH'!$I$63,CPSX!Q28:Q106)</f>
        <v>0</v>
      </c>
      <c r="Y63" s="540">
        <f ca="1">SUMIF(CPSX!$D$28:$W$106,'FORM OH'!$I$63,CPSX!R28:R106)</f>
        <v>0</v>
      </c>
      <c r="Z63" s="540">
        <f ca="1">SUMIF(CPSX!$D$28:$W$106,'FORM OH'!$I$63,CPSX!S28:S106)</f>
        <v>0</v>
      </c>
      <c r="AA63" s="540">
        <f ca="1">SUMIF(CPSX!$D$28:$W$106,'FORM OH'!$I$63,CPSX!T28:T106)</f>
        <v>0</v>
      </c>
      <c r="AB63" s="540">
        <f ca="1">SUMIF(CPSX!$D$28:$W$106,'FORM OH'!$I$63,CPSX!U28:U106)</f>
        <v>0</v>
      </c>
      <c r="AC63" s="540">
        <f ca="1">SUMIF(CPSX!$D$28:$W$106,'FORM OH'!$I$63,CPSX!V28:V106)</f>
        <v>0</v>
      </c>
      <c r="AD63" s="540">
        <f t="shared" ca="1" si="13"/>
        <v>0</v>
      </c>
      <c r="AE63" s="533"/>
      <c r="AF63" s="540">
        <f ca="1">SUMIF(CPSX!$D$28:$W$106,'FORM OH'!$I$63,CPSX!Y28:Y106)</f>
        <v>0</v>
      </c>
      <c r="AG63" s="540">
        <f ca="1">SUMIF(CPSX!$D$28:$W$106,'FORM OH'!$I$63,CPSX!Z28:Z106)</f>
        <v>0</v>
      </c>
      <c r="AH63" s="540">
        <f ca="1">SUMIF(CPSX!$D$28:$W$106,'FORM OH'!$I$63,CPSX!AA28:AA106)</f>
        <v>0</v>
      </c>
      <c r="AI63" s="540">
        <f ca="1">SUMIF(CPSX!$D$28:$W$106,'FORM OH'!$I$63,CPSX!AB28:AB106)</f>
        <v>0</v>
      </c>
      <c r="AJ63" s="540">
        <f ca="1">SUMIF(CPSX!$D$28:$W$106,'FORM OH'!$I$63,CPSX!AC28:AC106)</f>
        <v>0</v>
      </c>
      <c r="AK63" s="540">
        <f ca="1">SUMIF(CPSX!$D$28:$W$106,'FORM OH'!$I$63,CPSX!AD28:AD106)</f>
        <v>0</v>
      </c>
      <c r="AL63" s="540">
        <f ca="1">SUMIF(CPSX!$D$28:$W$106,'FORM OH'!$I$63,CPSX!AE28:AE106)</f>
        <v>0</v>
      </c>
      <c r="AM63" s="540">
        <f ca="1">SUMIF(CPSX!$D$28:$W$106,'FORM OH'!$I$63,CPSX!AF28:AF106)</f>
        <v>0</v>
      </c>
      <c r="AN63" s="540">
        <f ca="1">SUMIF(CPSX!$D$28:$W$106,'FORM OH'!$I$63,CPSX!AG28:AG106)</f>
        <v>0</v>
      </c>
      <c r="AO63" s="540">
        <f ca="1">SUMIF(CPSX!$D$28:$W$106,'FORM OH'!$I$63,CPSX!AH28:AH106)</f>
        <v>0</v>
      </c>
      <c r="AP63" s="540">
        <f ca="1">SUMIF(CPSX!$D$28:$W$106,'FORM OH'!$I$63,CPSX!AI28:AI106)</f>
        <v>0</v>
      </c>
      <c r="AQ63" s="540">
        <f ca="1">SUMIF(CPSX!$D$28:$W$106,'FORM OH'!$I$63,CPSX!AJ28:AJ106)</f>
        <v>0</v>
      </c>
      <c r="AR63" s="1284">
        <f t="shared" ca="1" si="14"/>
        <v>0</v>
      </c>
      <c r="AS63" s="1284">
        <f t="shared" ca="1" si="2"/>
        <v>0</v>
      </c>
      <c r="AT63" s="1297">
        <f t="shared" ca="1" si="3"/>
        <v>0</v>
      </c>
    </row>
    <row r="64" spans="1:46" s="539" customFormat="1" ht="16.399999999999999" customHeight="1" outlineLevel="1" x14ac:dyDescent="0.35">
      <c r="A64" s="534" t="s">
        <v>782</v>
      </c>
      <c r="B64" s="534" t="s">
        <v>783</v>
      </c>
      <c r="C64" s="535" t="s">
        <v>150</v>
      </c>
      <c r="D64" s="536" t="s">
        <v>817</v>
      </c>
      <c r="E64" s="536" t="s">
        <v>818</v>
      </c>
      <c r="F64" s="536" t="s">
        <v>963</v>
      </c>
      <c r="G64" s="536" t="s">
        <v>820</v>
      </c>
      <c r="H64" s="536" t="s">
        <v>964</v>
      </c>
      <c r="I64" s="535" t="s">
        <v>965</v>
      </c>
      <c r="J64" s="536" t="s">
        <v>435</v>
      </c>
      <c r="K64" s="536" t="s">
        <v>580</v>
      </c>
      <c r="L64" s="535" t="s">
        <v>966</v>
      </c>
      <c r="M64" s="536" t="s">
        <v>967</v>
      </c>
      <c r="N64" s="544"/>
      <c r="O64" s="535"/>
      <c r="P64" s="536"/>
      <c r="Q64" s="536"/>
      <c r="R64" s="540">
        <f ca="1">SUMIF(CPSX!$D$28:$W$106,'FORM OH'!$I$64,CPSX!K28:K106)</f>
        <v>8586837.333333334</v>
      </c>
      <c r="S64" s="540">
        <f ca="1">SUMIF(CPSX!$D$28:$W$106,'FORM OH'!$I$64,CPSX!L28:L106)</f>
        <v>8586837.333333334</v>
      </c>
      <c r="T64" s="540">
        <f ca="1">SUMIF(CPSX!$D$28:$W$106,'FORM OH'!$I$64,CPSX!M28:M106)</f>
        <v>8586837.333333334</v>
      </c>
      <c r="U64" s="540">
        <f ca="1">SUMIF(CPSX!$D$28:$W$106,'FORM OH'!$I$64,CPSX!N28:N106)</f>
        <v>8586837.333333334</v>
      </c>
      <c r="V64" s="540">
        <f ca="1">SUMIF(CPSX!$D$28:$W$106,'FORM OH'!$I$64,CPSX!O28:O106)</f>
        <v>8586837.333333334</v>
      </c>
      <c r="W64" s="540">
        <f ca="1">SUMIF(CPSX!$D$28:$W$106,'FORM OH'!$I$64,CPSX!P28:P106)</f>
        <v>8236841.333333334</v>
      </c>
      <c r="X64" s="540">
        <f ca="1">SUMIF(CPSX!$D$28:$W$106,'FORM OH'!$I$64,CPSX!Q28:Q106)</f>
        <v>7090504.333333334</v>
      </c>
      <c r="Y64" s="540">
        <f ca="1">SUMIF(CPSX!$D$28:$W$106,'FORM OH'!$I$64,CPSX!R28:R106)</f>
        <v>6690630.333333334</v>
      </c>
      <c r="Z64" s="540">
        <f ca="1">SUMIF(CPSX!$D$28:$W$106,'FORM OH'!$I$64,CPSX!S28:S106)</f>
        <v>6361337.333333334</v>
      </c>
      <c r="AA64" s="540">
        <f ca="1">SUMIF(CPSX!$D$28:$W$106,'FORM OH'!$I$64,CPSX!T28:T106)</f>
        <v>6361337.333333334</v>
      </c>
      <c r="AB64" s="540">
        <f ca="1">SUMIF(CPSX!$D$28:$W$106,'FORM OH'!$I$64,CPSX!U28:U106)</f>
        <v>6361337.333333334</v>
      </c>
      <c r="AC64" s="540">
        <f ca="1">SUMIF(CPSX!$D$28:$W$106,'FORM OH'!$I$64,CPSX!V28:V106)</f>
        <v>6361337.333333334</v>
      </c>
      <c r="AD64" s="540">
        <f t="shared" ca="1" si="13"/>
        <v>90397512</v>
      </c>
      <c r="AE64" s="533"/>
      <c r="AF64" s="540">
        <f ca="1">SUMIF(CPSX!$D$28:$W$106,'FORM OH'!$I$64,CPSX!Y28:Y106)</f>
        <v>4919364</v>
      </c>
      <c r="AG64" s="540">
        <f ca="1">SUMIF(CPSX!$D$28:$W$106,'FORM OH'!$I$64,CPSX!Z28:Z106)</f>
        <v>4883882</v>
      </c>
      <c r="AH64" s="540">
        <f ca="1">SUMIF(CPSX!$D$28:$W$106,'FORM OH'!$I$64,CPSX!AA28:AA106)</f>
        <v>6867364</v>
      </c>
      <c r="AI64" s="540">
        <f ca="1">SUMIF(CPSX!$D$28:$W$106,'FORM OH'!$I$64,CPSX!AB28:AB106)</f>
        <v>6211744</v>
      </c>
      <c r="AJ64" s="540">
        <f ca="1">SUMIF(CPSX!$D$28:$W$106,'FORM OH'!$I$64,CPSX!AC28:AC106)</f>
        <v>6806414</v>
      </c>
      <c r="AK64" s="540">
        <f ca="1">SUMIF(CPSX!$D$28:$W$106,'FORM OH'!$I$64,CPSX!AD28:AD106)</f>
        <v>-3331636</v>
      </c>
      <c r="AL64" s="540">
        <f ca="1">SUMIF(CPSX!$D$28:$W$106,'FORM OH'!$I$64,CPSX!AE28:AE106)</f>
        <v>22046805</v>
      </c>
      <c r="AM64" s="540">
        <f ca="1">SUMIF(CPSX!$D$28:$W$106,'FORM OH'!$I$64,CPSX!AF28:AF106)</f>
        <v>17892729</v>
      </c>
      <c r="AN64" s="540">
        <f ca="1">SUMIF(CPSX!$D$28:$W$106,'FORM OH'!$I$64,CPSX!AG28:AG106)</f>
        <v>9735151</v>
      </c>
      <c r="AO64" s="540">
        <f ca="1">SUMIF(CPSX!$D$28:$W$106,'FORM OH'!$I$64,CPSX!AH28:AH106)</f>
        <v>8706875</v>
      </c>
      <c r="AP64" s="540">
        <f ca="1">SUMIF(CPSX!$D$28:$W$106,'FORM OH'!$I$64,CPSX!AI28:AI106)</f>
        <v>8428004</v>
      </c>
      <c r="AQ64" s="540">
        <f ca="1">SUMIF(CPSX!$D$28:$W$106,'FORM OH'!$I$64,CPSX!AJ28:AJ106)</f>
        <v>5445504</v>
      </c>
      <c r="AR64" s="1284">
        <f t="shared" ca="1" si="14"/>
        <v>98612200</v>
      </c>
      <c r="AS64" s="1284">
        <f t="shared" ca="1" si="2"/>
        <v>-8214688</v>
      </c>
      <c r="AT64" s="1297">
        <f t="shared" ca="1" si="3"/>
        <v>-8.3302958457472806E-2</v>
      </c>
    </row>
    <row r="65" spans="1:46" s="539" customFormat="1" ht="16.399999999999999" customHeight="1" outlineLevel="1" x14ac:dyDescent="0.35">
      <c r="A65" s="534" t="s">
        <v>782</v>
      </c>
      <c r="B65" s="534" t="s">
        <v>783</v>
      </c>
      <c r="C65" s="535" t="s">
        <v>150</v>
      </c>
      <c r="D65" s="536" t="s">
        <v>817</v>
      </c>
      <c r="E65" s="536" t="s">
        <v>818</v>
      </c>
      <c r="F65" s="536" t="s">
        <v>963</v>
      </c>
      <c r="G65" s="536" t="s">
        <v>820</v>
      </c>
      <c r="H65" s="536" t="s">
        <v>964</v>
      </c>
      <c r="I65" s="535">
        <v>6273002401</v>
      </c>
      <c r="J65" s="536" t="s">
        <v>968</v>
      </c>
      <c r="K65" s="536" t="s">
        <v>580</v>
      </c>
      <c r="L65" s="535" t="s">
        <v>969</v>
      </c>
      <c r="M65" s="536" t="s">
        <v>970</v>
      </c>
      <c r="N65" s="544"/>
      <c r="O65" s="535"/>
      <c r="P65" s="536"/>
      <c r="Q65" s="536"/>
      <c r="R65" s="540">
        <f ca="1">SUMIF(CPSX!$D$28:$W$106,'FORM OH'!$I$65,CPSX!K28:K106)</f>
        <v>0</v>
      </c>
      <c r="S65" s="540">
        <f ca="1">SUMIF(CPSX!$D$28:$W$106,'FORM OH'!$I$65,CPSX!L28:L106)</f>
        <v>0</v>
      </c>
      <c r="T65" s="540">
        <f ca="1">SUMIF(CPSX!$D$28:$W$106,'FORM OH'!$I$65,CPSX!M28:M106)</f>
        <v>0</v>
      </c>
      <c r="U65" s="540">
        <f ca="1">SUMIF(CPSX!$D$28:$W$106,'FORM OH'!$I$65,CPSX!N28:N106)</f>
        <v>0</v>
      </c>
      <c r="V65" s="540">
        <f ca="1">SUMIF(CPSX!$D$28:$W$106,'FORM OH'!$I$65,CPSX!O28:O106)</f>
        <v>0</v>
      </c>
      <c r="W65" s="540">
        <f ca="1">SUMIF(CPSX!$D$28:$W$106,'FORM OH'!$I$65,CPSX!P28:P106)</f>
        <v>0</v>
      </c>
      <c r="X65" s="540">
        <f ca="1">SUMIF(CPSX!$D$28:$W$106,'FORM OH'!$I$65,CPSX!Q28:Q106)</f>
        <v>0</v>
      </c>
      <c r="Y65" s="540">
        <f ca="1">SUMIF(CPSX!$D$28:$W$106,'FORM OH'!$I$65,CPSX!R28:R106)</f>
        <v>0</v>
      </c>
      <c r="Z65" s="540">
        <f ca="1">SUMIF(CPSX!$D$28:$W$106,'FORM OH'!$I$65,CPSX!S28:S106)</f>
        <v>0</v>
      </c>
      <c r="AA65" s="540">
        <f ca="1">SUMIF(CPSX!$D$28:$W$106,'FORM OH'!$I$65,CPSX!T28:T106)</f>
        <v>0</v>
      </c>
      <c r="AB65" s="540">
        <f ca="1">SUMIF(CPSX!$D$28:$W$106,'FORM OH'!$I$65,CPSX!U28:U106)</f>
        <v>0</v>
      </c>
      <c r="AC65" s="540">
        <f ca="1">SUMIF(CPSX!$D$28:$W$106,'FORM OH'!$I$65,CPSX!V28:V106)</f>
        <v>0</v>
      </c>
      <c r="AD65" s="540">
        <f t="shared" ca="1" si="13"/>
        <v>0</v>
      </c>
      <c r="AE65" s="533"/>
      <c r="AF65" s="540">
        <f ca="1">SUMIF(CPSX!$D$28:$W$106,'FORM OH'!$I$65,CPSX!Y28:Y106)</f>
        <v>0</v>
      </c>
      <c r="AG65" s="540">
        <f ca="1">SUMIF(CPSX!$D$28:$W$106,'FORM OH'!$I$65,CPSX!Z28:Z106)</f>
        <v>0</v>
      </c>
      <c r="AH65" s="540">
        <f ca="1">SUMIF(CPSX!$D$28:$W$106,'FORM OH'!$I$65,CPSX!AA28:AA106)</f>
        <v>0</v>
      </c>
      <c r="AI65" s="540">
        <f ca="1">SUMIF(CPSX!$D$28:$W$106,'FORM OH'!$I$65,CPSX!AB28:AB106)</f>
        <v>0</v>
      </c>
      <c r="AJ65" s="540">
        <f ca="1">SUMIF(CPSX!$D$28:$W$106,'FORM OH'!$I$65,CPSX!AC28:AC106)</f>
        <v>0</v>
      </c>
      <c r="AK65" s="540">
        <f ca="1">SUMIF(CPSX!$D$28:$W$106,'FORM OH'!$I$65,CPSX!AD28:AD106)</f>
        <v>0</v>
      </c>
      <c r="AL65" s="540">
        <f ca="1">SUMIF(CPSX!$D$28:$W$106,'FORM OH'!$I$65,CPSX!AE28:AE106)</f>
        <v>0</v>
      </c>
      <c r="AM65" s="540">
        <f ca="1">SUMIF(CPSX!$D$28:$W$106,'FORM OH'!$I$65,CPSX!AF28:AF106)</f>
        <v>0</v>
      </c>
      <c r="AN65" s="540">
        <f ca="1">SUMIF(CPSX!$D$28:$W$106,'FORM OH'!$I$65,CPSX!AG28:AG106)</f>
        <v>0</v>
      </c>
      <c r="AO65" s="540">
        <f ca="1">SUMIF(CPSX!$D$28:$W$106,'FORM OH'!$I$65,CPSX!AH28:AH106)</f>
        <v>0</v>
      </c>
      <c r="AP65" s="540">
        <f ca="1">SUMIF(CPSX!$D$28:$W$106,'FORM OH'!$I$65,CPSX!AI28:AI106)</f>
        <v>0</v>
      </c>
      <c r="AQ65" s="540">
        <f ca="1">SUMIF(CPSX!$D$28:$W$106,'FORM OH'!$I$65,CPSX!AJ28:AJ106)</f>
        <v>0</v>
      </c>
      <c r="AR65" s="1284">
        <f t="shared" ca="1" si="14"/>
        <v>0</v>
      </c>
      <c r="AS65" s="1284">
        <f t="shared" ca="1" si="2"/>
        <v>0</v>
      </c>
      <c r="AT65" s="1297">
        <f t="shared" ca="1" si="3"/>
        <v>0</v>
      </c>
    </row>
    <row r="66" spans="1:46" s="539" customFormat="1" ht="16.399999999999999" customHeight="1" outlineLevel="1" x14ac:dyDescent="0.35">
      <c r="A66" s="534" t="s">
        <v>782</v>
      </c>
      <c r="B66" s="534" t="s">
        <v>783</v>
      </c>
      <c r="C66" s="535" t="s">
        <v>150</v>
      </c>
      <c r="D66" s="536" t="s">
        <v>817</v>
      </c>
      <c r="E66" s="536" t="s">
        <v>818</v>
      </c>
      <c r="F66" s="536" t="s">
        <v>963</v>
      </c>
      <c r="G66" s="536" t="s">
        <v>820</v>
      </c>
      <c r="H66" s="536" t="s">
        <v>964</v>
      </c>
      <c r="I66" s="535" t="s">
        <v>971</v>
      </c>
      <c r="J66" s="536" t="s">
        <v>436</v>
      </c>
      <c r="K66" s="536" t="s">
        <v>580</v>
      </c>
      <c r="L66" s="535" t="s">
        <v>972</v>
      </c>
      <c r="M66" s="536" t="s">
        <v>973</v>
      </c>
      <c r="N66" s="536"/>
      <c r="O66" s="535"/>
      <c r="P66" s="536"/>
      <c r="Q66" s="536"/>
      <c r="R66" s="540">
        <f ca="1">SUMIF(CPSX!$D$28:$W$106,'FORM OH'!$I$66,CPSX!K28:K106)</f>
        <v>0</v>
      </c>
      <c r="S66" s="540">
        <f ca="1">SUMIF(CPSX!$D$28:$W$106,'FORM OH'!$I$66,CPSX!L28:L106)</f>
        <v>0</v>
      </c>
      <c r="T66" s="540">
        <f ca="1">SUMIF(CPSX!$D$28:$W$106,'FORM OH'!$I$66,CPSX!M28:M106)</f>
        <v>0</v>
      </c>
      <c r="U66" s="540">
        <f ca="1">SUMIF(CPSX!$D$28:$W$106,'FORM OH'!$I$66,CPSX!N28:N106)</f>
        <v>0</v>
      </c>
      <c r="V66" s="540">
        <f ca="1">SUMIF(CPSX!$D$28:$W$106,'FORM OH'!$I$66,CPSX!O28:O106)</f>
        <v>0</v>
      </c>
      <c r="W66" s="540">
        <f ca="1">SUMIF(CPSX!$D$28:$W$106,'FORM OH'!$I$66,CPSX!P28:P106)</f>
        <v>0</v>
      </c>
      <c r="X66" s="540">
        <f ca="1">SUMIF(CPSX!$D$28:$W$106,'FORM OH'!$I$66,CPSX!Q28:Q106)</f>
        <v>0</v>
      </c>
      <c r="Y66" s="540">
        <f ca="1">SUMIF(CPSX!$D$28:$W$106,'FORM OH'!$I$66,CPSX!R28:R106)</f>
        <v>0</v>
      </c>
      <c r="Z66" s="540">
        <f ca="1">SUMIF(CPSX!$D$28:$W$106,'FORM OH'!$I$66,CPSX!S28:S106)</f>
        <v>0</v>
      </c>
      <c r="AA66" s="540">
        <f ca="1">SUMIF(CPSX!$D$28:$W$106,'FORM OH'!$I$66,CPSX!T28:T106)</f>
        <v>0</v>
      </c>
      <c r="AB66" s="540">
        <f ca="1">SUMIF(CPSX!$D$28:$W$106,'FORM OH'!$I$66,CPSX!U28:U106)</f>
        <v>0</v>
      </c>
      <c r="AC66" s="540">
        <f ca="1">SUMIF(CPSX!$D$28:$W$106,'FORM OH'!$I$66,CPSX!V28:V106)</f>
        <v>0</v>
      </c>
      <c r="AD66" s="540">
        <f t="shared" ca="1" si="13"/>
        <v>0</v>
      </c>
      <c r="AE66" s="533"/>
      <c r="AF66" s="540">
        <f ca="1">SUMIF(CPSX!$D$28:$W$106,'FORM OH'!$I$66,CPSX!Y28:Y106)</f>
        <v>0</v>
      </c>
      <c r="AG66" s="540">
        <f ca="1">SUMIF(CPSX!$D$28:$W$106,'FORM OH'!$I$66,CPSX!Z28:Z106)</f>
        <v>0</v>
      </c>
      <c r="AH66" s="540">
        <f ca="1">SUMIF(CPSX!$D$28:$W$106,'FORM OH'!$I$66,CPSX!AA28:AA106)</f>
        <v>0</v>
      </c>
      <c r="AI66" s="540">
        <f ca="1">SUMIF(CPSX!$D$28:$W$106,'FORM OH'!$I$66,CPSX!AB28:AB106)</f>
        <v>0</v>
      </c>
      <c r="AJ66" s="540">
        <f ca="1">SUMIF(CPSX!$D$28:$W$106,'FORM OH'!$I$66,CPSX!AC28:AC106)</f>
        <v>0</v>
      </c>
      <c r="AK66" s="540">
        <f ca="1">SUMIF(CPSX!$D$28:$W$106,'FORM OH'!$I$66,CPSX!AD28:AD106)</f>
        <v>0</v>
      </c>
      <c r="AL66" s="540">
        <f ca="1">SUMIF(CPSX!$D$28:$W$106,'FORM OH'!$I$66,CPSX!AE28:AE106)</f>
        <v>0</v>
      </c>
      <c r="AM66" s="540">
        <f ca="1">SUMIF(CPSX!$D$28:$W$106,'FORM OH'!$I$66,CPSX!AF28:AF106)</f>
        <v>0</v>
      </c>
      <c r="AN66" s="540">
        <f ca="1">SUMIF(CPSX!$D$28:$W$106,'FORM OH'!$I$66,CPSX!AG28:AG106)</f>
        <v>0</v>
      </c>
      <c r="AO66" s="540">
        <f ca="1">SUMIF(CPSX!$D$28:$W$106,'FORM OH'!$I$66,CPSX!AH28:AH106)</f>
        <v>0</v>
      </c>
      <c r="AP66" s="540">
        <f ca="1">SUMIF(CPSX!$D$28:$W$106,'FORM OH'!$I$66,CPSX!AI28:AI106)</f>
        <v>0</v>
      </c>
      <c r="AQ66" s="540">
        <f ca="1">SUMIF(CPSX!$D$28:$W$106,'FORM OH'!$I$66,CPSX!AJ28:AJ106)</f>
        <v>0</v>
      </c>
      <c r="AR66" s="1284">
        <f t="shared" ca="1" si="14"/>
        <v>0</v>
      </c>
      <c r="AS66" s="1284">
        <f t="shared" ca="1" si="2"/>
        <v>0</v>
      </c>
      <c r="AT66" s="1297">
        <f t="shared" ca="1" si="3"/>
        <v>0</v>
      </c>
    </row>
    <row r="67" spans="1:46" s="539" customFormat="1" ht="16.399999999999999" customHeight="1" outlineLevel="1" x14ac:dyDescent="0.35">
      <c r="A67" s="534" t="s">
        <v>782</v>
      </c>
      <c r="B67" s="534" t="s">
        <v>783</v>
      </c>
      <c r="C67" s="535" t="s">
        <v>150</v>
      </c>
      <c r="D67" s="536" t="s">
        <v>817</v>
      </c>
      <c r="E67" s="536" t="s">
        <v>818</v>
      </c>
      <c r="F67" s="536" t="s">
        <v>963</v>
      </c>
      <c r="G67" s="536" t="s">
        <v>820</v>
      </c>
      <c r="H67" s="536" t="s">
        <v>964</v>
      </c>
      <c r="I67" s="535" t="s">
        <v>974</v>
      </c>
      <c r="J67" s="536" t="s">
        <v>436</v>
      </c>
      <c r="K67" s="536" t="s">
        <v>580</v>
      </c>
      <c r="L67" s="535" t="s">
        <v>972</v>
      </c>
      <c r="M67" s="536" t="s">
        <v>973</v>
      </c>
      <c r="N67" s="536"/>
      <c r="O67" s="535"/>
      <c r="P67" s="536"/>
      <c r="Q67" s="536"/>
      <c r="R67" s="540">
        <f ca="1">SUMIF(CPSX!$D$28:$W$106,'FORM OH'!$I$67,CPSX!K28:K106)</f>
        <v>0</v>
      </c>
      <c r="S67" s="540">
        <f ca="1">SUMIF(CPSX!$D$28:$W$106,'FORM OH'!$I$67,CPSX!L28:L106)</f>
        <v>0</v>
      </c>
      <c r="T67" s="540">
        <f ca="1">SUMIF(CPSX!$D$28:$W$106,'FORM OH'!$I$67,CPSX!M28:M106)</f>
        <v>0</v>
      </c>
      <c r="U67" s="540">
        <f ca="1">SUMIF(CPSX!$D$28:$W$106,'FORM OH'!$I$67,CPSX!N28:N106)</f>
        <v>0</v>
      </c>
      <c r="V67" s="540">
        <f ca="1">SUMIF(CPSX!$D$28:$W$106,'FORM OH'!$I$67,CPSX!O28:O106)</f>
        <v>0</v>
      </c>
      <c r="W67" s="540">
        <f ca="1">SUMIF(CPSX!$D$28:$W$106,'FORM OH'!$I$67,CPSX!P28:P106)</f>
        <v>0</v>
      </c>
      <c r="X67" s="540">
        <f ca="1">SUMIF(CPSX!$D$28:$W$106,'FORM OH'!$I$67,CPSX!Q28:Q106)</f>
        <v>0</v>
      </c>
      <c r="Y67" s="540">
        <f ca="1">SUMIF(CPSX!$D$28:$W$106,'FORM OH'!$I$67,CPSX!R28:R106)</f>
        <v>0</v>
      </c>
      <c r="Z67" s="540">
        <f ca="1">SUMIF(CPSX!$D$28:$W$106,'FORM OH'!$I$67,CPSX!S28:S106)</f>
        <v>0</v>
      </c>
      <c r="AA67" s="540">
        <f ca="1">SUMIF(CPSX!$D$28:$W$106,'FORM OH'!$I$67,CPSX!T28:T106)</f>
        <v>0</v>
      </c>
      <c r="AB67" s="540">
        <f ca="1">SUMIF(CPSX!$D$28:$W$106,'FORM OH'!$I$67,CPSX!U28:U106)</f>
        <v>0</v>
      </c>
      <c r="AC67" s="540">
        <f ca="1">SUMIF(CPSX!$D$28:$W$106,'FORM OH'!$I$67,CPSX!V28:V106)</f>
        <v>0</v>
      </c>
      <c r="AD67" s="540">
        <f t="shared" ca="1" si="13"/>
        <v>0</v>
      </c>
      <c r="AE67" s="533"/>
      <c r="AF67" s="540">
        <f ca="1">SUMIF(CPSX!$D$28:$W$106,'FORM OH'!$I$67,CPSX!Y28:Y106)</f>
        <v>0</v>
      </c>
      <c r="AG67" s="540">
        <f ca="1">SUMIF(CPSX!$D$28:$W$106,'FORM OH'!$I$67,CPSX!Z28:Z106)</f>
        <v>0</v>
      </c>
      <c r="AH67" s="540">
        <f ca="1">SUMIF(CPSX!$D$28:$W$106,'FORM OH'!$I$67,CPSX!AA28:AA106)</f>
        <v>0</v>
      </c>
      <c r="AI67" s="540">
        <f ca="1">SUMIF(CPSX!$D$28:$W$106,'FORM OH'!$I$67,CPSX!AB28:AB106)</f>
        <v>0</v>
      </c>
      <c r="AJ67" s="540">
        <f ca="1">SUMIF(CPSX!$D$28:$W$106,'FORM OH'!$I$67,CPSX!AC28:AC106)</f>
        <v>0</v>
      </c>
      <c r="AK67" s="540">
        <f ca="1">SUMIF(CPSX!$D$28:$W$106,'FORM OH'!$I$67,CPSX!AD28:AD106)</f>
        <v>0</v>
      </c>
      <c r="AL67" s="540">
        <f ca="1">SUMIF(CPSX!$D$28:$W$106,'FORM OH'!$I$67,CPSX!AE28:AE106)</f>
        <v>0</v>
      </c>
      <c r="AM67" s="540">
        <f ca="1">SUMIF(CPSX!$D$28:$W$106,'FORM OH'!$I$67,CPSX!AF28:AF106)</f>
        <v>0</v>
      </c>
      <c r="AN67" s="540">
        <f ca="1">SUMIF(CPSX!$D$28:$W$106,'FORM OH'!$I$67,CPSX!AG28:AG106)</f>
        <v>0</v>
      </c>
      <c r="AO67" s="540">
        <f ca="1">SUMIF(CPSX!$D$28:$W$106,'FORM OH'!$I$67,CPSX!AH28:AH106)</f>
        <v>0</v>
      </c>
      <c r="AP67" s="540">
        <f ca="1">SUMIF(CPSX!$D$28:$W$106,'FORM OH'!$I$67,CPSX!AI28:AI106)</f>
        <v>0</v>
      </c>
      <c r="AQ67" s="540">
        <f ca="1">SUMIF(CPSX!$D$28:$W$106,'FORM OH'!$I$67,CPSX!AJ28:AJ106)</f>
        <v>0</v>
      </c>
      <c r="AR67" s="1284">
        <f t="shared" ca="1" si="14"/>
        <v>0</v>
      </c>
      <c r="AS67" s="1284">
        <f t="shared" ca="1" si="2"/>
        <v>0</v>
      </c>
      <c r="AT67" s="1297">
        <f t="shared" ca="1" si="3"/>
        <v>0</v>
      </c>
    </row>
    <row r="68" spans="1:46" s="539" customFormat="1" ht="16.399999999999999" customHeight="1" outlineLevel="1" x14ac:dyDescent="0.35">
      <c r="A68" s="534" t="s">
        <v>782</v>
      </c>
      <c r="B68" s="534" t="s">
        <v>783</v>
      </c>
      <c r="C68" s="535" t="s">
        <v>150</v>
      </c>
      <c r="D68" s="536" t="s">
        <v>817</v>
      </c>
      <c r="E68" s="536" t="s">
        <v>818</v>
      </c>
      <c r="F68" s="536" t="s">
        <v>975</v>
      </c>
      <c r="G68" s="536" t="s">
        <v>820</v>
      </c>
      <c r="H68" s="536" t="s">
        <v>976</v>
      </c>
      <c r="I68" s="535" t="s">
        <v>977</v>
      </c>
      <c r="J68" s="536" t="s">
        <v>437</v>
      </c>
      <c r="K68" s="536" t="s">
        <v>570</v>
      </c>
      <c r="L68" s="535" t="s">
        <v>978</v>
      </c>
      <c r="M68" s="536" t="s">
        <v>979</v>
      </c>
      <c r="N68" s="544"/>
      <c r="O68" s="535"/>
      <c r="P68" s="536"/>
      <c r="Q68" s="536"/>
      <c r="R68" s="540">
        <f ca="1">SUMIF(CPSX!$D$28:$W$106,'FORM OH'!$I$68,CPSX!K28:K106)</f>
        <v>0</v>
      </c>
      <c r="S68" s="540">
        <f ca="1">SUMIF(CPSX!$D$28:$W$106,'FORM OH'!$I$68,CPSX!L28:L106)</f>
        <v>0</v>
      </c>
      <c r="T68" s="540">
        <f ca="1">SUMIF(CPSX!$D$28:$W$106,'FORM OH'!$I$68,CPSX!M28:M106)</f>
        <v>0</v>
      </c>
      <c r="U68" s="540">
        <f ca="1">SUMIF(CPSX!$D$28:$W$106,'FORM OH'!$I$68,CPSX!N28:N106)</f>
        <v>0</v>
      </c>
      <c r="V68" s="540">
        <f ca="1">SUMIF(CPSX!$D$28:$W$106,'FORM OH'!$I$68,CPSX!O28:O106)</f>
        <v>0</v>
      </c>
      <c r="W68" s="540">
        <f ca="1">SUMIF(CPSX!$D$28:$W$106,'FORM OH'!$I$68,CPSX!P28:P106)</f>
        <v>0</v>
      </c>
      <c r="X68" s="540">
        <f ca="1">SUMIF(CPSX!$D$28:$W$106,'FORM OH'!$I$68,CPSX!Q28:Q106)</f>
        <v>0</v>
      </c>
      <c r="Y68" s="540">
        <f ca="1">SUMIF(CPSX!$D$28:$W$106,'FORM OH'!$I$68,CPSX!R28:R106)</f>
        <v>0</v>
      </c>
      <c r="Z68" s="540">
        <f ca="1">SUMIF(CPSX!$D$28:$W$106,'FORM OH'!$I$68,CPSX!S28:S106)</f>
        <v>0</v>
      </c>
      <c r="AA68" s="540">
        <f ca="1">SUMIF(CPSX!$D$28:$W$106,'FORM OH'!$I$68,CPSX!T28:T106)</f>
        <v>0</v>
      </c>
      <c r="AB68" s="540">
        <f ca="1">SUMIF(CPSX!$D$28:$W$106,'FORM OH'!$I$68,CPSX!U28:U106)</f>
        <v>0</v>
      </c>
      <c r="AC68" s="540">
        <f ca="1">SUMIF(CPSX!$D$28:$W$106,'FORM OH'!$I$68,CPSX!V28:V106)</f>
        <v>0</v>
      </c>
      <c r="AD68" s="540">
        <f t="shared" ca="1" si="13"/>
        <v>0</v>
      </c>
      <c r="AE68" s="533"/>
      <c r="AF68" s="540">
        <f ca="1">SUMIF(CPSX!$D$28:$W$106,'FORM OH'!$I$68,CPSX!Y28:Y106)</f>
        <v>0</v>
      </c>
      <c r="AG68" s="540">
        <f ca="1">SUMIF(CPSX!$D$28:$W$106,'FORM OH'!$I$68,CPSX!Z28:Z106)</f>
        <v>0</v>
      </c>
      <c r="AH68" s="540">
        <f ca="1">SUMIF(CPSX!$D$28:$W$106,'FORM OH'!$I$68,CPSX!AA28:AA106)</f>
        <v>0</v>
      </c>
      <c r="AI68" s="540">
        <f ca="1">SUMIF(CPSX!$D$28:$W$106,'FORM OH'!$I$68,CPSX!AB28:AB106)</f>
        <v>0</v>
      </c>
      <c r="AJ68" s="540">
        <f ca="1">SUMIF(CPSX!$D$28:$W$106,'FORM OH'!$I$68,CPSX!AC28:AC106)</f>
        <v>0</v>
      </c>
      <c r="AK68" s="540">
        <f ca="1">SUMIF(CPSX!$D$28:$W$106,'FORM OH'!$I$68,CPSX!AD28:AD106)</f>
        <v>0</v>
      </c>
      <c r="AL68" s="540">
        <f ca="1">SUMIF(CPSX!$D$28:$W$106,'FORM OH'!$I$68,CPSX!AE28:AE106)</f>
        <v>0</v>
      </c>
      <c r="AM68" s="540">
        <f ca="1">SUMIF(CPSX!$D$28:$W$106,'FORM OH'!$I$68,CPSX!AF28:AF106)</f>
        <v>0</v>
      </c>
      <c r="AN68" s="540">
        <f ca="1">SUMIF(CPSX!$D$28:$W$106,'FORM OH'!$I$68,CPSX!AG28:AG106)</f>
        <v>0</v>
      </c>
      <c r="AO68" s="540">
        <f ca="1">SUMIF(CPSX!$D$28:$W$106,'FORM OH'!$I$68,CPSX!AH28:AH106)</f>
        <v>0</v>
      </c>
      <c r="AP68" s="540">
        <f ca="1">SUMIF(CPSX!$D$28:$W$106,'FORM OH'!$I$68,CPSX!AI28:AI106)</f>
        <v>0</v>
      </c>
      <c r="AQ68" s="540">
        <f ca="1">SUMIF(CPSX!$D$28:$W$106,'FORM OH'!$I$68,CPSX!AJ28:AJ106)</f>
        <v>0</v>
      </c>
      <c r="AR68" s="1284">
        <f t="shared" ca="1" si="14"/>
        <v>0</v>
      </c>
      <c r="AS68" s="1284">
        <f t="shared" ca="1" si="2"/>
        <v>0</v>
      </c>
      <c r="AT68" s="1297">
        <f t="shared" ca="1" si="3"/>
        <v>0</v>
      </c>
    </row>
    <row r="69" spans="1:46" s="539" customFormat="1" ht="16.399999999999999" customHeight="1" outlineLevel="1" x14ac:dyDescent="0.35">
      <c r="A69" s="534" t="s">
        <v>782</v>
      </c>
      <c r="B69" s="534" t="s">
        <v>783</v>
      </c>
      <c r="C69" s="535" t="s">
        <v>150</v>
      </c>
      <c r="D69" s="536" t="s">
        <v>817</v>
      </c>
      <c r="E69" s="536" t="s">
        <v>818</v>
      </c>
      <c r="F69" s="536" t="s">
        <v>980</v>
      </c>
      <c r="G69" s="536" t="s">
        <v>820</v>
      </c>
      <c r="H69" s="536" t="s">
        <v>605</v>
      </c>
      <c r="I69" s="535" t="s">
        <v>981</v>
      </c>
      <c r="J69" s="536" t="s">
        <v>982</v>
      </c>
      <c r="K69" s="536" t="s">
        <v>579</v>
      </c>
      <c r="L69" s="535" t="s">
        <v>983</v>
      </c>
      <c r="M69" s="536" t="s">
        <v>984</v>
      </c>
      <c r="N69" s="544"/>
      <c r="O69" s="535"/>
      <c r="P69" s="536"/>
      <c r="Q69" s="536"/>
      <c r="R69" s="540">
        <f ca="1">SUMIF(CPSX!$D$28:$W$106,'FORM OH'!$I$69,CPSX!K28:K106)</f>
        <v>3000000</v>
      </c>
      <c r="S69" s="540">
        <f ca="1">SUMIF(CPSX!$D$28:$W$106,'FORM OH'!$I$69,CPSX!L28:L106)</f>
        <v>0</v>
      </c>
      <c r="T69" s="540">
        <f ca="1">SUMIF(CPSX!$D$28:$W$106,'FORM OH'!$I$69,CPSX!M28:M106)</f>
        <v>0</v>
      </c>
      <c r="U69" s="540">
        <f ca="1">SUMIF(CPSX!$D$28:$W$106,'FORM OH'!$I$69,CPSX!N28:N106)</f>
        <v>0</v>
      </c>
      <c r="V69" s="540">
        <f ca="1">SUMIF(CPSX!$D$28:$W$106,'FORM OH'!$I$69,CPSX!O28:O106)</f>
        <v>0</v>
      </c>
      <c r="W69" s="540">
        <f ca="1">SUMIF(CPSX!$D$28:$W$106,'FORM OH'!$I$69,CPSX!P28:P106)</f>
        <v>3000000</v>
      </c>
      <c r="X69" s="540">
        <f ca="1">SUMIF(CPSX!$D$28:$W$106,'FORM OH'!$I$69,CPSX!Q28:Q106)</f>
        <v>0</v>
      </c>
      <c r="Y69" s="540">
        <f ca="1">SUMIF(CPSX!$D$28:$W$106,'FORM OH'!$I$69,CPSX!R28:R106)</f>
        <v>0</v>
      </c>
      <c r="Z69" s="540">
        <f ca="1">SUMIF(CPSX!$D$28:$W$106,'FORM OH'!$I$69,CPSX!S28:S106)</f>
        <v>0</v>
      </c>
      <c r="AA69" s="540">
        <f ca="1">SUMIF(CPSX!$D$28:$W$106,'FORM OH'!$I$69,CPSX!T28:T106)</f>
        <v>0</v>
      </c>
      <c r="AB69" s="540">
        <f ca="1">SUMIF(CPSX!$D$28:$W$106,'FORM OH'!$I$69,CPSX!U28:U106)</f>
        <v>0</v>
      </c>
      <c r="AC69" s="540">
        <f ca="1">SUMIF(CPSX!$D$28:$W$106,'FORM OH'!$I$69,CPSX!V28:V106)</f>
        <v>0</v>
      </c>
      <c r="AD69" s="540">
        <f t="shared" ca="1" si="13"/>
        <v>6000000</v>
      </c>
      <c r="AE69" s="533"/>
      <c r="AF69" s="540">
        <f ca="1">SUMIF(CPSX!$D$28:$W$106,'FORM OH'!$I$69,CPSX!Y28:Y106)</f>
        <v>766000</v>
      </c>
      <c r="AG69" s="540">
        <f ca="1">SUMIF(CPSX!$D$28:$W$106,'FORM OH'!$I$69,CPSX!Z28:Z106)</f>
        <v>4605833</v>
      </c>
      <c r="AH69" s="540">
        <f ca="1">SUMIF(CPSX!$D$28:$W$106,'FORM OH'!$I$69,CPSX!AA28:AA106)</f>
        <v>866000</v>
      </c>
      <c r="AI69" s="540">
        <f ca="1">SUMIF(CPSX!$D$28:$W$106,'FORM OH'!$I$69,CPSX!AB28:AB106)</f>
        <v>0</v>
      </c>
      <c r="AJ69" s="540">
        <f ca="1">SUMIF(CPSX!$D$28:$W$106,'FORM OH'!$I$69,CPSX!AC28:AC106)</f>
        <v>2590118</v>
      </c>
      <c r="AK69" s="540">
        <f ca="1">SUMIF(CPSX!$D$28:$W$106,'FORM OH'!$I$69,CPSX!AD28:AD106)</f>
        <v>0</v>
      </c>
      <c r="AL69" s="540">
        <f ca="1">SUMIF(CPSX!$D$28:$W$106,'FORM OH'!$I$69,CPSX!AE28:AE106)</f>
        <v>0</v>
      </c>
      <c r="AM69" s="540">
        <f ca="1">SUMIF(CPSX!$D$28:$W$106,'FORM OH'!$I$69,CPSX!AF28:AF106)</f>
        <v>0</v>
      </c>
      <c r="AN69" s="540">
        <f ca="1">SUMIF(CPSX!$D$28:$W$106,'FORM OH'!$I$69,CPSX!AG28:AG106)</f>
        <v>9443000</v>
      </c>
      <c r="AO69" s="540">
        <f ca="1">SUMIF(CPSX!$D$28:$W$106,'FORM OH'!$I$69,CPSX!AH28:AH106)</f>
        <v>0</v>
      </c>
      <c r="AP69" s="540">
        <f ca="1">SUMIF(CPSX!$D$28:$W$106,'FORM OH'!$I$69,CPSX!AI28:AI106)</f>
        <v>0</v>
      </c>
      <c r="AQ69" s="540">
        <f ca="1">SUMIF(CPSX!$D$28:$W$106,'FORM OH'!$I$69,CPSX!AJ28:AJ106)</f>
        <v>0</v>
      </c>
      <c r="AR69" s="1284">
        <f t="shared" ca="1" si="14"/>
        <v>18270951</v>
      </c>
      <c r="AS69" s="1284">
        <f t="shared" ca="1" si="2"/>
        <v>-12270951</v>
      </c>
      <c r="AT69" s="1297">
        <f t="shared" ca="1" si="3"/>
        <v>-0.67160986858319527</v>
      </c>
    </row>
    <row r="70" spans="1:46" s="539" customFormat="1" ht="16.399999999999999" customHeight="1" outlineLevel="1" x14ac:dyDescent="0.35">
      <c r="A70" s="534" t="s">
        <v>782</v>
      </c>
      <c r="B70" s="534" t="s">
        <v>783</v>
      </c>
      <c r="C70" s="535" t="s">
        <v>150</v>
      </c>
      <c r="D70" s="536" t="s">
        <v>817</v>
      </c>
      <c r="E70" s="536" t="s">
        <v>818</v>
      </c>
      <c r="F70" s="536" t="s">
        <v>980</v>
      </c>
      <c r="G70" s="536" t="s">
        <v>820</v>
      </c>
      <c r="H70" s="536" t="s">
        <v>605</v>
      </c>
      <c r="I70" s="535" t="s">
        <v>985</v>
      </c>
      <c r="J70" s="536" t="s">
        <v>986</v>
      </c>
      <c r="K70" s="536" t="s">
        <v>579</v>
      </c>
      <c r="L70" s="535" t="s">
        <v>983</v>
      </c>
      <c r="M70" s="536" t="s">
        <v>984</v>
      </c>
      <c r="N70" s="544"/>
      <c r="O70" s="535"/>
      <c r="P70" s="536"/>
      <c r="Q70" s="536"/>
      <c r="R70" s="540">
        <f ca="1">SUMIF(CPSX!$D$28:$W$106,'FORM OH'!$I$70,CPSX!K28:K106)</f>
        <v>0</v>
      </c>
      <c r="S70" s="540">
        <f ca="1">SUMIF(CPSX!$D$28:$W$106,'FORM OH'!$I$70,CPSX!L28:L106)</f>
        <v>0</v>
      </c>
      <c r="T70" s="540">
        <f ca="1">SUMIF(CPSX!$D$28:$W$106,'FORM OH'!$I$70,CPSX!M28:M106)</f>
        <v>0</v>
      </c>
      <c r="U70" s="540">
        <f ca="1">SUMIF(CPSX!$D$28:$W$106,'FORM OH'!$I$70,CPSX!N28:N106)</f>
        <v>0</v>
      </c>
      <c r="V70" s="540">
        <f ca="1">SUMIF(CPSX!$D$28:$W$106,'FORM OH'!$I$70,CPSX!O28:O106)</f>
        <v>0</v>
      </c>
      <c r="W70" s="540">
        <f ca="1">SUMIF(CPSX!$D$28:$W$106,'FORM OH'!$I$70,CPSX!P28:P106)</f>
        <v>0</v>
      </c>
      <c r="X70" s="540">
        <f ca="1">SUMIF(CPSX!$D$28:$W$106,'FORM OH'!$I$70,CPSX!Q28:Q106)</f>
        <v>0</v>
      </c>
      <c r="Y70" s="540">
        <f ca="1">SUMIF(CPSX!$D$28:$W$106,'FORM OH'!$I$70,CPSX!R28:R106)</f>
        <v>0</v>
      </c>
      <c r="Z70" s="540">
        <f ca="1">SUMIF(CPSX!$D$28:$W$106,'FORM OH'!$I$70,CPSX!S28:S106)</f>
        <v>0</v>
      </c>
      <c r="AA70" s="540">
        <f ca="1">SUMIF(CPSX!$D$28:$W$106,'FORM OH'!$I$70,CPSX!T28:T106)</f>
        <v>0</v>
      </c>
      <c r="AB70" s="540">
        <f ca="1">SUMIF(CPSX!$D$28:$W$106,'FORM OH'!$I$70,CPSX!U28:U106)</f>
        <v>0</v>
      </c>
      <c r="AC70" s="540">
        <f ca="1">SUMIF(CPSX!$D$28:$W$106,'FORM OH'!$I$70,CPSX!V28:V106)</f>
        <v>0</v>
      </c>
      <c r="AD70" s="540">
        <f t="shared" ca="1" si="13"/>
        <v>0</v>
      </c>
      <c r="AE70" s="533"/>
      <c r="AF70" s="540">
        <f ca="1">SUMIF(CPSX!$D$28:$W$106,'FORM OH'!$I$70,CPSX!Y28:Y106)</f>
        <v>0</v>
      </c>
      <c r="AG70" s="540">
        <f ca="1">SUMIF(CPSX!$D$28:$W$106,'FORM OH'!$I$70,CPSX!Z28:Z106)</f>
        <v>0</v>
      </c>
      <c r="AH70" s="540">
        <f ca="1">SUMIF(CPSX!$D$28:$W$106,'FORM OH'!$I$70,CPSX!AA28:AA106)</f>
        <v>0</v>
      </c>
      <c r="AI70" s="540">
        <f ca="1">SUMIF(CPSX!$D$28:$W$106,'FORM OH'!$I$70,CPSX!AB28:AB106)</f>
        <v>0</v>
      </c>
      <c r="AJ70" s="540">
        <f ca="1">SUMIF(CPSX!$D$28:$W$106,'FORM OH'!$I$70,CPSX!AC28:AC106)</f>
        <v>0</v>
      </c>
      <c r="AK70" s="540">
        <f ca="1">SUMIF(CPSX!$D$28:$W$106,'FORM OH'!$I$70,CPSX!AD28:AD106)</f>
        <v>0</v>
      </c>
      <c r="AL70" s="540">
        <f ca="1">SUMIF(CPSX!$D$28:$W$106,'FORM OH'!$I$70,CPSX!AE28:AE106)</f>
        <v>0</v>
      </c>
      <c r="AM70" s="540">
        <f ca="1">SUMIF(CPSX!$D$28:$W$106,'FORM OH'!$I$70,CPSX!AF28:AF106)</f>
        <v>0</v>
      </c>
      <c r="AN70" s="540">
        <f ca="1">SUMIF(CPSX!$D$28:$W$106,'FORM OH'!$I$70,CPSX!AG28:AG106)</f>
        <v>0</v>
      </c>
      <c r="AO70" s="540">
        <f ca="1">SUMIF(CPSX!$D$28:$W$106,'FORM OH'!$I$70,CPSX!AH28:AH106)</f>
        <v>0</v>
      </c>
      <c r="AP70" s="540">
        <f ca="1">SUMIF(CPSX!$D$28:$W$106,'FORM OH'!$I$70,CPSX!AI28:AI106)</f>
        <v>0</v>
      </c>
      <c r="AQ70" s="540">
        <f ca="1">SUMIF(CPSX!$D$28:$W$106,'FORM OH'!$I$70,CPSX!AJ28:AJ106)</f>
        <v>0</v>
      </c>
      <c r="AR70" s="1284">
        <f t="shared" ca="1" si="14"/>
        <v>0</v>
      </c>
      <c r="AS70" s="1284">
        <f t="shared" ca="1" si="2"/>
        <v>0</v>
      </c>
      <c r="AT70" s="1297">
        <f t="shared" ca="1" si="3"/>
        <v>0</v>
      </c>
    </row>
    <row r="71" spans="1:46" s="539" customFormat="1" ht="16.399999999999999" customHeight="1" outlineLevel="1" x14ac:dyDescent="0.35">
      <c r="A71" s="534" t="s">
        <v>782</v>
      </c>
      <c r="B71" s="534" t="s">
        <v>783</v>
      </c>
      <c r="C71" s="535" t="s">
        <v>150</v>
      </c>
      <c r="D71" s="536" t="s">
        <v>817</v>
      </c>
      <c r="E71" s="536" t="s">
        <v>818</v>
      </c>
      <c r="F71" s="536" t="s">
        <v>980</v>
      </c>
      <c r="G71" s="536" t="s">
        <v>820</v>
      </c>
      <c r="H71" s="536" t="s">
        <v>605</v>
      </c>
      <c r="I71" s="535" t="s">
        <v>987</v>
      </c>
      <c r="J71" s="536" t="s">
        <v>604</v>
      </c>
      <c r="K71" s="536" t="s">
        <v>579</v>
      </c>
      <c r="L71" s="535" t="s">
        <v>988</v>
      </c>
      <c r="M71" s="536" t="s">
        <v>989</v>
      </c>
      <c r="N71" s="544"/>
      <c r="O71" s="535"/>
      <c r="P71" s="536"/>
      <c r="Q71" s="536"/>
      <c r="R71" s="540">
        <f ca="1">SUMIF(CPSX!$D$28:$W$106,'FORM OH'!$I$71,CPSX!K28:K106)</f>
        <v>3460875</v>
      </c>
      <c r="S71" s="540">
        <f ca="1">SUMIF(CPSX!$D$28:$W$106,'FORM OH'!$I$71,CPSX!L28:L106)</f>
        <v>2275875</v>
      </c>
      <c r="T71" s="540">
        <f ca="1">SUMIF(CPSX!$D$28:$W$106,'FORM OH'!$I$71,CPSX!M28:M106)</f>
        <v>2275875</v>
      </c>
      <c r="U71" s="540">
        <f ca="1">SUMIF(CPSX!$D$28:$W$106,'FORM OH'!$I$71,CPSX!N28:N106)</f>
        <v>2275875</v>
      </c>
      <c r="V71" s="540">
        <f ca="1">SUMIF(CPSX!$D$28:$W$106,'FORM OH'!$I$71,CPSX!O28:O106)</f>
        <v>2275875</v>
      </c>
      <c r="W71" s="540">
        <f ca="1">SUMIF(CPSX!$D$28:$W$106,'FORM OH'!$I$71,CPSX!P28:P106)</f>
        <v>2275875</v>
      </c>
      <c r="X71" s="540">
        <f ca="1">SUMIF(CPSX!$D$28:$W$106,'FORM OH'!$I$71,CPSX!Q28:Q106)</f>
        <v>2275875</v>
      </c>
      <c r="Y71" s="540">
        <f ca="1">SUMIF(CPSX!$D$28:$W$106,'FORM OH'!$I$71,CPSX!R28:R106)</f>
        <v>2275875</v>
      </c>
      <c r="Z71" s="540">
        <f ca="1">SUMIF(CPSX!$D$28:$W$106,'FORM OH'!$I$71,CPSX!S28:S106)</f>
        <v>2275875</v>
      </c>
      <c r="AA71" s="540">
        <f ca="1">SUMIF(CPSX!$D$28:$W$106,'FORM OH'!$I$71,CPSX!T28:T106)</f>
        <v>2275875</v>
      </c>
      <c r="AB71" s="540">
        <f ca="1">SUMIF(CPSX!$D$28:$W$106,'FORM OH'!$I$71,CPSX!U28:U106)</f>
        <v>2275875</v>
      </c>
      <c r="AC71" s="540">
        <f ca="1">SUMIF(CPSX!$D$28:$W$106,'FORM OH'!$I$71,CPSX!V28:V106)</f>
        <v>2275875</v>
      </c>
      <c r="AD71" s="540">
        <f t="shared" ca="1" si="13"/>
        <v>28495500</v>
      </c>
      <c r="AE71" s="533"/>
      <c r="AF71" s="540">
        <f ca="1">SUMIF(CPSX!$D$28:$W$106,'FORM OH'!$I$71,CPSX!Y28:Y106)</f>
        <v>4644500</v>
      </c>
      <c r="AG71" s="540">
        <f ca="1">SUMIF(CPSX!$D$28:$W$106,'FORM OH'!$I$71,CPSX!Z28:Z106)</f>
        <v>4644500</v>
      </c>
      <c r="AH71" s="540">
        <f ca="1">SUMIF(CPSX!$D$28:$W$106,'FORM OH'!$I$71,CPSX!AA28:AA106)</f>
        <v>4644500</v>
      </c>
      <c r="AI71" s="540">
        <f ca="1">SUMIF(CPSX!$D$28:$W$106,'FORM OH'!$I$71,CPSX!AB28:AB106)</f>
        <v>4644500</v>
      </c>
      <c r="AJ71" s="540">
        <f ca="1">SUMIF(CPSX!$D$28:$W$106,'FORM OH'!$I$71,CPSX!AC28:AC106)</f>
        <v>3929572</v>
      </c>
      <c r="AK71" s="540">
        <f ca="1">SUMIF(CPSX!$D$28:$W$106,'FORM OH'!$I$71,CPSX!AD28:AD106)</f>
        <v>3000000</v>
      </c>
      <c r="AL71" s="540">
        <f ca="1">SUMIF(CPSX!$D$28:$W$106,'FORM OH'!$I$71,CPSX!AE28:AE106)</f>
        <v>3000000</v>
      </c>
      <c r="AM71" s="540">
        <f ca="1">SUMIF(CPSX!$D$28:$W$106,'FORM OH'!$I$71,CPSX!AF28:AF106)</f>
        <v>4185000</v>
      </c>
      <c r="AN71" s="540">
        <f ca="1">SUMIF(CPSX!$D$28:$W$106,'FORM OH'!$I$71,CPSX!AG28:AG106)</f>
        <v>3257500</v>
      </c>
      <c r="AO71" s="540">
        <f ca="1">SUMIF(CPSX!$D$28:$W$106,'FORM OH'!$I$71,CPSX!AH28:AH106)</f>
        <v>1847500</v>
      </c>
      <c r="AP71" s="540">
        <f ca="1">SUMIF(CPSX!$D$28:$W$106,'FORM OH'!$I$71,CPSX!AI28:AI106)</f>
        <v>1847500</v>
      </c>
      <c r="AQ71" s="540">
        <f ca="1">SUMIF(CPSX!$D$28:$W$106,'FORM OH'!$I$71,CPSX!AJ28:AJ106)</f>
        <v>1185000</v>
      </c>
      <c r="AR71" s="1284">
        <f t="shared" ca="1" si="14"/>
        <v>40830072</v>
      </c>
      <c r="AS71" s="1284">
        <f t="shared" ca="1" si="2"/>
        <v>-12334572</v>
      </c>
      <c r="AT71" s="1297">
        <f t="shared" ca="1" si="3"/>
        <v>-0.30209527918540041</v>
      </c>
    </row>
    <row r="72" spans="1:46" s="539" customFormat="1" ht="16.399999999999999" customHeight="1" outlineLevel="1" x14ac:dyDescent="0.35">
      <c r="A72" s="534" t="s">
        <v>782</v>
      </c>
      <c r="B72" s="534" t="s">
        <v>783</v>
      </c>
      <c r="C72" s="535" t="s">
        <v>150</v>
      </c>
      <c r="D72" s="536" t="s">
        <v>817</v>
      </c>
      <c r="E72" s="536" t="s">
        <v>818</v>
      </c>
      <c r="F72" s="536" t="s">
        <v>860</v>
      </c>
      <c r="G72" s="536" t="s">
        <v>820</v>
      </c>
      <c r="H72" s="536" t="s">
        <v>861</v>
      </c>
      <c r="I72" s="535" t="s">
        <v>990</v>
      </c>
      <c r="J72" s="536" t="s">
        <v>438</v>
      </c>
      <c r="K72" s="536" t="s">
        <v>597</v>
      </c>
      <c r="L72" s="535" t="s">
        <v>991</v>
      </c>
      <c r="M72" s="536" t="s">
        <v>992</v>
      </c>
      <c r="N72" s="536"/>
      <c r="O72" s="535"/>
      <c r="P72" s="536"/>
      <c r="Q72" s="536"/>
      <c r="R72" s="540">
        <f ca="1">SUMIF(CPSX!$D$28:$W$106,'FORM OH'!$I$72,CPSX!K28:K106)</f>
        <v>0</v>
      </c>
      <c r="S72" s="540">
        <f ca="1">SUMIF(CPSX!$D$28:$W$106,'FORM OH'!$I$72,CPSX!L28:L106)</f>
        <v>0</v>
      </c>
      <c r="T72" s="540">
        <f ca="1">SUMIF(CPSX!$D$28:$W$106,'FORM OH'!$I$72,CPSX!M28:M106)</f>
        <v>0</v>
      </c>
      <c r="U72" s="540">
        <f ca="1">SUMIF(CPSX!$D$28:$W$106,'FORM OH'!$I$72,CPSX!N28:N106)</f>
        <v>0</v>
      </c>
      <c r="V72" s="540">
        <f ca="1">SUMIF(CPSX!$D$28:$W$106,'FORM OH'!$I$72,CPSX!O28:O106)</f>
        <v>0</v>
      </c>
      <c r="W72" s="540">
        <f ca="1">SUMIF(CPSX!$D$28:$W$106,'FORM OH'!$I$72,CPSX!P28:P106)</f>
        <v>0</v>
      </c>
      <c r="X72" s="540">
        <f ca="1">SUMIF(CPSX!$D$28:$W$106,'FORM OH'!$I$72,CPSX!Q28:Q106)</f>
        <v>0</v>
      </c>
      <c r="Y72" s="540">
        <f ca="1">SUMIF(CPSX!$D$28:$W$106,'FORM OH'!$I$72,CPSX!R28:R106)</f>
        <v>0</v>
      </c>
      <c r="Z72" s="540">
        <f ca="1">SUMIF(CPSX!$D$28:$W$106,'FORM OH'!$I$72,CPSX!S28:S106)</f>
        <v>0</v>
      </c>
      <c r="AA72" s="540">
        <f ca="1">SUMIF(CPSX!$D$28:$W$106,'FORM OH'!$I$72,CPSX!T28:T106)</f>
        <v>0</v>
      </c>
      <c r="AB72" s="540">
        <f ca="1">SUMIF(CPSX!$D$28:$W$106,'FORM OH'!$I$72,CPSX!U28:U106)</f>
        <v>0</v>
      </c>
      <c r="AC72" s="540">
        <f ca="1">SUMIF(CPSX!$D$28:$W$106,'FORM OH'!$I$72,CPSX!V28:V106)</f>
        <v>0</v>
      </c>
      <c r="AD72" s="540">
        <f t="shared" ca="1" si="13"/>
        <v>0</v>
      </c>
      <c r="AE72" s="533"/>
      <c r="AF72" s="540">
        <f ca="1">SUMIF(CPSX!$D$28:$W$106,'FORM OH'!$I$72,CPSX!Y28:Y106)</f>
        <v>0</v>
      </c>
      <c r="AG72" s="540">
        <f ca="1">SUMIF(CPSX!$D$28:$W$106,'FORM OH'!$I$72,CPSX!Z28:Z106)</f>
        <v>0</v>
      </c>
      <c r="AH72" s="540">
        <f ca="1">SUMIF(CPSX!$D$28:$W$106,'FORM OH'!$I$72,CPSX!AA28:AA106)</f>
        <v>0</v>
      </c>
      <c r="AI72" s="540">
        <f ca="1">SUMIF(CPSX!$D$28:$W$106,'FORM OH'!$I$72,CPSX!AB28:AB106)</f>
        <v>0</v>
      </c>
      <c r="AJ72" s="540">
        <f ca="1">SUMIF(CPSX!$D$28:$W$106,'FORM OH'!$I$72,CPSX!AC28:AC106)</f>
        <v>0</v>
      </c>
      <c r="AK72" s="540">
        <f ca="1">SUMIF(CPSX!$D$28:$W$106,'FORM OH'!$I$72,CPSX!AD28:AD106)</f>
        <v>0</v>
      </c>
      <c r="AL72" s="540">
        <f ca="1">SUMIF(CPSX!$D$28:$W$106,'FORM OH'!$I$72,CPSX!AE28:AE106)</f>
        <v>0</v>
      </c>
      <c r="AM72" s="540">
        <f ca="1">SUMIF(CPSX!$D$28:$W$106,'FORM OH'!$I$72,CPSX!AF28:AF106)</f>
        <v>0</v>
      </c>
      <c r="AN72" s="540">
        <f ca="1">SUMIF(CPSX!$D$28:$W$106,'FORM OH'!$I$72,CPSX!AG28:AG106)</f>
        <v>0</v>
      </c>
      <c r="AO72" s="540">
        <f ca="1">SUMIF(CPSX!$D$28:$W$106,'FORM OH'!$I$72,CPSX!AH28:AH106)</f>
        <v>0</v>
      </c>
      <c r="AP72" s="540">
        <f ca="1">SUMIF(CPSX!$D$28:$W$106,'FORM OH'!$I$72,CPSX!AI28:AI106)</f>
        <v>0</v>
      </c>
      <c r="AQ72" s="540">
        <f ca="1">SUMIF(CPSX!$D$28:$W$106,'FORM OH'!$I$72,CPSX!AJ28:AJ106)</f>
        <v>0</v>
      </c>
      <c r="AR72" s="1284">
        <f t="shared" ca="1" si="14"/>
        <v>0</v>
      </c>
      <c r="AS72" s="1284">
        <f t="shared" ca="1" si="2"/>
        <v>0</v>
      </c>
      <c r="AT72" s="1297">
        <f t="shared" ca="1" si="3"/>
        <v>0</v>
      </c>
    </row>
    <row r="73" spans="1:46" s="539" customFormat="1" ht="16.399999999999999" customHeight="1" outlineLevel="1" x14ac:dyDescent="0.35">
      <c r="A73" s="534" t="s">
        <v>782</v>
      </c>
      <c r="B73" s="534" t="s">
        <v>783</v>
      </c>
      <c r="C73" s="535" t="s">
        <v>150</v>
      </c>
      <c r="D73" s="536" t="s">
        <v>817</v>
      </c>
      <c r="E73" s="536" t="s">
        <v>818</v>
      </c>
      <c r="F73" s="536" t="s">
        <v>860</v>
      </c>
      <c r="G73" s="536" t="s">
        <v>820</v>
      </c>
      <c r="H73" s="536" t="s">
        <v>861</v>
      </c>
      <c r="I73" s="535" t="s">
        <v>993</v>
      </c>
      <c r="J73" s="536" t="s">
        <v>439</v>
      </c>
      <c r="K73" s="536" t="s">
        <v>598</v>
      </c>
      <c r="L73" s="535" t="s">
        <v>994</v>
      </c>
      <c r="M73" s="536" t="s">
        <v>995</v>
      </c>
      <c r="N73" s="536"/>
      <c r="O73" s="535"/>
      <c r="P73" s="536"/>
      <c r="Q73" s="536"/>
      <c r="R73" s="540">
        <f ca="1">SUMIF(CPSX!$D$28:$W$106,'FORM OH'!$I$73,CPSX!K28:K106)</f>
        <v>0</v>
      </c>
      <c r="S73" s="540">
        <f ca="1">SUMIF(CPSX!$D$28:$W$106,'FORM OH'!$I$73,CPSX!L28:L106)</f>
        <v>0</v>
      </c>
      <c r="T73" s="540">
        <f ca="1">SUMIF(CPSX!$D$28:$W$106,'FORM OH'!$I$73,CPSX!M28:M106)</f>
        <v>0</v>
      </c>
      <c r="U73" s="540">
        <f ca="1">SUMIF(CPSX!$D$28:$W$106,'FORM OH'!$I$73,CPSX!N28:N106)</f>
        <v>0</v>
      </c>
      <c r="V73" s="540">
        <f ca="1">SUMIF(CPSX!$D$28:$W$106,'FORM OH'!$I$73,CPSX!O28:O106)</f>
        <v>0</v>
      </c>
      <c r="W73" s="540">
        <f ca="1">SUMIF(CPSX!$D$28:$W$106,'FORM OH'!$I$73,CPSX!P28:P106)</f>
        <v>0</v>
      </c>
      <c r="X73" s="540">
        <f ca="1">SUMIF(CPSX!$D$28:$W$106,'FORM OH'!$I$73,CPSX!Q28:Q106)</f>
        <v>0</v>
      </c>
      <c r="Y73" s="540">
        <f ca="1">SUMIF(CPSX!$D$28:$W$106,'FORM OH'!$I$73,CPSX!R28:R106)</f>
        <v>0</v>
      </c>
      <c r="Z73" s="540">
        <f ca="1">SUMIF(CPSX!$D$28:$W$106,'FORM OH'!$I$73,CPSX!S28:S106)</f>
        <v>0</v>
      </c>
      <c r="AA73" s="540">
        <f ca="1">SUMIF(CPSX!$D$28:$W$106,'FORM OH'!$I$73,CPSX!T28:T106)</f>
        <v>0</v>
      </c>
      <c r="AB73" s="540">
        <f ca="1">SUMIF(CPSX!$D$28:$W$106,'FORM OH'!$I$73,CPSX!U28:U106)</f>
        <v>0</v>
      </c>
      <c r="AC73" s="540">
        <f ca="1">SUMIF(CPSX!$D$28:$W$106,'FORM OH'!$I$73,CPSX!V28:V106)</f>
        <v>0</v>
      </c>
      <c r="AD73" s="540">
        <f t="shared" ca="1" si="13"/>
        <v>0</v>
      </c>
      <c r="AE73" s="533"/>
      <c r="AF73" s="540">
        <f ca="1">SUMIF(CPSX!$D$28:$W$106,'FORM OH'!$I$73,CPSX!Y28:Y106)</f>
        <v>0</v>
      </c>
      <c r="AG73" s="540">
        <f ca="1">SUMIF(CPSX!$D$28:$W$106,'FORM OH'!$I$73,CPSX!Z28:Z106)</f>
        <v>0</v>
      </c>
      <c r="AH73" s="540">
        <f ca="1">SUMIF(CPSX!$D$28:$W$106,'FORM OH'!$I$73,CPSX!AA28:AA106)</f>
        <v>0</v>
      </c>
      <c r="AI73" s="540">
        <f ca="1">SUMIF(CPSX!$D$28:$W$106,'FORM OH'!$I$73,CPSX!AB28:AB106)</f>
        <v>0</v>
      </c>
      <c r="AJ73" s="540">
        <f ca="1">SUMIF(CPSX!$D$28:$W$106,'FORM OH'!$I$73,CPSX!AC28:AC106)</f>
        <v>0</v>
      </c>
      <c r="AK73" s="540">
        <f ca="1">SUMIF(CPSX!$D$28:$W$106,'FORM OH'!$I$73,CPSX!AD28:AD106)</f>
        <v>0</v>
      </c>
      <c r="AL73" s="540">
        <f ca="1">SUMIF(CPSX!$D$28:$W$106,'FORM OH'!$I$73,CPSX!AE28:AE106)</f>
        <v>0</v>
      </c>
      <c r="AM73" s="540">
        <f ca="1">SUMIF(CPSX!$D$28:$W$106,'FORM OH'!$I$73,CPSX!AF28:AF106)</f>
        <v>0</v>
      </c>
      <c r="AN73" s="540">
        <f ca="1">SUMIF(CPSX!$D$28:$W$106,'FORM OH'!$I$73,CPSX!AG28:AG106)</f>
        <v>0</v>
      </c>
      <c r="AO73" s="540">
        <f ca="1">SUMIF(CPSX!$D$28:$W$106,'FORM OH'!$I$73,CPSX!AH28:AH106)</f>
        <v>0</v>
      </c>
      <c r="AP73" s="540">
        <f ca="1">SUMIF(CPSX!$D$28:$W$106,'FORM OH'!$I$73,CPSX!AI28:AI106)</f>
        <v>0</v>
      </c>
      <c r="AQ73" s="540">
        <f ca="1">SUMIF(CPSX!$D$28:$W$106,'FORM OH'!$I$73,CPSX!AJ28:AJ106)</f>
        <v>0</v>
      </c>
      <c r="AR73" s="1284">
        <f t="shared" ca="1" si="14"/>
        <v>0</v>
      </c>
      <c r="AS73" s="1284">
        <f t="shared" ca="1" si="2"/>
        <v>0</v>
      </c>
      <c r="AT73" s="1297">
        <f t="shared" ca="1" si="3"/>
        <v>0</v>
      </c>
    </row>
    <row r="74" spans="1:46" s="539" customFormat="1" ht="16.399999999999999" customHeight="1" outlineLevel="1" x14ac:dyDescent="0.35">
      <c r="A74" s="534" t="s">
        <v>782</v>
      </c>
      <c r="B74" s="534" t="s">
        <v>783</v>
      </c>
      <c r="C74" s="535" t="s">
        <v>150</v>
      </c>
      <c r="D74" s="536" t="s">
        <v>817</v>
      </c>
      <c r="E74" s="536" t="s">
        <v>818</v>
      </c>
      <c r="F74" s="536" t="s">
        <v>860</v>
      </c>
      <c r="G74" s="536" t="s">
        <v>820</v>
      </c>
      <c r="H74" s="536" t="s">
        <v>861</v>
      </c>
      <c r="I74" s="535" t="s">
        <v>996</v>
      </c>
      <c r="J74" s="536" t="s">
        <v>440</v>
      </c>
      <c r="K74" s="536" t="s">
        <v>597</v>
      </c>
      <c r="L74" s="535" t="s">
        <v>997</v>
      </c>
      <c r="M74" s="536" t="s">
        <v>998</v>
      </c>
      <c r="N74" s="536"/>
      <c r="O74" s="535"/>
      <c r="P74" s="536"/>
      <c r="Q74" s="536"/>
      <c r="R74" s="540">
        <f ca="1">SUMIF(CPSX!$D$28:$W$106,'FORM OH'!$I$74,CPSX!K28:K106)</f>
        <v>0</v>
      </c>
      <c r="S74" s="540">
        <f ca="1">SUMIF(CPSX!$D$28:$W$106,'FORM OH'!$I$74,CPSX!L28:L106)</f>
        <v>0</v>
      </c>
      <c r="T74" s="540">
        <f ca="1">SUMIF(CPSX!$D$28:$W$106,'FORM OH'!$I$74,CPSX!M28:M106)</f>
        <v>0</v>
      </c>
      <c r="U74" s="540">
        <f ca="1">SUMIF(CPSX!$D$28:$W$106,'FORM OH'!$I$74,CPSX!N28:N106)</f>
        <v>0</v>
      </c>
      <c r="V74" s="540">
        <f ca="1">SUMIF(CPSX!$D$28:$W$106,'FORM OH'!$I$74,CPSX!O28:O106)</f>
        <v>0</v>
      </c>
      <c r="W74" s="540">
        <f ca="1">SUMIF(CPSX!$D$28:$W$106,'FORM OH'!$I$74,CPSX!P28:P106)</f>
        <v>0</v>
      </c>
      <c r="X74" s="540">
        <f ca="1">SUMIF(CPSX!$D$28:$W$106,'FORM OH'!$I$74,CPSX!Q28:Q106)</f>
        <v>0</v>
      </c>
      <c r="Y74" s="540">
        <f ca="1">SUMIF(CPSX!$D$28:$W$106,'FORM OH'!$I$74,CPSX!R28:R106)</f>
        <v>0</v>
      </c>
      <c r="Z74" s="540">
        <f ca="1">SUMIF(CPSX!$D$28:$W$106,'FORM OH'!$I$74,CPSX!S28:S106)</f>
        <v>0</v>
      </c>
      <c r="AA74" s="540">
        <f ca="1">SUMIF(CPSX!$D$28:$W$106,'FORM OH'!$I$74,CPSX!T28:T106)</f>
        <v>0</v>
      </c>
      <c r="AB74" s="540">
        <f ca="1">SUMIF(CPSX!$D$28:$W$106,'FORM OH'!$I$74,CPSX!U28:U106)</f>
        <v>0</v>
      </c>
      <c r="AC74" s="540">
        <f ca="1">SUMIF(CPSX!$D$28:$W$106,'FORM OH'!$I$74,CPSX!V28:V106)</f>
        <v>0</v>
      </c>
      <c r="AD74" s="540">
        <f t="shared" ca="1" si="13"/>
        <v>0</v>
      </c>
      <c r="AE74" s="533"/>
      <c r="AF74" s="540">
        <f ca="1">SUMIF(CPSX!$D$28:$W$106,'FORM OH'!$I$74,CPSX!Y28:Y106)</f>
        <v>0</v>
      </c>
      <c r="AG74" s="540">
        <f ca="1">SUMIF(CPSX!$D$28:$W$106,'FORM OH'!$I$74,CPSX!Z28:Z106)</f>
        <v>0</v>
      </c>
      <c r="AH74" s="540">
        <f ca="1">SUMIF(CPSX!$D$28:$W$106,'FORM OH'!$I$74,CPSX!AA28:AA106)</f>
        <v>0</v>
      </c>
      <c r="AI74" s="540">
        <f ca="1">SUMIF(CPSX!$D$28:$W$106,'FORM OH'!$I$74,CPSX!AB28:AB106)</f>
        <v>0</v>
      </c>
      <c r="AJ74" s="540">
        <f ca="1">SUMIF(CPSX!$D$28:$W$106,'FORM OH'!$I$74,CPSX!AC28:AC106)</f>
        <v>0</v>
      </c>
      <c r="AK74" s="540">
        <f ca="1">SUMIF(CPSX!$D$28:$W$106,'FORM OH'!$I$74,CPSX!AD28:AD106)</f>
        <v>0</v>
      </c>
      <c r="AL74" s="540">
        <f ca="1">SUMIF(CPSX!$D$28:$W$106,'FORM OH'!$I$74,CPSX!AE28:AE106)</f>
        <v>0</v>
      </c>
      <c r="AM74" s="540">
        <f ca="1">SUMIF(CPSX!$D$28:$W$106,'FORM OH'!$I$74,CPSX!AF28:AF106)</f>
        <v>0</v>
      </c>
      <c r="AN74" s="540">
        <f ca="1">SUMIF(CPSX!$D$28:$W$106,'FORM OH'!$I$74,CPSX!AG28:AG106)</f>
        <v>0</v>
      </c>
      <c r="AO74" s="540">
        <f ca="1">SUMIF(CPSX!$D$28:$W$106,'FORM OH'!$I$74,CPSX!AH28:AH106)</f>
        <v>0</v>
      </c>
      <c r="AP74" s="540">
        <f ca="1">SUMIF(CPSX!$D$28:$W$106,'FORM OH'!$I$74,CPSX!AI28:AI106)</f>
        <v>0</v>
      </c>
      <c r="AQ74" s="540">
        <f ca="1">SUMIF(CPSX!$D$28:$W$106,'FORM OH'!$I$74,CPSX!AJ28:AJ106)</f>
        <v>0</v>
      </c>
      <c r="AR74" s="1284">
        <f t="shared" ca="1" si="14"/>
        <v>0</v>
      </c>
      <c r="AS74" s="1284">
        <f t="shared" ref="AS74:AS138" ca="1" si="15">AD74-AR74</f>
        <v>0</v>
      </c>
      <c r="AT74" s="1297">
        <f t="shared" ref="AT74:AT138" ca="1" si="16">IFERROR(AS74/AR74,0)</f>
        <v>0</v>
      </c>
    </row>
    <row r="75" spans="1:46" s="539" customFormat="1" ht="16.399999999999999" customHeight="1" outlineLevel="1" x14ac:dyDescent="0.35">
      <c r="A75" s="534" t="s">
        <v>782</v>
      </c>
      <c r="B75" s="534" t="s">
        <v>783</v>
      </c>
      <c r="C75" s="535" t="s">
        <v>150</v>
      </c>
      <c r="D75" s="536" t="s">
        <v>817</v>
      </c>
      <c r="E75" s="536" t="s">
        <v>818</v>
      </c>
      <c r="F75" s="536" t="s">
        <v>999</v>
      </c>
      <c r="G75" s="536" t="s">
        <v>820</v>
      </c>
      <c r="H75" s="536" t="s">
        <v>1000</v>
      </c>
      <c r="I75" s="535" t="s">
        <v>1001</v>
      </c>
      <c r="J75" s="536" t="s">
        <v>94</v>
      </c>
      <c r="K75" s="536" t="s">
        <v>600</v>
      </c>
      <c r="L75" s="535" t="s">
        <v>1002</v>
      </c>
      <c r="M75" s="536" t="s">
        <v>1000</v>
      </c>
      <c r="N75" s="536"/>
      <c r="O75" s="535"/>
      <c r="P75" s="536"/>
      <c r="Q75" s="536"/>
      <c r="R75" s="540">
        <f ca="1">SUMIF(CPSX!$D$28:$W$106,'FORM OH'!$I$75,CPSX!K28:K106)</f>
        <v>0</v>
      </c>
      <c r="S75" s="540">
        <f ca="1">SUMIF(CPSX!$D$28:$W$106,'FORM OH'!$I$75,CPSX!L28:L106)</f>
        <v>0</v>
      </c>
      <c r="T75" s="540">
        <f ca="1">SUMIF(CPSX!$D$28:$W$106,'FORM OH'!$I$75,CPSX!M28:M106)</f>
        <v>0</v>
      </c>
      <c r="U75" s="540">
        <f ca="1">SUMIF(CPSX!$D$28:$W$106,'FORM OH'!$I$75,CPSX!N28:N106)</f>
        <v>0</v>
      </c>
      <c r="V75" s="540">
        <f ca="1">SUMIF(CPSX!$D$28:$W$106,'FORM OH'!$I$75,CPSX!O28:O106)</f>
        <v>0</v>
      </c>
      <c r="W75" s="540">
        <f ca="1">SUMIF(CPSX!$D$28:$W$106,'FORM OH'!$I$75,CPSX!P28:P106)</f>
        <v>0</v>
      </c>
      <c r="X75" s="540">
        <f ca="1">SUMIF(CPSX!$D$28:$W$106,'FORM OH'!$I$75,CPSX!Q28:Q106)</f>
        <v>0</v>
      </c>
      <c r="Y75" s="540">
        <f ca="1">SUMIF(CPSX!$D$28:$W$106,'FORM OH'!$I$75,CPSX!R28:R106)</f>
        <v>0</v>
      </c>
      <c r="Z75" s="540">
        <f ca="1">SUMIF(CPSX!$D$28:$W$106,'FORM OH'!$I$75,CPSX!S28:S106)</f>
        <v>0</v>
      </c>
      <c r="AA75" s="540">
        <f ca="1">SUMIF(CPSX!$D$28:$W$106,'FORM OH'!$I$75,CPSX!T28:T106)</f>
        <v>0</v>
      </c>
      <c r="AB75" s="540">
        <f ca="1">SUMIF(CPSX!$D$28:$W$106,'FORM OH'!$I$75,CPSX!U28:U106)</f>
        <v>0</v>
      </c>
      <c r="AC75" s="540">
        <f ca="1">SUMIF(CPSX!$D$28:$W$106,'FORM OH'!$I$75,CPSX!V28:V106)</f>
        <v>0</v>
      </c>
      <c r="AD75" s="540">
        <f t="shared" ca="1" si="13"/>
        <v>0</v>
      </c>
      <c r="AE75" s="533"/>
      <c r="AF75" s="540">
        <f ca="1">SUMIF(CPSX!$D$28:$W$106,'FORM OH'!$I$75,CPSX!Y28:Y106)</f>
        <v>0</v>
      </c>
      <c r="AG75" s="540">
        <f ca="1">SUMIF(CPSX!$D$28:$W$106,'FORM OH'!$I$75,CPSX!Z28:Z106)</f>
        <v>0</v>
      </c>
      <c r="AH75" s="540">
        <f ca="1">SUMIF(CPSX!$D$28:$W$106,'FORM OH'!$I$75,CPSX!AA28:AA106)</f>
        <v>0</v>
      </c>
      <c r="AI75" s="540">
        <f ca="1">SUMIF(CPSX!$D$28:$W$106,'FORM OH'!$I$75,CPSX!AB28:AB106)</f>
        <v>0</v>
      </c>
      <c r="AJ75" s="540">
        <f ca="1">SUMIF(CPSX!$D$28:$W$106,'FORM OH'!$I$75,CPSX!AC28:AC106)</f>
        <v>0</v>
      </c>
      <c r="AK75" s="540">
        <f ca="1">SUMIF(CPSX!$D$28:$W$106,'FORM OH'!$I$75,CPSX!AD28:AD106)</f>
        <v>0</v>
      </c>
      <c r="AL75" s="540">
        <f ca="1">SUMIF(CPSX!$D$28:$W$106,'FORM OH'!$I$75,CPSX!AE28:AE106)</f>
        <v>0</v>
      </c>
      <c r="AM75" s="540">
        <f ca="1">SUMIF(CPSX!$D$28:$W$106,'FORM OH'!$I$75,CPSX!AF28:AF106)</f>
        <v>0</v>
      </c>
      <c r="AN75" s="540">
        <f ca="1">SUMIF(CPSX!$D$28:$W$106,'FORM OH'!$I$75,CPSX!AG28:AG106)</f>
        <v>0</v>
      </c>
      <c r="AO75" s="540">
        <f ca="1">SUMIF(CPSX!$D$28:$W$106,'FORM OH'!$I$75,CPSX!AH28:AH106)</f>
        <v>0</v>
      </c>
      <c r="AP75" s="540">
        <f ca="1">SUMIF(CPSX!$D$28:$W$106,'FORM OH'!$I$75,CPSX!AI28:AI106)</f>
        <v>0</v>
      </c>
      <c r="AQ75" s="540">
        <f ca="1">SUMIF(CPSX!$D$28:$W$106,'FORM OH'!$I$75,CPSX!AJ28:AJ106)</f>
        <v>0</v>
      </c>
      <c r="AR75" s="1284">
        <f t="shared" ca="1" si="14"/>
        <v>0</v>
      </c>
      <c r="AS75" s="1284">
        <f t="shared" ca="1" si="15"/>
        <v>0</v>
      </c>
      <c r="AT75" s="1297">
        <f t="shared" ca="1" si="16"/>
        <v>0</v>
      </c>
    </row>
    <row r="76" spans="1:46" s="539" customFormat="1" ht="16.399999999999999" customHeight="1" outlineLevel="1" x14ac:dyDescent="0.35">
      <c r="A76" s="534" t="s">
        <v>782</v>
      </c>
      <c r="B76" s="534" t="s">
        <v>783</v>
      </c>
      <c r="C76" s="535" t="s">
        <v>150</v>
      </c>
      <c r="D76" s="536" t="s">
        <v>817</v>
      </c>
      <c r="E76" s="536" t="s">
        <v>818</v>
      </c>
      <c r="F76" s="536" t="s">
        <v>975</v>
      </c>
      <c r="G76" s="536" t="s">
        <v>820</v>
      </c>
      <c r="H76" s="536" t="s">
        <v>1003</v>
      </c>
      <c r="I76" s="535" t="s">
        <v>1004</v>
      </c>
      <c r="J76" s="536" t="s">
        <v>441</v>
      </c>
      <c r="K76" s="536" t="s">
        <v>570</v>
      </c>
      <c r="L76" s="535" t="s">
        <v>1005</v>
      </c>
      <c r="M76" s="536" t="s">
        <v>1006</v>
      </c>
      <c r="N76" s="536"/>
      <c r="O76" s="535"/>
      <c r="P76" s="536"/>
      <c r="Q76" s="536"/>
      <c r="R76" s="540">
        <f ca="1">SUMIF(CPSX!$D$28:$W$106,'FORM OH'!$I$76,CPSX!K28:K106)</f>
        <v>1454361.5625</v>
      </c>
      <c r="S76" s="540">
        <f ca="1">SUMIF(CPSX!$D$28:$W$106,'FORM OH'!$I$76,CPSX!L28:L106)</f>
        <v>1454361.5625</v>
      </c>
      <c r="T76" s="540">
        <f ca="1">SUMIF(CPSX!$D$28:$W$106,'FORM OH'!$I$76,CPSX!M28:M106)</f>
        <v>1454361.5625</v>
      </c>
      <c r="U76" s="540">
        <f ca="1">SUMIF(CPSX!$D$28:$W$106,'FORM OH'!$I$76,CPSX!N28:N106)</f>
        <v>1454361.5625</v>
      </c>
      <c r="V76" s="540">
        <f ca="1">SUMIF(CPSX!$D$28:$W$106,'FORM OH'!$I$76,CPSX!O28:O106)</f>
        <v>1454361.5625</v>
      </c>
      <c r="W76" s="540">
        <f ca="1">SUMIF(CPSX!$D$28:$W$106,'FORM OH'!$I$76,CPSX!P28:P106)</f>
        <v>1454361.5625</v>
      </c>
      <c r="X76" s="540">
        <f ca="1">SUMIF(CPSX!$D$28:$W$106,'FORM OH'!$I$76,CPSX!Q28:Q106)</f>
        <v>1454361.5625</v>
      </c>
      <c r="Y76" s="540">
        <f ca="1">SUMIF(CPSX!$D$28:$W$106,'FORM OH'!$I$76,CPSX!R28:R106)</f>
        <v>1230361.5625</v>
      </c>
      <c r="Z76" s="540">
        <f ca="1">SUMIF(CPSX!$D$28:$W$106,'FORM OH'!$I$76,CPSX!S28:S106)</f>
        <v>1230361.5625</v>
      </c>
      <c r="AA76" s="540">
        <f ca="1">SUMIF(CPSX!$D$28:$W$106,'FORM OH'!$I$76,CPSX!T28:T106)</f>
        <v>1230361.5625</v>
      </c>
      <c r="AB76" s="540">
        <f ca="1">SUMIF(CPSX!$D$28:$W$106,'FORM OH'!$I$76,CPSX!U28:U106)</f>
        <v>1230361.5625</v>
      </c>
      <c r="AC76" s="540">
        <f ca="1">SUMIF(CPSX!$D$28:$W$106,'FORM OH'!$I$76,CPSX!V28:V106)</f>
        <v>1230361.5625</v>
      </c>
      <c r="AD76" s="540">
        <f t="shared" ca="1" si="13"/>
        <v>16332338.75</v>
      </c>
      <c r="AE76" s="533"/>
      <c r="AF76" s="540">
        <f ca="1">SUMIF(CPSX!$D$28:$W$106,'FORM OH'!$I$76,CPSX!Y28:Y106)</f>
        <v>394153</v>
      </c>
      <c r="AG76" s="540">
        <f ca="1">SUMIF(CPSX!$D$28:$W$106,'FORM OH'!$I$76,CPSX!Z28:Z106)</f>
        <v>394153</v>
      </c>
      <c r="AH76" s="540">
        <f ca="1">SUMIF(CPSX!$D$28:$W$106,'FORM OH'!$I$76,CPSX!AA28:AA106)</f>
        <v>394153</v>
      </c>
      <c r="AI76" s="540">
        <f ca="1">SUMIF(CPSX!$D$28:$W$106,'FORM OH'!$I$76,CPSX!AB28:AB106)</f>
        <v>394153</v>
      </c>
      <c r="AJ76" s="540">
        <f ca="1">SUMIF(CPSX!$D$28:$W$106,'FORM OH'!$I$76,CPSX!AC28:AC106)</f>
        <v>394153</v>
      </c>
      <c r="AK76" s="540">
        <f ca="1">SUMIF(CPSX!$D$28:$W$106,'FORM OH'!$I$76,CPSX!AD28:AD106)</f>
        <v>394153</v>
      </c>
      <c r="AL76" s="540">
        <f ca="1">SUMIF(CPSX!$D$28:$W$106,'FORM OH'!$I$76,CPSX!AE28:AE106)</f>
        <v>249028</v>
      </c>
      <c r="AM76" s="540">
        <f ca="1">SUMIF(CPSX!$D$28:$W$106,'FORM OH'!$I$76,CPSX!AF28:AF106)</f>
        <v>15399753</v>
      </c>
      <c r="AN76" s="540">
        <f ca="1">SUMIF(CPSX!$D$28:$W$106,'FORM OH'!$I$76,CPSX!AG28:AG106)</f>
        <v>399753</v>
      </c>
      <c r="AO76" s="540">
        <f ca="1">SUMIF(CPSX!$D$28:$W$106,'FORM OH'!$I$76,CPSX!AH28:AH106)</f>
        <v>269349</v>
      </c>
      <c r="AP76" s="540">
        <f ca="1">SUMIF(CPSX!$D$28:$W$106,'FORM OH'!$I$76,CPSX!AI28:AI106)</f>
        <v>224000</v>
      </c>
      <c r="AQ76" s="540">
        <f ca="1">SUMIF(CPSX!$D$28:$W$106,'FORM OH'!$I$76,CPSX!AJ28:AJ106)</f>
        <v>224000</v>
      </c>
      <c r="AR76" s="1284">
        <f t="shared" ca="1" si="14"/>
        <v>19130801</v>
      </c>
      <c r="AS76" s="1284">
        <f t="shared" ca="1" si="15"/>
        <v>-2798462.25</v>
      </c>
      <c r="AT76" s="1297">
        <f t="shared" ca="1" si="16"/>
        <v>-0.14628045370395101</v>
      </c>
    </row>
    <row r="77" spans="1:46" s="539" customFormat="1" ht="16.399999999999999" customHeight="1" outlineLevel="1" x14ac:dyDescent="0.35">
      <c r="A77" s="534" t="s">
        <v>782</v>
      </c>
      <c r="B77" s="534" t="s">
        <v>783</v>
      </c>
      <c r="C77" s="535" t="s">
        <v>150</v>
      </c>
      <c r="D77" s="536" t="s">
        <v>817</v>
      </c>
      <c r="E77" s="536" t="s">
        <v>818</v>
      </c>
      <c r="F77" s="536" t="s">
        <v>1007</v>
      </c>
      <c r="G77" s="536" t="s">
        <v>820</v>
      </c>
      <c r="H77" s="536" t="s">
        <v>1008</v>
      </c>
      <c r="I77" s="535" t="s">
        <v>1009</v>
      </c>
      <c r="J77" s="536" t="s">
        <v>442</v>
      </c>
      <c r="K77" s="536" t="s">
        <v>592</v>
      </c>
      <c r="L77" s="535" t="s">
        <v>1010</v>
      </c>
      <c r="M77" s="536" t="s">
        <v>1011</v>
      </c>
      <c r="N77" s="536"/>
      <c r="O77" s="535"/>
      <c r="P77" s="536"/>
      <c r="Q77" s="536"/>
      <c r="R77" s="540">
        <f ca="1">SUMIF(CPSX!$D$28:$W$106,'FORM OH'!$I$77,CPSX!K28:K106)</f>
        <v>0</v>
      </c>
      <c r="S77" s="540">
        <f ca="1">SUMIF(CPSX!$D$28:$W$106,'FORM OH'!$I$77,CPSX!L28:L106)</f>
        <v>0</v>
      </c>
      <c r="T77" s="540">
        <f ca="1">SUMIF(CPSX!$D$28:$W$106,'FORM OH'!$I$77,CPSX!M28:M106)</f>
        <v>0</v>
      </c>
      <c r="U77" s="540">
        <f ca="1">SUMIF(CPSX!$D$28:$W$106,'FORM OH'!$I$77,CPSX!N28:N106)</f>
        <v>0</v>
      </c>
      <c r="V77" s="540">
        <f ca="1">SUMIF(CPSX!$D$28:$W$106,'FORM OH'!$I$77,CPSX!O28:O106)</f>
        <v>0</v>
      </c>
      <c r="W77" s="540">
        <f ca="1">SUMIF(CPSX!$D$28:$W$106,'FORM OH'!$I$77,CPSX!P28:P106)</f>
        <v>0</v>
      </c>
      <c r="X77" s="540">
        <f ca="1">SUMIF(CPSX!$D$28:$W$106,'FORM OH'!$I$77,CPSX!Q28:Q106)</f>
        <v>0</v>
      </c>
      <c r="Y77" s="540">
        <f ca="1">SUMIF(CPSX!$D$28:$W$106,'FORM OH'!$I$77,CPSX!R28:R106)</f>
        <v>0</v>
      </c>
      <c r="Z77" s="540">
        <f ca="1">SUMIF(CPSX!$D$28:$W$106,'FORM OH'!$I$77,CPSX!S28:S106)</f>
        <v>0</v>
      </c>
      <c r="AA77" s="540">
        <f ca="1">SUMIF(CPSX!$D$28:$W$106,'FORM OH'!$I$77,CPSX!T28:T106)</f>
        <v>0</v>
      </c>
      <c r="AB77" s="540">
        <f ca="1">SUMIF(CPSX!$D$28:$W$106,'FORM OH'!$I$77,CPSX!U28:U106)</f>
        <v>0</v>
      </c>
      <c r="AC77" s="540">
        <f ca="1">SUMIF(CPSX!$D$28:$W$106,'FORM OH'!$I$77,CPSX!V28:V106)</f>
        <v>0</v>
      </c>
      <c r="AD77" s="540">
        <f t="shared" ca="1" si="13"/>
        <v>0</v>
      </c>
      <c r="AE77" s="533"/>
      <c r="AF77" s="540">
        <f ca="1">SUMIF(CPSX!$D$28:$W$106,'FORM OH'!$I$77,CPSX!Y28:Y106)</f>
        <v>0</v>
      </c>
      <c r="AG77" s="540">
        <f ca="1">SUMIF(CPSX!$D$28:$W$106,'FORM OH'!$I$77,CPSX!Z28:Z106)</f>
        <v>0</v>
      </c>
      <c r="AH77" s="540">
        <f ca="1">SUMIF(CPSX!$D$28:$W$106,'FORM OH'!$I$77,CPSX!AA28:AA106)</f>
        <v>0</v>
      </c>
      <c r="AI77" s="540">
        <f ca="1">SUMIF(CPSX!$D$28:$W$106,'FORM OH'!$I$77,CPSX!AB28:AB106)</f>
        <v>0</v>
      </c>
      <c r="AJ77" s="540">
        <f ca="1">SUMIF(CPSX!$D$28:$W$106,'FORM OH'!$I$77,CPSX!AC28:AC106)</f>
        <v>0</v>
      </c>
      <c r="AK77" s="540">
        <f ca="1">SUMIF(CPSX!$D$28:$W$106,'FORM OH'!$I$77,CPSX!AD28:AD106)</f>
        <v>0</v>
      </c>
      <c r="AL77" s="540">
        <f ca="1">SUMIF(CPSX!$D$28:$W$106,'FORM OH'!$I$77,CPSX!AE28:AE106)</f>
        <v>0</v>
      </c>
      <c r="AM77" s="540">
        <f ca="1">SUMIF(CPSX!$D$28:$W$106,'FORM OH'!$I$77,CPSX!AF28:AF106)</f>
        <v>0</v>
      </c>
      <c r="AN77" s="540">
        <f ca="1">SUMIF(CPSX!$D$28:$W$106,'FORM OH'!$I$77,CPSX!AG28:AG106)</f>
        <v>0</v>
      </c>
      <c r="AO77" s="540">
        <f ca="1">SUMIF(CPSX!$D$28:$W$106,'FORM OH'!$I$77,CPSX!AH28:AH106)</f>
        <v>0</v>
      </c>
      <c r="AP77" s="540">
        <f ca="1">SUMIF(CPSX!$D$28:$W$106,'FORM OH'!$I$77,CPSX!AI28:AI106)</f>
        <v>0</v>
      </c>
      <c r="AQ77" s="540">
        <f ca="1">SUMIF(CPSX!$D$28:$W$106,'FORM OH'!$I$77,CPSX!AJ28:AJ106)</f>
        <v>0</v>
      </c>
      <c r="AR77" s="1284">
        <f t="shared" ca="1" si="14"/>
        <v>0</v>
      </c>
      <c r="AS77" s="1284">
        <f t="shared" ca="1" si="15"/>
        <v>0</v>
      </c>
      <c r="AT77" s="1297">
        <f t="shared" ca="1" si="16"/>
        <v>0</v>
      </c>
    </row>
    <row r="78" spans="1:46" s="539" customFormat="1" ht="16.399999999999999" customHeight="1" outlineLevel="1" x14ac:dyDescent="0.35">
      <c r="A78" s="534" t="s">
        <v>782</v>
      </c>
      <c r="B78" s="534" t="s">
        <v>783</v>
      </c>
      <c r="C78" s="535" t="s">
        <v>150</v>
      </c>
      <c r="D78" s="536" t="s">
        <v>817</v>
      </c>
      <c r="E78" s="536" t="s">
        <v>818</v>
      </c>
      <c r="F78" s="536" t="s">
        <v>1007</v>
      </c>
      <c r="G78" s="536" t="s">
        <v>820</v>
      </c>
      <c r="H78" s="536" t="s">
        <v>1008</v>
      </c>
      <c r="I78" s="535" t="s">
        <v>1012</v>
      </c>
      <c r="J78" s="536" t="s">
        <v>443</v>
      </c>
      <c r="K78" s="536" t="s">
        <v>570</v>
      </c>
      <c r="L78" s="535" t="s">
        <v>1013</v>
      </c>
      <c r="M78" s="536" t="s">
        <v>1014</v>
      </c>
      <c r="N78" s="536"/>
      <c r="O78" s="535"/>
      <c r="P78" s="536"/>
      <c r="Q78" s="536"/>
      <c r="R78" s="540">
        <f ca="1">SUMIF(CPSX!$D$28:$W$106,'FORM OH'!$I$78,CPSX!K28:K106)</f>
        <v>0</v>
      </c>
      <c r="S78" s="540">
        <f ca="1">SUMIF(CPSX!$D$28:$W$106,'FORM OH'!$I$78,CPSX!L28:L106)</f>
        <v>0</v>
      </c>
      <c r="T78" s="540">
        <f ca="1">SUMIF(CPSX!$D$28:$W$106,'FORM OH'!$I$78,CPSX!M28:M106)</f>
        <v>0</v>
      </c>
      <c r="U78" s="540">
        <f ca="1">SUMIF(CPSX!$D$28:$W$106,'FORM OH'!$I$78,CPSX!N28:N106)</f>
        <v>0</v>
      </c>
      <c r="V78" s="540">
        <f ca="1">SUMIF(CPSX!$D$28:$W$106,'FORM OH'!$I$78,CPSX!O28:O106)</f>
        <v>0</v>
      </c>
      <c r="W78" s="540">
        <f ca="1">SUMIF(CPSX!$D$28:$W$106,'FORM OH'!$I$78,CPSX!P28:P106)</f>
        <v>0</v>
      </c>
      <c r="X78" s="540">
        <f ca="1">SUMIF(CPSX!$D$28:$W$106,'FORM OH'!$I$78,CPSX!Q28:Q106)</f>
        <v>0</v>
      </c>
      <c r="Y78" s="540">
        <f ca="1">SUMIF(CPSX!$D$28:$W$106,'FORM OH'!$I$78,CPSX!R28:R106)</f>
        <v>0</v>
      </c>
      <c r="Z78" s="540">
        <f ca="1">SUMIF(CPSX!$D$28:$W$106,'FORM OH'!$I$78,CPSX!S28:S106)</f>
        <v>0</v>
      </c>
      <c r="AA78" s="540">
        <f ca="1">SUMIF(CPSX!$D$28:$W$106,'FORM OH'!$I$78,CPSX!T28:T106)</f>
        <v>0</v>
      </c>
      <c r="AB78" s="540">
        <f ca="1">SUMIF(CPSX!$D$28:$W$106,'FORM OH'!$I$78,CPSX!U28:U106)</f>
        <v>0</v>
      </c>
      <c r="AC78" s="540">
        <f ca="1">SUMIF(CPSX!$D$28:$W$106,'FORM OH'!$I$78,CPSX!V28:V106)</f>
        <v>0</v>
      </c>
      <c r="AD78" s="540">
        <f t="shared" ca="1" si="13"/>
        <v>0</v>
      </c>
      <c r="AE78" s="533"/>
      <c r="AF78" s="540">
        <f ca="1">SUMIF(CPSX!$D$28:$W$106,'FORM OH'!$I$78,CPSX!Y28:Y106)</f>
        <v>0</v>
      </c>
      <c r="AG78" s="540">
        <f ca="1">SUMIF(CPSX!$D$28:$W$106,'FORM OH'!$I$78,CPSX!Z28:Z106)</f>
        <v>0</v>
      </c>
      <c r="AH78" s="540">
        <f ca="1">SUMIF(CPSX!$D$28:$W$106,'FORM OH'!$I$78,CPSX!AA28:AA106)</f>
        <v>0</v>
      </c>
      <c r="AI78" s="540">
        <f ca="1">SUMIF(CPSX!$D$28:$W$106,'FORM OH'!$I$78,CPSX!AB28:AB106)</f>
        <v>0</v>
      </c>
      <c r="AJ78" s="540">
        <f ca="1">SUMIF(CPSX!$D$28:$W$106,'FORM OH'!$I$78,CPSX!AC28:AC106)</f>
        <v>0</v>
      </c>
      <c r="AK78" s="540">
        <f ca="1">SUMIF(CPSX!$D$28:$W$106,'FORM OH'!$I$78,CPSX!AD28:AD106)</f>
        <v>0</v>
      </c>
      <c r="AL78" s="540">
        <f ca="1">SUMIF(CPSX!$D$28:$W$106,'FORM OH'!$I$78,CPSX!AE28:AE106)</f>
        <v>0</v>
      </c>
      <c r="AM78" s="540">
        <f ca="1">SUMIF(CPSX!$D$28:$W$106,'FORM OH'!$I$78,CPSX!AF28:AF106)</f>
        <v>0</v>
      </c>
      <c r="AN78" s="540">
        <f ca="1">SUMIF(CPSX!$D$28:$W$106,'FORM OH'!$I$78,CPSX!AG28:AG106)</f>
        <v>0</v>
      </c>
      <c r="AO78" s="540">
        <f ca="1">SUMIF(CPSX!$D$28:$W$106,'FORM OH'!$I$78,CPSX!AH28:AH106)</f>
        <v>0</v>
      </c>
      <c r="AP78" s="540">
        <f ca="1">SUMIF(CPSX!$D$28:$W$106,'FORM OH'!$I$78,CPSX!AI28:AI106)</f>
        <v>0</v>
      </c>
      <c r="AQ78" s="540">
        <f ca="1">SUMIF(CPSX!$D$28:$W$106,'FORM OH'!$I$78,CPSX!AJ28:AJ106)</f>
        <v>0</v>
      </c>
      <c r="AR78" s="1284">
        <f t="shared" ca="1" si="14"/>
        <v>0</v>
      </c>
      <c r="AS78" s="1284">
        <f t="shared" ca="1" si="15"/>
        <v>0</v>
      </c>
      <c r="AT78" s="1297">
        <f t="shared" ca="1" si="16"/>
        <v>0</v>
      </c>
    </row>
    <row r="79" spans="1:46" s="539" customFormat="1" ht="16.399999999999999" customHeight="1" outlineLevel="1" x14ac:dyDescent="0.35">
      <c r="A79" s="534" t="s">
        <v>782</v>
      </c>
      <c r="B79" s="534" t="s">
        <v>783</v>
      </c>
      <c r="C79" s="535" t="s">
        <v>150</v>
      </c>
      <c r="D79" s="536" t="s">
        <v>817</v>
      </c>
      <c r="E79" s="536" t="s">
        <v>818</v>
      </c>
      <c r="F79" s="536" t="s">
        <v>1007</v>
      </c>
      <c r="G79" s="536" t="s">
        <v>820</v>
      </c>
      <c r="H79" s="536" t="s">
        <v>1008</v>
      </c>
      <c r="I79" s="535" t="s">
        <v>1015</v>
      </c>
      <c r="J79" s="536" t="s">
        <v>444</v>
      </c>
      <c r="K79" s="536" t="s">
        <v>592</v>
      </c>
      <c r="L79" s="535" t="s">
        <v>1016</v>
      </c>
      <c r="M79" s="536" t="s">
        <v>444</v>
      </c>
      <c r="N79" s="536"/>
      <c r="O79" s="535"/>
      <c r="P79" s="536"/>
      <c r="Q79" s="536"/>
      <c r="R79" s="540">
        <f ca="1">SUMIF(CPSX!$D$28:$W$106,'FORM OH'!$I$79,CPSX!K28:K106)</f>
        <v>0</v>
      </c>
      <c r="S79" s="540">
        <f ca="1">SUMIF(CPSX!$D$28:$W$106,'FORM OH'!$I$79,CPSX!L28:L106)</f>
        <v>0</v>
      </c>
      <c r="T79" s="540">
        <f ca="1">SUMIF(CPSX!$D$28:$W$106,'FORM OH'!$I$79,CPSX!M28:M106)</f>
        <v>0</v>
      </c>
      <c r="U79" s="540">
        <f ca="1">SUMIF(CPSX!$D$28:$W$106,'FORM OH'!$I$79,CPSX!N28:N106)</f>
        <v>0</v>
      </c>
      <c r="V79" s="540">
        <f ca="1">SUMIF(CPSX!$D$28:$W$106,'FORM OH'!$I$79,CPSX!O28:O106)</f>
        <v>0</v>
      </c>
      <c r="W79" s="540">
        <f ca="1">SUMIF(CPSX!$D$28:$W$106,'FORM OH'!$I$79,CPSX!P28:P106)</f>
        <v>0</v>
      </c>
      <c r="X79" s="540">
        <f ca="1">SUMIF(CPSX!$D$28:$W$106,'FORM OH'!$I$79,CPSX!Q28:Q106)</f>
        <v>0</v>
      </c>
      <c r="Y79" s="540">
        <f ca="1">SUMIF(CPSX!$D$28:$W$106,'FORM OH'!$I$79,CPSX!R28:R106)</f>
        <v>0</v>
      </c>
      <c r="Z79" s="540">
        <f ca="1">SUMIF(CPSX!$D$28:$W$106,'FORM OH'!$I$79,CPSX!S28:S106)</f>
        <v>0</v>
      </c>
      <c r="AA79" s="540">
        <f ca="1">SUMIF(CPSX!$D$28:$W$106,'FORM OH'!$I$79,CPSX!T28:T106)</f>
        <v>0</v>
      </c>
      <c r="AB79" s="540">
        <f ca="1">SUMIF(CPSX!$D$28:$W$106,'FORM OH'!$I$79,CPSX!U28:U106)</f>
        <v>0</v>
      </c>
      <c r="AC79" s="540">
        <f ca="1">SUMIF(CPSX!$D$28:$W$106,'FORM OH'!$I$79,CPSX!V28:V106)</f>
        <v>0</v>
      </c>
      <c r="AD79" s="540">
        <f t="shared" ca="1" si="13"/>
        <v>0</v>
      </c>
      <c r="AE79" s="533"/>
      <c r="AF79" s="540">
        <f ca="1">SUMIF(CPSX!$D$28:$W$106,'FORM OH'!$I$79,CPSX!Y28:Y106)</f>
        <v>0</v>
      </c>
      <c r="AG79" s="540">
        <f ca="1">SUMIF(CPSX!$D$28:$W$106,'FORM OH'!$I$79,CPSX!Z28:Z106)</f>
        <v>0</v>
      </c>
      <c r="AH79" s="540">
        <f ca="1">SUMIF(CPSX!$D$28:$W$106,'FORM OH'!$I$79,CPSX!AA28:AA106)</f>
        <v>0</v>
      </c>
      <c r="AI79" s="540">
        <f ca="1">SUMIF(CPSX!$D$28:$W$106,'FORM OH'!$I$79,CPSX!AB28:AB106)</f>
        <v>0</v>
      </c>
      <c r="AJ79" s="540">
        <f ca="1">SUMIF(CPSX!$D$28:$W$106,'FORM OH'!$I$79,CPSX!AC28:AC106)</f>
        <v>0</v>
      </c>
      <c r="AK79" s="540">
        <f ca="1">SUMIF(CPSX!$D$28:$W$106,'FORM OH'!$I$79,CPSX!AD28:AD106)</f>
        <v>0</v>
      </c>
      <c r="AL79" s="540">
        <f ca="1">SUMIF(CPSX!$D$28:$W$106,'FORM OH'!$I$79,CPSX!AE28:AE106)</f>
        <v>0</v>
      </c>
      <c r="AM79" s="540">
        <f ca="1">SUMIF(CPSX!$D$28:$W$106,'FORM OH'!$I$79,CPSX!AF28:AF106)</f>
        <v>0</v>
      </c>
      <c r="AN79" s="540">
        <f ca="1">SUMIF(CPSX!$D$28:$W$106,'FORM OH'!$I$79,CPSX!AG28:AG106)</f>
        <v>0</v>
      </c>
      <c r="AO79" s="540">
        <f ca="1">SUMIF(CPSX!$D$28:$W$106,'FORM OH'!$I$79,CPSX!AH28:AH106)</f>
        <v>0</v>
      </c>
      <c r="AP79" s="540">
        <f ca="1">SUMIF(CPSX!$D$28:$W$106,'FORM OH'!$I$79,CPSX!AI28:AI106)</f>
        <v>0</v>
      </c>
      <c r="AQ79" s="540">
        <f ca="1">SUMIF(CPSX!$D$28:$W$106,'FORM OH'!$I$79,CPSX!AJ28:AJ106)</f>
        <v>0</v>
      </c>
      <c r="AR79" s="1284">
        <f t="shared" ca="1" si="14"/>
        <v>0</v>
      </c>
      <c r="AS79" s="1284">
        <f t="shared" ca="1" si="15"/>
        <v>0</v>
      </c>
      <c r="AT79" s="1297">
        <f t="shared" ca="1" si="16"/>
        <v>0</v>
      </c>
    </row>
    <row r="80" spans="1:46" s="539" customFormat="1" ht="16.399999999999999" customHeight="1" outlineLevel="1" x14ac:dyDescent="0.35">
      <c r="A80" s="534" t="s">
        <v>782</v>
      </c>
      <c r="B80" s="534" t="s">
        <v>783</v>
      </c>
      <c r="C80" s="535" t="s">
        <v>150</v>
      </c>
      <c r="D80" s="536" t="s">
        <v>817</v>
      </c>
      <c r="E80" s="536" t="s">
        <v>818</v>
      </c>
      <c r="F80" s="536" t="s">
        <v>1007</v>
      </c>
      <c r="G80" s="536" t="s">
        <v>820</v>
      </c>
      <c r="H80" s="536" t="s">
        <v>1008</v>
      </c>
      <c r="I80" s="535" t="s">
        <v>1017</v>
      </c>
      <c r="J80" s="536" t="s">
        <v>1018</v>
      </c>
      <c r="K80" s="536" t="s">
        <v>1019</v>
      </c>
      <c r="L80" s="535" t="s">
        <v>1020</v>
      </c>
      <c r="M80" s="536" t="s">
        <v>1021</v>
      </c>
      <c r="N80" s="536"/>
      <c r="O80" s="535"/>
      <c r="P80" s="536"/>
      <c r="Q80" s="536"/>
      <c r="R80" s="540">
        <f ca="1">SUMIF(CPSX!$D$28:$W$106,'FORM OH'!$I$80,CPSX!K28:K106)</f>
        <v>0</v>
      </c>
      <c r="S80" s="540">
        <f ca="1">SUMIF(CPSX!$D$28:$W$106,'FORM OH'!$I$80,CPSX!L28:L106)</f>
        <v>0</v>
      </c>
      <c r="T80" s="540">
        <f ca="1">SUMIF(CPSX!$D$28:$W$106,'FORM OH'!$I$80,CPSX!M28:M106)</f>
        <v>0</v>
      </c>
      <c r="U80" s="540">
        <f ca="1">SUMIF(CPSX!$D$28:$W$106,'FORM OH'!$I$80,CPSX!N28:N106)</f>
        <v>0</v>
      </c>
      <c r="V80" s="540">
        <f ca="1">SUMIF(CPSX!$D$28:$W$106,'FORM OH'!$I$80,CPSX!O28:O106)</f>
        <v>0</v>
      </c>
      <c r="W80" s="540">
        <f ca="1">SUMIF(CPSX!$D$28:$W$106,'FORM OH'!$I$80,CPSX!P28:P106)</f>
        <v>0</v>
      </c>
      <c r="X80" s="540">
        <f ca="1">SUMIF(CPSX!$D$28:$W$106,'FORM OH'!$I$80,CPSX!Q28:Q106)</f>
        <v>0</v>
      </c>
      <c r="Y80" s="540">
        <f ca="1">SUMIF(CPSX!$D$28:$W$106,'FORM OH'!$I$80,CPSX!R28:R106)</f>
        <v>0</v>
      </c>
      <c r="Z80" s="540">
        <f ca="1">SUMIF(CPSX!$D$28:$W$106,'FORM OH'!$I$80,CPSX!S28:S106)</f>
        <v>0</v>
      </c>
      <c r="AA80" s="540">
        <f ca="1">SUMIF(CPSX!$D$28:$W$106,'FORM OH'!$I$80,CPSX!T28:T106)</f>
        <v>0</v>
      </c>
      <c r="AB80" s="540">
        <f ca="1">SUMIF(CPSX!$D$28:$W$106,'FORM OH'!$I$80,CPSX!U28:U106)</f>
        <v>0</v>
      </c>
      <c r="AC80" s="540">
        <f ca="1">SUMIF(CPSX!$D$28:$W$106,'FORM OH'!$I$80,CPSX!V28:V106)</f>
        <v>0</v>
      </c>
      <c r="AD80" s="540">
        <f t="shared" ca="1" si="13"/>
        <v>0</v>
      </c>
      <c r="AE80" s="533"/>
      <c r="AF80" s="540">
        <f ca="1">SUMIF(CPSX!$D$28:$W$106,'FORM OH'!$I$80,CPSX!Y28:Y106)</f>
        <v>0</v>
      </c>
      <c r="AG80" s="540">
        <f ca="1">SUMIF(CPSX!$D$28:$W$106,'FORM OH'!$I$80,CPSX!Z28:Z106)</f>
        <v>0</v>
      </c>
      <c r="AH80" s="540">
        <f ca="1">SUMIF(CPSX!$D$28:$W$106,'FORM OH'!$I$80,CPSX!AA28:AA106)</f>
        <v>0</v>
      </c>
      <c r="AI80" s="540">
        <f ca="1">SUMIF(CPSX!$D$28:$W$106,'FORM OH'!$I$80,CPSX!AB28:AB106)</f>
        <v>0</v>
      </c>
      <c r="AJ80" s="540">
        <f ca="1">SUMIF(CPSX!$D$28:$W$106,'FORM OH'!$I$80,CPSX!AC28:AC106)</f>
        <v>0</v>
      </c>
      <c r="AK80" s="540">
        <f ca="1">SUMIF(CPSX!$D$28:$W$106,'FORM OH'!$I$80,CPSX!AD28:AD106)</f>
        <v>0</v>
      </c>
      <c r="AL80" s="540">
        <f ca="1">SUMIF(CPSX!$D$28:$W$106,'FORM OH'!$I$80,CPSX!AE28:AE106)</f>
        <v>0</v>
      </c>
      <c r="AM80" s="540">
        <f ca="1">SUMIF(CPSX!$D$28:$W$106,'FORM OH'!$I$80,CPSX!AF28:AF106)</f>
        <v>0</v>
      </c>
      <c r="AN80" s="540">
        <f ca="1">SUMIF(CPSX!$D$28:$W$106,'FORM OH'!$I$80,CPSX!AG28:AG106)</f>
        <v>0</v>
      </c>
      <c r="AO80" s="540">
        <f ca="1">SUMIF(CPSX!$D$28:$W$106,'FORM OH'!$I$80,CPSX!AH28:AH106)</f>
        <v>0</v>
      </c>
      <c r="AP80" s="540">
        <f ca="1">SUMIF(CPSX!$D$28:$W$106,'FORM OH'!$I$80,CPSX!AI28:AI106)</f>
        <v>0</v>
      </c>
      <c r="AQ80" s="540">
        <f ca="1">SUMIF(CPSX!$D$28:$W$106,'FORM OH'!$I$80,CPSX!AJ28:AJ106)</f>
        <v>0</v>
      </c>
      <c r="AR80" s="1284">
        <f t="shared" ca="1" si="14"/>
        <v>0</v>
      </c>
      <c r="AS80" s="1284">
        <f t="shared" ca="1" si="15"/>
        <v>0</v>
      </c>
      <c r="AT80" s="1297">
        <f t="shared" ca="1" si="16"/>
        <v>0</v>
      </c>
    </row>
    <row r="81" spans="1:46" s="539" customFormat="1" ht="16.399999999999999" customHeight="1" outlineLevel="1" x14ac:dyDescent="0.35">
      <c r="A81" s="534" t="s">
        <v>782</v>
      </c>
      <c r="B81" s="534" t="s">
        <v>783</v>
      </c>
      <c r="C81" s="535" t="s">
        <v>150</v>
      </c>
      <c r="D81" s="536" t="s">
        <v>817</v>
      </c>
      <c r="E81" s="536" t="s">
        <v>818</v>
      </c>
      <c r="F81" s="536" t="s">
        <v>1022</v>
      </c>
      <c r="G81" s="536" t="s">
        <v>820</v>
      </c>
      <c r="H81" s="536" t="s">
        <v>1023</v>
      </c>
      <c r="I81" s="535" t="s">
        <v>1024</v>
      </c>
      <c r="J81" s="536" t="s">
        <v>91</v>
      </c>
      <c r="K81" s="536" t="s">
        <v>572</v>
      </c>
      <c r="L81" s="535" t="s">
        <v>1025</v>
      </c>
      <c r="M81" s="536" t="s">
        <v>1026</v>
      </c>
      <c r="N81" s="536"/>
      <c r="O81" s="535"/>
      <c r="P81" s="536"/>
      <c r="Q81" s="536"/>
      <c r="R81" s="540">
        <f ca="1">SUMIF(CPSX!$D$28:$W$106,'FORM OH'!$I$81,CPSX!K28:K106)</f>
        <v>0</v>
      </c>
      <c r="S81" s="540">
        <f ca="1">SUMIF(CPSX!$D$28:$W$106,'FORM OH'!$I$81,CPSX!L28:L106)</f>
        <v>0</v>
      </c>
      <c r="T81" s="540">
        <f ca="1">SUMIF(CPSX!$D$28:$W$106,'FORM OH'!$I$81,CPSX!M28:M106)</f>
        <v>0</v>
      </c>
      <c r="U81" s="540">
        <f ca="1">SUMIF(CPSX!$D$28:$W$106,'FORM OH'!$I$81,CPSX!N28:N106)</f>
        <v>0</v>
      </c>
      <c r="V81" s="540">
        <f ca="1">SUMIF(CPSX!$D$28:$W$106,'FORM OH'!$I$81,CPSX!O28:O106)</f>
        <v>0</v>
      </c>
      <c r="W81" s="540">
        <f ca="1">SUMIF(CPSX!$D$28:$W$106,'FORM OH'!$I$81,CPSX!P28:P106)</f>
        <v>0</v>
      </c>
      <c r="X81" s="540">
        <f ca="1">SUMIF(CPSX!$D$28:$W$106,'FORM OH'!$I$81,CPSX!Q28:Q106)</f>
        <v>0</v>
      </c>
      <c r="Y81" s="540">
        <f ca="1">SUMIF(CPSX!$D$28:$W$106,'FORM OH'!$I$81,CPSX!R28:R106)</f>
        <v>0</v>
      </c>
      <c r="Z81" s="540">
        <f ca="1">SUMIF(CPSX!$D$28:$W$106,'FORM OH'!$I$81,CPSX!S28:S106)</f>
        <v>0</v>
      </c>
      <c r="AA81" s="540">
        <f ca="1">SUMIF(CPSX!$D$28:$W$106,'FORM OH'!$I$81,CPSX!T28:T106)</f>
        <v>0</v>
      </c>
      <c r="AB81" s="540">
        <f ca="1">SUMIF(CPSX!$D$28:$W$106,'FORM OH'!$I$81,CPSX!U28:U106)</f>
        <v>0</v>
      </c>
      <c r="AC81" s="540">
        <f ca="1">SUMIF(CPSX!$D$28:$W$106,'FORM OH'!$I$81,CPSX!V28:V106)</f>
        <v>0</v>
      </c>
      <c r="AD81" s="540">
        <f t="shared" ca="1" si="13"/>
        <v>0</v>
      </c>
      <c r="AE81" s="533"/>
      <c r="AF81" s="540">
        <f ca="1">SUMIF(CPSX!$D$28:$W$106,'FORM OH'!$I$81,CPSX!Y28:Y106)</f>
        <v>0</v>
      </c>
      <c r="AG81" s="540">
        <f ca="1">SUMIF(CPSX!$D$28:$W$106,'FORM OH'!$I$81,CPSX!Z28:Z106)</f>
        <v>0</v>
      </c>
      <c r="AH81" s="540">
        <f ca="1">SUMIF(CPSX!$D$28:$W$106,'FORM OH'!$I$81,CPSX!AA28:AA106)</f>
        <v>0</v>
      </c>
      <c r="AI81" s="540">
        <f ca="1">SUMIF(CPSX!$D$28:$W$106,'FORM OH'!$I$81,CPSX!AB28:AB106)</f>
        <v>0</v>
      </c>
      <c r="AJ81" s="540">
        <f ca="1">SUMIF(CPSX!$D$28:$W$106,'FORM OH'!$I$81,CPSX!AC28:AC106)</f>
        <v>0</v>
      </c>
      <c r="AK81" s="540">
        <f ca="1">SUMIF(CPSX!$D$28:$W$106,'FORM OH'!$I$81,CPSX!AD28:AD106)</f>
        <v>0</v>
      </c>
      <c r="AL81" s="540">
        <f ca="1">SUMIF(CPSX!$D$28:$W$106,'FORM OH'!$I$81,CPSX!AE28:AE106)</f>
        <v>0</v>
      </c>
      <c r="AM81" s="540">
        <f ca="1">SUMIF(CPSX!$D$28:$W$106,'FORM OH'!$I$81,CPSX!AF28:AF106)</f>
        <v>0</v>
      </c>
      <c r="AN81" s="540">
        <f ca="1">SUMIF(CPSX!$D$28:$W$106,'FORM OH'!$I$81,CPSX!AG28:AG106)</f>
        <v>0</v>
      </c>
      <c r="AO81" s="540">
        <f ca="1">SUMIF(CPSX!$D$28:$W$106,'FORM OH'!$I$81,CPSX!AH28:AH106)</f>
        <v>0</v>
      </c>
      <c r="AP81" s="540">
        <f ca="1">SUMIF(CPSX!$D$28:$W$106,'FORM OH'!$I$81,CPSX!AI28:AI106)</f>
        <v>0</v>
      </c>
      <c r="AQ81" s="540">
        <f ca="1">SUMIF(CPSX!$D$28:$W$106,'FORM OH'!$I$81,CPSX!AJ28:AJ106)</f>
        <v>0</v>
      </c>
      <c r="AR81" s="1284">
        <f t="shared" ca="1" si="14"/>
        <v>0</v>
      </c>
      <c r="AS81" s="1284">
        <f t="shared" ca="1" si="15"/>
        <v>0</v>
      </c>
      <c r="AT81" s="1297">
        <f t="shared" ca="1" si="16"/>
        <v>0</v>
      </c>
    </row>
    <row r="82" spans="1:46" s="539" customFormat="1" ht="16.399999999999999" customHeight="1" outlineLevel="1" x14ac:dyDescent="0.35">
      <c r="A82" s="534" t="s">
        <v>782</v>
      </c>
      <c r="B82" s="534" t="s">
        <v>783</v>
      </c>
      <c r="C82" s="535" t="s">
        <v>150</v>
      </c>
      <c r="D82" s="536" t="s">
        <v>817</v>
      </c>
      <c r="E82" s="536" t="s">
        <v>818</v>
      </c>
      <c r="F82" s="536" t="s">
        <v>1022</v>
      </c>
      <c r="G82" s="536" t="s">
        <v>820</v>
      </c>
      <c r="H82" s="536" t="s">
        <v>1023</v>
      </c>
      <c r="I82" s="535" t="s">
        <v>1027</v>
      </c>
      <c r="J82" s="536" t="s">
        <v>91</v>
      </c>
      <c r="K82" s="536" t="s">
        <v>572</v>
      </c>
      <c r="L82" s="535" t="s">
        <v>1025</v>
      </c>
      <c r="M82" s="536" t="s">
        <v>1026</v>
      </c>
      <c r="N82" s="536"/>
      <c r="O82" s="535"/>
      <c r="P82" s="536"/>
      <c r="Q82" s="536"/>
      <c r="R82" s="540">
        <f ca="1">SUMIF(CPSX!$D$28:$W$106,'FORM OH'!$I$82,CPSX!K28:K106)</f>
        <v>0</v>
      </c>
      <c r="S82" s="540">
        <f ca="1">SUMIF(CPSX!$D$28:$W$106,'FORM OH'!$I$82,CPSX!L28:L106)</f>
        <v>0</v>
      </c>
      <c r="T82" s="540">
        <f ca="1">SUMIF(CPSX!$D$28:$W$106,'FORM OH'!$I$82,CPSX!M28:M106)</f>
        <v>0</v>
      </c>
      <c r="U82" s="540">
        <f ca="1">SUMIF(CPSX!$D$28:$W$106,'FORM OH'!$I$82,CPSX!N28:N106)</f>
        <v>0</v>
      </c>
      <c r="V82" s="540">
        <f ca="1">SUMIF(CPSX!$D$28:$W$106,'FORM OH'!$I$82,CPSX!O28:O106)</f>
        <v>0</v>
      </c>
      <c r="W82" s="540">
        <f ca="1">SUMIF(CPSX!$D$28:$W$106,'FORM OH'!$I$82,CPSX!P28:P106)</f>
        <v>0</v>
      </c>
      <c r="X82" s="540">
        <f ca="1">SUMIF(CPSX!$D$28:$W$106,'FORM OH'!$I$82,CPSX!Q28:Q106)</f>
        <v>0</v>
      </c>
      <c r="Y82" s="540">
        <f ca="1">SUMIF(CPSX!$D$28:$W$106,'FORM OH'!$I$82,CPSX!R28:R106)</f>
        <v>0</v>
      </c>
      <c r="Z82" s="540">
        <f ca="1">SUMIF(CPSX!$D$28:$W$106,'FORM OH'!$I$82,CPSX!S28:S106)</f>
        <v>0</v>
      </c>
      <c r="AA82" s="540">
        <f ca="1">SUMIF(CPSX!$D$28:$W$106,'FORM OH'!$I$82,CPSX!T28:T106)</f>
        <v>0</v>
      </c>
      <c r="AB82" s="540">
        <f ca="1">SUMIF(CPSX!$D$28:$W$106,'FORM OH'!$I$82,CPSX!U28:U106)</f>
        <v>0</v>
      </c>
      <c r="AC82" s="540">
        <f ca="1">SUMIF(CPSX!$D$28:$W$106,'FORM OH'!$I$82,CPSX!V28:V106)</f>
        <v>0</v>
      </c>
      <c r="AD82" s="540">
        <f t="shared" ca="1" si="13"/>
        <v>0</v>
      </c>
      <c r="AE82" s="533"/>
      <c r="AF82" s="540">
        <f ca="1">SUMIF(CPSX!$D$28:$W$106,'FORM OH'!$I$82,CPSX!Y28:Y106)</f>
        <v>0</v>
      </c>
      <c r="AG82" s="540">
        <f ca="1">SUMIF(CPSX!$D$28:$W$106,'FORM OH'!$I$82,CPSX!Z28:Z106)</f>
        <v>0</v>
      </c>
      <c r="AH82" s="540">
        <f ca="1">SUMIF(CPSX!$D$28:$W$106,'FORM OH'!$I$82,CPSX!AA28:AA106)</f>
        <v>0</v>
      </c>
      <c r="AI82" s="540">
        <f ca="1">SUMIF(CPSX!$D$28:$W$106,'FORM OH'!$I$82,CPSX!AB28:AB106)</f>
        <v>0</v>
      </c>
      <c r="AJ82" s="540">
        <f ca="1">SUMIF(CPSX!$D$28:$W$106,'FORM OH'!$I$82,CPSX!AC28:AC106)</f>
        <v>0</v>
      </c>
      <c r="AK82" s="540">
        <f ca="1">SUMIF(CPSX!$D$28:$W$106,'FORM OH'!$I$82,CPSX!AD28:AD106)</f>
        <v>0</v>
      </c>
      <c r="AL82" s="540">
        <f ca="1">SUMIF(CPSX!$D$28:$W$106,'FORM OH'!$I$82,CPSX!AE28:AE106)</f>
        <v>0</v>
      </c>
      <c r="AM82" s="540">
        <f ca="1">SUMIF(CPSX!$D$28:$W$106,'FORM OH'!$I$82,CPSX!AF28:AF106)</f>
        <v>0</v>
      </c>
      <c r="AN82" s="540">
        <f ca="1">SUMIF(CPSX!$D$28:$W$106,'FORM OH'!$I$82,CPSX!AG28:AG106)</f>
        <v>0</v>
      </c>
      <c r="AO82" s="540">
        <f ca="1">SUMIF(CPSX!$D$28:$W$106,'FORM OH'!$I$82,CPSX!AH28:AH106)</f>
        <v>0</v>
      </c>
      <c r="AP82" s="540">
        <f ca="1">SUMIF(CPSX!$D$28:$W$106,'FORM OH'!$I$82,CPSX!AI28:AI106)</f>
        <v>0</v>
      </c>
      <c r="AQ82" s="540">
        <f ca="1">SUMIF(CPSX!$D$28:$W$106,'FORM OH'!$I$82,CPSX!AJ28:AJ106)</f>
        <v>0</v>
      </c>
      <c r="AR82" s="1284">
        <f t="shared" ca="1" si="14"/>
        <v>0</v>
      </c>
      <c r="AS82" s="1284">
        <f t="shared" ca="1" si="15"/>
        <v>0</v>
      </c>
      <c r="AT82" s="1297">
        <f t="shared" ca="1" si="16"/>
        <v>0</v>
      </c>
    </row>
    <row r="83" spans="1:46" s="539" customFormat="1" ht="16.399999999999999" customHeight="1" outlineLevel="1" x14ac:dyDescent="0.35">
      <c r="A83" s="534" t="s">
        <v>782</v>
      </c>
      <c r="B83" s="534" t="s">
        <v>783</v>
      </c>
      <c r="C83" s="535" t="s">
        <v>150</v>
      </c>
      <c r="D83" s="536" t="s">
        <v>817</v>
      </c>
      <c r="E83" s="536" t="s">
        <v>818</v>
      </c>
      <c r="F83" s="536" t="s">
        <v>1022</v>
      </c>
      <c r="G83" s="536" t="s">
        <v>820</v>
      </c>
      <c r="H83" s="536" t="s">
        <v>1023</v>
      </c>
      <c r="I83" s="535" t="s">
        <v>1028</v>
      </c>
      <c r="J83" s="536" t="s">
        <v>445</v>
      </c>
      <c r="K83" s="536" t="s">
        <v>572</v>
      </c>
      <c r="L83" s="535" t="s">
        <v>1029</v>
      </c>
      <c r="M83" s="536" t="s">
        <v>1030</v>
      </c>
      <c r="N83" s="536"/>
      <c r="O83" s="535"/>
      <c r="P83" s="536"/>
      <c r="Q83" s="536"/>
      <c r="R83" s="540">
        <f ca="1">SUMIF(CPSX!$D$28:$W$106,'FORM OH'!$I$83,CPSX!K28:K106)</f>
        <v>0</v>
      </c>
      <c r="S83" s="540">
        <f ca="1">SUMIF(CPSX!$D$28:$W$106,'FORM OH'!$I$83,CPSX!L28:L106)</f>
        <v>0</v>
      </c>
      <c r="T83" s="540">
        <f ca="1">SUMIF(CPSX!$D$28:$W$106,'FORM OH'!$I$83,CPSX!M28:M106)</f>
        <v>0</v>
      </c>
      <c r="U83" s="540">
        <f ca="1">SUMIF(CPSX!$D$28:$W$106,'FORM OH'!$I$83,CPSX!N28:N106)</f>
        <v>0</v>
      </c>
      <c r="V83" s="540">
        <f ca="1">SUMIF(CPSX!$D$28:$W$106,'FORM OH'!$I$83,CPSX!O28:O106)</f>
        <v>0</v>
      </c>
      <c r="W83" s="540">
        <f ca="1">SUMIF(CPSX!$D$28:$W$106,'FORM OH'!$I$83,CPSX!P28:P106)</f>
        <v>0</v>
      </c>
      <c r="X83" s="540">
        <f ca="1">SUMIF(CPSX!$D$28:$W$106,'FORM OH'!$I$83,CPSX!Q28:Q106)</f>
        <v>0</v>
      </c>
      <c r="Y83" s="540">
        <f ca="1">SUMIF(CPSX!$D$28:$W$106,'FORM OH'!$I$83,CPSX!R28:R106)</f>
        <v>0</v>
      </c>
      <c r="Z83" s="540">
        <f ca="1">SUMIF(CPSX!$D$28:$W$106,'FORM OH'!$I$83,CPSX!S28:S106)</f>
        <v>0</v>
      </c>
      <c r="AA83" s="540">
        <f ca="1">SUMIF(CPSX!$D$28:$W$106,'FORM OH'!$I$83,CPSX!T28:T106)</f>
        <v>0</v>
      </c>
      <c r="AB83" s="540">
        <f ca="1">SUMIF(CPSX!$D$28:$W$106,'FORM OH'!$I$83,CPSX!U28:U106)</f>
        <v>0</v>
      </c>
      <c r="AC83" s="540">
        <f ca="1">SUMIF(CPSX!$D$28:$W$106,'FORM OH'!$I$83,CPSX!V28:V106)</f>
        <v>0</v>
      </c>
      <c r="AD83" s="540">
        <f t="shared" ca="1" si="13"/>
        <v>0</v>
      </c>
      <c r="AE83" s="533"/>
      <c r="AF83" s="540">
        <f ca="1">SUMIF(CPSX!$D$28:$W$106,'FORM OH'!$I$83,CPSX!Y28:Y106)</f>
        <v>0</v>
      </c>
      <c r="AG83" s="540">
        <f ca="1">SUMIF(CPSX!$D$28:$W$106,'FORM OH'!$I$83,CPSX!Z28:Z106)</f>
        <v>0</v>
      </c>
      <c r="AH83" s="540">
        <f ca="1">SUMIF(CPSX!$D$28:$W$106,'FORM OH'!$I$83,CPSX!AA28:AA106)</f>
        <v>0</v>
      </c>
      <c r="AI83" s="540">
        <f ca="1">SUMIF(CPSX!$D$28:$W$106,'FORM OH'!$I$83,CPSX!AB28:AB106)</f>
        <v>0</v>
      </c>
      <c r="AJ83" s="540">
        <f ca="1">SUMIF(CPSX!$D$28:$W$106,'FORM OH'!$I$83,CPSX!AC28:AC106)</f>
        <v>0</v>
      </c>
      <c r="AK83" s="540">
        <f ca="1">SUMIF(CPSX!$D$28:$W$106,'FORM OH'!$I$83,CPSX!AD28:AD106)</f>
        <v>0</v>
      </c>
      <c r="AL83" s="540">
        <f ca="1">SUMIF(CPSX!$D$28:$W$106,'FORM OH'!$I$83,CPSX!AE28:AE106)</f>
        <v>0</v>
      </c>
      <c r="AM83" s="540">
        <f ca="1">SUMIF(CPSX!$D$28:$W$106,'FORM OH'!$I$83,CPSX!AF28:AF106)</f>
        <v>0</v>
      </c>
      <c r="AN83" s="540">
        <f ca="1">SUMIF(CPSX!$D$28:$W$106,'FORM OH'!$I$83,CPSX!AG28:AG106)</f>
        <v>0</v>
      </c>
      <c r="AO83" s="540">
        <f ca="1">SUMIF(CPSX!$D$28:$W$106,'FORM OH'!$I$83,CPSX!AH28:AH106)</f>
        <v>0</v>
      </c>
      <c r="AP83" s="540">
        <f ca="1">SUMIF(CPSX!$D$28:$W$106,'FORM OH'!$I$83,CPSX!AI28:AI106)</f>
        <v>0</v>
      </c>
      <c r="AQ83" s="540">
        <f ca="1">SUMIF(CPSX!$D$28:$W$106,'FORM OH'!$I$83,CPSX!AJ28:AJ106)</f>
        <v>0</v>
      </c>
      <c r="AR83" s="1284">
        <f t="shared" ca="1" si="14"/>
        <v>0</v>
      </c>
      <c r="AS83" s="1284">
        <f t="shared" ca="1" si="15"/>
        <v>0</v>
      </c>
      <c r="AT83" s="1297">
        <f t="shared" ca="1" si="16"/>
        <v>0</v>
      </c>
    </row>
    <row r="84" spans="1:46" s="539" customFormat="1" ht="16.399999999999999" customHeight="1" outlineLevel="1" x14ac:dyDescent="0.35">
      <c r="A84" s="534" t="s">
        <v>782</v>
      </c>
      <c r="B84" s="534" t="s">
        <v>783</v>
      </c>
      <c r="C84" s="535" t="s">
        <v>150</v>
      </c>
      <c r="D84" s="536" t="s">
        <v>817</v>
      </c>
      <c r="E84" s="536" t="s">
        <v>818</v>
      </c>
      <c r="F84" s="536" t="s">
        <v>1031</v>
      </c>
      <c r="G84" s="536" t="s">
        <v>820</v>
      </c>
      <c r="H84" s="536" t="s">
        <v>1032</v>
      </c>
      <c r="I84" s="535" t="s">
        <v>1033</v>
      </c>
      <c r="J84" s="536" t="s">
        <v>446</v>
      </c>
      <c r="K84" s="536" t="s">
        <v>585</v>
      </c>
      <c r="L84" s="535" t="s">
        <v>1034</v>
      </c>
      <c r="M84" s="536" t="s">
        <v>1035</v>
      </c>
      <c r="N84" s="536"/>
      <c r="O84" s="535"/>
      <c r="P84" s="536"/>
      <c r="Q84" s="536"/>
      <c r="R84" s="540">
        <f ca="1">SUMIF(CPSX!$D$28:$W$106,'FORM OH'!$I$84,CPSX!K28:K106)</f>
        <v>0</v>
      </c>
      <c r="S84" s="540">
        <f ca="1">SUMIF(CPSX!$D$28:$W$106,'FORM OH'!$I$84,CPSX!L28:L106)</f>
        <v>0</v>
      </c>
      <c r="T84" s="540">
        <f ca="1">SUMIF(CPSX!$D$28:$W$106,'FORM OH'!$I$84,CPSX!M28:M106)</f>
        <v>0</v>
      </c>
      <c r="U84" s="540">
        <f ca="1">SUMIF(CPSX!$D$28:$W$106,'FORM OH'!$I$84,CPSX!N28:N106)</f>
        <v>0</v>
      </c>
      <c r="V84" s="540">
        <f ca="1">SUMIF(CPSX!$D$28:$W$106,'FORM OH'!$I$84,CPSX!O28:O106)</f>
        <v>0</v>
      </c>
      <c r="W84" s="540">
        <f ca="1">SUMIF(CPSX!$D$28:$W$106,'FORM OH'!$I$84,CPSX!P28:P106)</f>
        <v>0</v>
      </c>
      <c r="X84" s="540">
        <f ca="1">SUMIF(CPSX!$D$28:$W$106,'FORM OH'!$I$84,CPSX!Q28:Q106)</f>
        <v>0</v>
      </c>
      <c r="Y84" s="540">
        <f ca="1">SUMIF(CPSX!$D$28:$W$106,'FORM OH'!$I$84,CPSX!R28:R106)</f>
        <v>0</v>
      </c>
      <c r="Z84" s="540">
        <f ca="1">SUMIF(CPSX!$D$28:$W$106,'FORM OH'!$I$84,CPSX!S28:S106)</f>
        <v>0</v>
      </c>
      <c r="AA84" s="540">
        <f ca="1">SUMIF(CPSX!$D$28:$W$106,'FORM OH'!$I$84,CPSX!T28:T106)</f>
        <v>0</v>
      </c>
      <c r="AB84" s="540">
        <f ca="1">SUMIF(CPSX!$D$28:$W$106,'FORM OH'!$I$84,CPSX!U28:U106)</f>
        <v>0</v>
      </c>
      <c r="AC84" s="540">
        <f ca="1">SUMIF(CPSX!$D$28:$W$106,'FORM OH'!$I$84,CPSX!V28:V106)</f>
        <v>0</v>
      </c>
      <c r="AD84" s="540">
        <f t="shared" ca="1" si="13"/>
        <v>0</v>
      </c>
      <c r="AE84" s="533"/>
      <c r="AF84" s="540">
        <f ca="1">SUMIF(CPSX!$D$28:$W$106,'FORM OH'!$I$84,CPSX!Y28:Y106)</f>
        <v>0</v>
      </c>
      <c r="AG84" s="540">
        <f ca="1">SUMIF(CPSX!$D$28:$W$106,'FORM OH'!$I$84,CPSX!Z28:Z106)</f>
        <v>0</v>
      </c>
      <c r="AH84" s="540">
        <f ca="1">SUMIF(CPSX!$D$28:$W$106,'FORM OH'!$I$84,CPSX!AA28:AA106)</f>
        <v>0</v>
      </c>
      <c r="AI84" s="540">
        <f ca="1">SUMIF(CPSX!$D$28:$W$106,'FORM OH'!$I$84,CPSX!AB28:AB106)</f>
        <v>0</v>
      </c>
      <c r="AJ84" s="540">
        <f ca="1">SUMIF(CPSX!$D$28:$W$106,'FORM OH'!$I$84,CPSX!AC28:AC106)</f>
        <v>0</v>
      </c>
      <c r="AK84" s="540">
        <f ca="1">SUMIF(CPSX!$D$28:$W$106,'FORM OH'!$I$84,CPSX!AD28:AD106)</f>
        <v>0</v>
      </c>
      <c r="AL84" s="540">
        <f ca="1">SUMIF(CPSX!$D$28:$W$106,'FORM OH'!$I$84,CPSX!AE28:AE106)</f>
        <v>0</v>
      </c>
      <c r="AM84" s="540">
        <f ca="1">SUMIF(CPSX!$D$28:$W$106,'FORM OH'!$I$84,CPSX!AF28:AF106)</f>
        <v>0</v>
      </c>
      <c r="AN84" s="540">
        <f ca="1">SUMIF(CPSX!$D$28:$W$106,'FORM OH'!$I$84,CPSX!AG28:AG106)</f>
        <v>0</v>
      </c>
      <c r="AO84" s="540">
        <f ca="1">SUMIF(CPSX!$D$28:$W$106,'FORM OH'!$I$84,CPSX!AH28:AH106)</f>
        <v>0</v>
      </c>
      <c r="AP84" s="540">
        <f ca="1">SUMIF(CPSX!$D$28:$W$106,'FORM OH'!$I$84,CPSX!AI28:AI106)</f>
        <v>0</v>
      </c>
      <c r="AQ84" s="540">
        <f ca="1">SUMIF(CPSX!$D$28:$W$106,'FORM OH'!$I$84,CPSX!AJ28:AJ106)</f>
        <v>0</v>
      </c>
      <c r="AR84" s="1284">
        <f t="shared" ca="1" si="14"/>
        <v>0</v>
      </c>
      <c r="AS84" s="1284">
        <f t="shared" ca="1" si="15"/>
        <v>0</v>
      </c>
      <c r="AT84" s="1297">
        <f t="shared" ca="1" si="16"/>
        <v>0</v>
      </c>
    </row>
    <row r="85" spans="1:46" s="539" customFormat="1" ht="16.399999999999999" customHeight="1" outlineLevel="1" x14ac:dyDescent="0.35">
      <c r="A85" s="534" t="s">
        <v>782</v>
      </c>
      <c r="B85" s="534" t="s">
        <v>783</v>
      </c>
      <c r="C85" s="535" t="s">
        <v>150</v>
      </c>
      <c r="D85" s="536" t="s">
        <v>817</v>
      </c>
      <c r="E85" s="536" t="s">
        <v>818</v>
      </c>
      <c r="F85" s="536" t="s">
        <v>1036</v>
      </c>
      <c r="G85" s="536" t="s">
        <v>820</v>
      </c>
      <c r="H85" s="536" t="s">
        <v>1037</v>
      </c>
      <c r="I85" s="535" t="s">
        <v>1038</v>
      </c>
      <c r="J85" s="536" t="s">
        <v>1039</v>
      </c>
      <c r="K85" s="536" t="s">
        <v>579</v>
      </c>
      <c r="L85" s="535" t="s">
        <v>1040</v>
      </c>
      <c r="M85" s="536" t="s">
        <v>1041</v>
      </c>
      <c r="N85" s="536"/>
      <c r="O85" s="535"/>
      <c r="P85" s="536"/>
      <c r="Q85" s="536"/>
      <c r="R85" s="540">
        <f ca="1">SUMIF(CPSX!$D$28:$W$106,'FORM OH'!$I$85,CPSX!K28:K106)</f>
        <v>0</v>
      </c>
      <c r="S85" s="540">
        <f ca="1">SUMIF(CPSX!$D$28:$W$106,'FORM OH'!$I$85,CPSX!L28:L106)</f>
        <v>0</v>
      </c>
      <c r="T85" s="540">
        <f ca="1">SUMIF(CPSX!$D$28:$W$106,'FORM OH'!$I$85,CPSX!M28:M106)</f>
        <v>0</v>
      </c>
      <c r="U85" s="540">
        <f ca="1">SUMIF(CPSX!$D$28:$W$106,'FORM OH'!$I$85,CPSX!N28:N106)</f>
        <v>0</v>
      </c>
      <c r="V85" s="540">
        <f ca="1">SUMIF(CPSX!$D$28:$W$106,'FORM OH'!$I$85,CPSX!O28:O106)</f>
        <v>0</v>
      </c>
      <c r="W85" s="540">
        <f ca="1">SUMIF(CPSX!$D$28:$W$106,'FORM OH'!$I$85,CPSX!P28:P106)</f>
        <v>0</v>
      </c>
      <c r="X85" s="540">
        <f ca="1">SUMIF(CPSX!$D$28:$W$106,'FORM OH'!$I$85,CPSX!Q28:Q106)</f>
        <v>0</v>
      </c>
      <c r="Y85" s="540">
        <f ca="1">SUMIF(CPSX!$D$28:$W$106,'FORM OH'!$I$85,CPSX!R28:R106)</f>
        <v>0</v>
      </c>
      <c r="Z85" s="540">
        <f ca="1">SUMIF(CPSX!$D$28:$W$106,'FORM OH'!$I$85,CPSX!S28:S106)</f>
        <v>0</v>
      </c>
      <c r="AA85" s="540">
        <f ca="1">SUMIF(CPSX!$D$28:$W$106,'FORM OH'!$I$85,CPSX!T28:T106)</f>
        <v>0</v>
      </c>
      <c r="AB85" s="540">
        <f ca="1">SUMIF(CPSX!$D$28:$W$106,'FORM OH'!$I$85,CPSX!U28:U106)</f>
        <v>0</v>
      </c>
      <c r="AC85" s="540">
        <f ca="1">SUMIF(CPSX!$D$28:$W$106,'FORM OH'!$I$85,CPSX!V28:V106)</f>
        <v>0</v>
      </c>
      <c r="AD85" s="540">
        <f t="shared" ca="1" si="13"/>
        <v>0</v>
      </c>
      <c r="AE85" s="533"/>
      <c r="AF85" s="540">
        <f ca="1">SUMIF(CPSX!$D$28:$W$106,'FORM OH'!$I$85,CPSX!Y28:Y106)</f>
        <v>0</v>
      </c>
      <c r="AG85" s="540">
        <f ca="1">SUMIF(CPSX!$D$28:$W$106,'FORM OH'!$I$85,CPSX!Z28:Z106)</f>
        <v>0</v>
      </c>
      <c r="AH85" s="540">
        <f ca="1">SUMIF(CPSX!$D$28:$W$106,'FORM OH'!$I$85,CPSX!AA28:AA106)</f>
        <v>0</v>
      </c>
      <c r="AI85" s="540">
        <f ca="1">SUMIF(CPSX!$D$28:$W$106,'FORM OH'!$I$85,CPSX!AB28:AB106)</f>
        <v>0</v>
      </c>
      <c r="AJ85" s="540">
        <f ca="1">SUMIF(CPSX!$D$28:$W$106,'FORM OH'!$I$85,CPSX!AC28:AC106)</f>
        <v>0</v>
      </c>
      <c r="AK85" s="540">
        <f ca="1">SUMIF(CPSX!$D$28:$W$106,'FORM OH'!$I$85,CPSX!AD28:AD106)</f>
        <v>0</v>
      </c>
      <c r="AL85" s="540">
        <f ca="1">SUMIF(CPSX!$D$28:$W$106,'FORM OH'!$I$85,CPSX!AE28:AE106)</f>
        <v>0</v>
      </c>
      <c r="AM85" s="540">
        <f ca="1">SUMIF(CPSX!$D$28:$W$106,'FORM OH'!$I$85,CPSX!AF28:AF106)</f>
        <v>0</v>
      </c>
      <c r="AN85" s="540">
        <f ca="1">SUMIF(CPSX!$D$28:$W$106,'FORM OH'!$I$85,CPSX!AG28:AG106)</f>
        <v>0</v>
      </c>
      <c r="AO85" s="540">
        <f ca="1">SUMIF(CPSX!$D$28:$W$106,'FORM OH'!$I$85,CPSX!AH28:AH106)</f>
        <v>0</v>
      </c>
      <c r="AP85" s="540">
        <f ca="1">SUMIF(CPSX!$D$28:$W$106,'FORM OH'!$I$85,CPSX!AI28:AI106)</f>
        <v>0</v>
      </c>
      <c r="AQ85" s="540">
        <f ca="1">SUMIF(CPSX!$D$28:$W$106,'FORM OH'!$I$85,CPSX!AJ28:AJ106)</f>
        <v>0</v>
      </c>
      <c r="AR85" s="1284">
        <f t="shared" ca="1" si="14"/>
        <v>0</v>
      </c>
      <c r="AS85" s="1284">
        <f t="shared" ca="1" si="15"/>
        <v>0</v>
      </c>
      <c r="AT85" s="1297">
        <f t="shared" ca="1" si="16"/>
        <v>0</v>
      </c>
    </row>
    <row r="86" spans="1:46" s="539" customFormat="1" ht="16.399999999999999" customHeight="1" outlineLevel="1" x14ac:dyDescent="0.35">
      <c r="A86" s="534" t="s">
        <v>782</v>
      </c>
      <c r="B86" s="534" t="s">
        <v>783</v>
      </c>
      <c r="C86" s="535" t="s">
        <v>150</v>
      </c>
      <c r="D86" s="536" t="s">
        <v>817</v>
      </c>
      <c r="E86" s="536" t="s">
        <v>818</v>
      </c>
      <c r="F86" s="536" t="s">
        <v>1036</v>
      </c>
      <c r="G86" s="536" t="s">
        <v>820</v>
      </c>
      <c r="H86" s="536" t="s">
        <v>1037</v>
      </c>
      <c r="I86" s="535" t="s">
        <v>1042</v>
      </c>
      <c r="J86" s="536" t="s">
        <v>1039</v>
      </c>
      <c r="K86" s="536" t="s">
        <v>579</v>
      </c>
      <c r="L86" s="535" t="s">
        <v>1040</v>
      </c>
      <c r="M86" s="536" t="s">
        <v>1041</v>
      </c>
      <c r="N86" s="536"/>
      <c r="O86" s="535"/>
      <c r="P86" s="536"/>
      <c r="Q86" s="536"/>
      <c r="R86" s="540">
        <f ca="1">SUMIF(CPSX!$D$28:$W$106,'FORM OH'!$I$86,CPSX!K28:K106)</f>
        <v>0</v>
      </c>
      <c r="S86" s="540">
        <f ca="1">SUMIF(CPSX!$D$28:$W$106,'FORM OH'!$I$86,CPSX!L28:L106)</f>
        <v>0</v>
      </c>
      <c r="T86" s="540">
        <f ca="1">SUMIF(CPSX!$D$28:$W$106,'FORM OH'!$I$86,CPSX!M28:M106)</f>
        <v>0</v>
      </c>
      <c r="U86" s="540">
        <f ca="1">SUMIF(CPSX!$D$28:$W$106,'FORM OH'!$I$86,CPSX!N28:N106)</f>
        <v>0</v>
      </c>
      <c r="V86" s="540">
        <f ca="1">SUMIF(CPSX!$D$28:$W$106,'FORM OH'!$I$86,CPSX!O28:O106)</f>
        <v>0</v>
      </c>
      <c r="W86" s="540">
        <f ca="1">SUMIF(CPSX!$D$28:$W$106,'FORM OH'!$I$86,CPSX!P28:P106)</f>
        <v>0</v>
      </c>
      <c r="X86" s="540">
        <f ca="1">SUMIF(CPSX!$D$28:$W$106,'FORM OH'!$I$86,CPSX!Q28:Q106)</f>
        <v>0</v>
      </c>
      <c r="Y86" s="540">
        <f ca="1">SUMIF(CPSX!$D$28:$W$106,'FORM OH'!$I$86,CPSX!R28:R106)</f>
        <v>0</v>
      </c>
      <c r="Z86" s="540">
        <f ca="1">SUMIF(CPSX!$D$28:$W$106,'FORM OH'!$I$86,CPSX!S28:S106)</f>
        <v>0</v>
      </c>
      <c r="AA86" s="540">
        <f ca="1">SUMIF(CPSX!$D$28:$W$106,'FORM OH'!$I$86,CPSX!T28:T106)</f>
        <v>0</v>
      </c>
      <c r="AB86" s="540">
        <f ca="1">SUMIF(CPSX!$D$28:$W$106,'FORM OH'!$I$86,CPSX!U28:U106)</f>
        <v>0</v>
      </c>
      <c r="AC86" s="540">
        <f ca="1">SUMIF(CPSX!$D$28:$W$106,'FORM OH'!$I$86,CPSX!V28:V106)</f>
        <v>0</v>
      </c>
      <c r="AD86" s="540">
        <f t="shared" ca="1" si="13"/>
        <v>0</v>
      </c>
      <c r="AE86" s="533"/>
      <c r="AF86" s="540">
        <f ca="1">SUMIF(CPSX!$D$28:$W$106,'FORM OH'!$I$86,CPSX!Y28:Y106)</f>
        <v>0</v>
      </c>
      <c r="AG86" s="540">
        <f ca="1">SUMIF(CPSX!$D$28:$W$106,'FORM OH'!$I$86,CPSX!Z28:Z106)</f>
        <v>0</v>
      </c>
      <c r="AH86" s="540">
        <f ca="1">SUMIF(CPSX!$D$28:$W$106,'FORM OH'!$I$86,CPSX!AA28:AA106)</f>
        <v>0</v>
      </c>
      <c r="AI86" s="540">
        <f ca="1">SUMIF(CPSX!$D$28:$W$106,'FORM OH'!$I$86,CPSX!AB28:AB106)</f>
        <v>0</v>
      </c>
      <c r="AJ86" s="540">
        <f ca="1">SUMIF(CPSX!$D$28:$W$106,'FORM OH'!$I$86,CPSX!AC28:AC106)</f>
        <v>0</v>
      </c>
      <c r="AK86" s="540">
        <f ca="1">SUMIF(CPSX!$D$28:$W$106,'FORM OH'!$I$86,CPSX!AD28:AD106)</f>
        <v>0</v>
      </c>
      <c r="AL86" s="540">
        <f ca="1">SUMIF(CPSX!$D$28:$W$106,'FORM OH'!$I$86,CPSX!AE28:AE106)</f>
        <v>0</v>
      </c>
      <c r="AM86" s="540">
        <f ca="1">SUMIF(CPSX!$D$28:$W$106,'FORM OH'!$I$86,CPSX!AF28:AF106)</f>
        <v>0</v>
      </c>
      <c r="AN86" s="540">
        <f ca="1">SUMIF(CPSX!$D$28:$W$106,'FORM OH'!$I$86,CPSX!AG28:AG106)</f>
        <v>0</v>
      </c>
      <c r="AO86" s="540">
        <f ca="1">SUMIF(CPSX!$D$28:$W$106,'FORM OH'!$I$86,CPSX!AH28:AH106)</f>
        <v>0</v>
      </c>
      <c r="AP86" s="540">
        <f ca="1">SUMIF(CPSX!$D$28:$W$106,'FORM OH'!$I$86,CPSX!AI28:AI106)</f>
        <v>0</v>
      </c>
      <c r="AQ86" s="540">
        <f ca="1">SUMIF(CPSX!$D$28:$W$106,'FORM OH'!$I$86,CPSX!AJ28:AJ106)</f>
        <v>0</v>
      </c>
      <c r="AR86" s="1284">
        <f t="shared" ca="1" si="14"/>
        <v>0</v>
      </c>
      <c r="AS86" s="1284">
        <f t="shared" ca="1" si="15"/>
        <v>0</v>
      </c>
      <c r="AT86" s="1297">
        <f t="shared" ca="1" si="16"/>
        <v>0</v>
      </c>
    </row>
    <row r="87" spans="1:46" s="539" customFormat="1" ht="16.399999999999999" customHeight="1" outlineLevel="1" x14ac:dyDescent="0.35">
      <c r="A87" s="534" t="s">
        <v>782</v>
      </c>
      <c r="B87" s="534" t="s">
        <v>783</v>
      </c>
      <c r="C87" s="535" t="s">
        <v>150</v>
      </c>
      <c r="D87" s="536" t="s">
        <v>817</v>
      </c>
      <c r="E87" s="536" t="s">
        <v>818</v>
      </c>
      <c r="F87" s="536" t="s">
        <v>1043</v>
      </c>
      <c r="G87" s="536" t="s">
        <v>820</v>
      </c>
      <c r="H87" s="536" t="s">
        <v>606</v>
      </c>
      <c r="I87" s="535" t="s">
        <v>1044</v>
      </c>
      <c r="J87" s="536" t="s">
        <v>447</v>
      </c>
      <c r="K87" s="536" t="s">
        <v>579</v>
      </c>
      <c r="L87" s="535" t="s">
        <v>1045</v>
      </c>
      <c r="M87" s="536" t="s">
        <v>1046</v>
      </c>
      <c r="N87" s="544"/>
      <c r="O87" s="1256"/>
      <c r="P87" s="1257"/>
      <c r="Q87" s="1257"/>
      <c r="R87" s="540">
        <f ca="1">SUMIF(CPSX!$D$28:$W$106,'FORM OH'!$I$87,CPSX!K28:K106)</f>
        <v>6561111.444444445</v>
      </c>
      <c r="S87" s="540">
        <f ca="1">SUMIF(CPSX!$D$28:$W$106,'FORM OH'!$I$87,CPSX!L28:L106)</f>
        <v>6561109.444444445</v>
      </c>
      <c r="T87" s="540">
        <f ca="1">SUMIF(CPSX!$D$28:$W$106,'FORM OH'!$I$87,CPSX!M28:M106)</f>
        <v>5194444.444444445</v>
      </c>
      <c r="U87" s="540">
        <f ca="1">SUMIF(CPSX!$D$28:$W$106,'FORM OH'!$I$87,CPSX!N28:N106)</f>
        <v>5194444.444444445</v>
      </c>
      <c r="V87" s="540">
        <f ca="1">SUMIF(CPSX!$D$28:$W$106,'FORM OH'!$I$87,CPSX!O28:O106)</f>
        <v>5194444.444444445</v>
      </c>
      <c r="W87" s="540">
        <f ca="1">SUMIF(CPSX!$D$28:$W$106,'FORM OH'!$I$87,CPSX!P28:P106)</f>
        <v>5194444.444444445</v>
      </c>
      <c r="X87" s="540">
        <f ca="1">SUMIF(CPSX!$D$28:$W$106,'FORM OH'!$I$87,CPSX!Q28:Q106)</f>
        <v>5194444.444444445</v>
      </c>
      <c r="Y87" s="540">
        <f ca="1">SUMIF(CPSX!$D$28:$W$106,'FORM OH'!$I$87,CPSX!R28:R106)</f>
        <v>5194444.444444445</v>
      </c>
      <c r="Z87" s="540">
        <f ca="1">SUMIF(CPSX!$D$28:$W$106,'FORM OH'!$I$87,CPSX!S28:S106)</f>
        <v>5194444.444444445</v>
      </c>
      <c r="AA87" s="540">
        <f ca="1">SUMIF(CPSX!$D$28:$W$106,'FORM OH'!$I$87,CPSX!T28:T106)</f>
        <v>5194444.444444445</v>
      </c>
      <c r="AB87" s="540">
        <f ca="1">SUMIF(CPSX!$D$28:$W$106,'FORM OH'!$I$87,CPSX!U28:U106)</f>
        <v>5194444.444444445</v>
      </c>
      <c r="AC87" s="540">
        <f ca="1">SUMIF(CPSX!$D$28:$W$106,'FORM OH'!$I$87,CPSX!V28:V106)</f>
        <v>5194444.444444445</v>
      </c>
      <c r="AD87" s="540">
        <f t="shared" ca="1" si="13"/>
        <v>65066665.333333358</v>
      </c>
      <c r="AE87" s="533"/>
      <c r="AF87" s="540">
        <f ca="1">SUMIF(CPSX!$D$28:$W$106,'FORM OH'!$I$87,CPSX!Y28:Y106)</f>
        <v>1447972</v>
      </c>
      <c r="AG87" s="540">
        <f ca="1">SUMIF(CPSX!$D$28:$W$106,'FORM OH'!$I$87,CPSX!Z28:Z106)</f>
        <v>1357649</v>
      </c>
      <c r="AH87" s="540">
        <f ca="1">SUMIF(CPSX!$D$28:$W$106,'FORM OH'!$I$87,CPSX!AA28:AA106)</f>
        <v>1357649</v>
      </c>
      <c r="AI87" s="540">
        <f ca="1">SUMIF(CPSX!$D$28:$W$106,'FORM OH'!$I$87,CPSX!AB28:AB106)</f>
        <v>2392465</v>
      </c>
      <c r="AJ87" s="540">
        <f ca="1">SUMIF(CPSX!$D$28:$W$106,'FORM OH'!$I$87,CPSX!AC28:AC106)</f>
        <v>2727949</v>
      </c>
      <c r="AK87" s="540">
        <f ca="1">SUMIF(CPSX!$D$28:$W$106,'FORM OH'!$I$87,CPSX!AD28:AD106)</f>
        <v>3657162</v>
      </c>
      <c r="AL87" s="540">
        <f ca="1">SUMIF(CPSX!$D$28:$W$106,'FORM OH'!$I$87,CPSX!AE28:AE106)</f>
        <v>3657162</v>
      </c>
      <c r="AM87" s="540">
        <f ca="1">SUMIF(CPSX!$D$28:$W$106,'FORM OH'!$I$87,CPSX!AF28:AF106)</f>
        <v>3657162</v>
      </c>
      <c r="AN87" s="540">
        <f ca="1">SUMIF(CPSX!$D$28:$W$106,'FORM OH'!$I$87,CPSX!AG28:AG106)</f>
        <v>5023829</v>
      </c>
      <c r="AO87" s="540">
        <f ca="1">SUMIF(CPSX!$D$28:$W$106,'FORM OH'!$I$87,CPSX!AH28:AH106)</f>
        <v>4352055</v>
      </c>
      <c r="AP87" s="540">
        <f ca="1">SUMIF(CPSX!$D$28:$W$106,'FORM OH'!$I$87,CPSX!AI28:AI106)</f>
        <v>3463345</v>
      </c>
      <c r="AQ87" s="540">
        <f ca="1">SUMIF(CPSX!$D$28:$W$106,'FORM OH'!$I$87,CPSX!AJ28:AJ106)</f>
        <v>1366667</v>
      </c>
      <c r="AR87" s="1284">
        <f t="shared" ca="1" si="14"/>
        <v>34461066</v>
      </c>
      <c r="AS87" s="1284">
        <f t="shared" ca="1" si="15"/>
        <v>30605599.333333358</v>
      </c>
      <c r="AT87" s="1297">
        <f t="shared" ca="1" si="16"/>
        <v>0.8881210852076763</v>
      </c>
    </row>
    <row r="88" spans="1:46" s="539" customFormat="1" ht="16.399999999999999" customHeight="1" outlineLevel="1" x14ac:dyDescent="0.35">
      <c r="A88" s="534" t="s">
        <v>782</v>
      </c>
      <c r="B88" s="534" t="s">
        <v>783</v>
      </c>
      <c r="C88" s="535" t="s">
        <v>150</v>
      </c>
      <c r="D88" s="536" t="s">
        <v>817</v>
      </c>
      <c r="E88" s="536" t="s">
        <v>818</v>
      </c>
      <c r="F88" s="536" t="s">
        <v>1043</v>
      </c>
      <c r="G88" s="536" t="s">
        <v>820</v>
      </c>
      <c r="H88" s="536" t="s">
        <v>606</v>
      </c>
      <c r="I88" s="535" t="s">
        <v>1047</v>
      </c>
      <c r="J88" s="536" t="s">
        <v>447</v>
      </c>
      <c r="K88" s="536" t="s">
        <v>579</v>
      </c>
      <c r="L88" s="535" t="s">
        <v>1045</v>
      </c>
      <c r="M88" s="536" t="s">
        <v>1046</v>
      </c>
      <c r="N88" s="544"/>
      <c r="O88" s="535"/>
      <c r="P88" s="536"/>
      <c r="Q88" s="536"/>
      <c r="R88" s="540">
        <f ca="1">SUMIF(CPSX!$D$28:$W$106,'FORM OH'!$I$88,CPSX!K28:K106)</f>
        <v>0</v>
      </c>
      <c r="S88" s="540">
        <f ca="1">SUMIF(CPSX!$D$28:$W$106,'FORM OH'!$I$88,CPSX!L28:L106)</f>
        <v>0</v>
      </c>
      <c r="T88" s="540">
        <f ca="1">SUMIF(CPSX!$D$28:$W$106,'FORM OH'!$I$88,CPSX!M28:M106)</f>
        <v>0</v>
      </c>
      <c r="U88" s="540">
        <f ca="1">SUMIF(CPSX!$D$28:$W$106,'FORM OH'!$I$88,CPSX!N28:N106)</f>
        <v>0</v>
      </c>
      <c r="V88" s="540">
        <f ca="1">SUMIF(CPSX!$D$28:$W$106,'FORM OH'!$I$88,CPSX!O28:O106)</f>
        <v>0</v>
      </c>
      <c r="W88" s="540">
        <f ca="1">SUMIF(CPSX!$D$28:$W$106,'FORM OH'!$I$88,CPSX!P28:P106)</f>
        <v>0</v>
      </c>
      <c r="X88" s="540">
        <f ca="1">SUMIF(CPSX!$D$28:$W$106,'FORM OH'!$I$88,CPSX!Q28:Q106)</f>
        <v>0</v>
      </c>
      <c r="Y88" s="540">
        <f ca="1">SUMIF(CPSX!$D$28:$W$106,'FORM OH'!$I$88,CPSX!R28:R106)</f>
        <v>0</v>
      </c>
      <c r="Z88" s="540">
        <f ca="1">SUMIF(CPSX!$D$28:$W$106,'FORM OH'!$I$88,CPSX!S28:S106)</f>
        <v>0</v>
      </c>
      <c r="AA88" s="540">
        <f ca="1">SUMIF(CPSX!$D$28:$W$106,'FORM OH'!$I$88,CPSX!T28:T106)</f>
        <v>0</v>
      </c>
      <c r="AB88" s="540">
        <f ca="1">SUMIF(CPSX!$D$28:$W$106,'FORM OH'!$I$88,CPSX!U28:U106)</f>
        <v>0</v>
      </c>
      <c r="AC88" s="540">
        <f ca="1">SUMIF(CPSX!$D$28:$W$106,'FORM OH'!$I$88,CPSX!V28:V106)</f>
        <v>0</v>
      </c>
      <c r="AD88" s="540">
        <f t="shared" ca="1" si="13"/>
        <v>0</v>
      </c>
      <c r="AE88" s="533"/>
      <c r="AF88" s="540">
        <f ca="1">SUMIF(CPSX!$D$28:$W$106,'FORM OH'!$I$88,CPSX!Y28:Y106)</f>
        <v>0</v>
      </c>
      <c r="AG88" s="540">
        <f ca="1">SUMIF(CPSX!$D$28:$W$106,'FORM OH'!$I$88,CPSX!Z28:Z106)</f>
        <v>0</v>
      </c>
      <c r="AH88" s="540">
        <f ca="1">SUMIF(CPSX!$D$28:$W$106,'FORM OH'!$I$88,CPSX!AA28:AA106)</f>
        <v>0</v>
      </c>
      <c r="AI88" s="540">
        <f ca="1">SUMIF(CPSX!$D$28:$W$106,'FORM OH'!$I$88,CPSX!AB28:AB106)</f>
        <v>0</v>
      </c>
      <c r="AJ88" s="540">
        <f ca="1">SUMIF(CPSX!$D$28:$W$106,'FORM OH'!$I$88,CPSX!AC28:AC106)</f>
        <v>0</v>
      </c>
      <c r="AK88" s="540">
        <f ca="1">SUMIF(CPSX!$D$28:$W$106,'FORM OH'!$I$88,CPSX!AD28:AD106)</f>
        <v>0</v>
      </c>
      <c r="AL88" s="540">
        <f ca="1">SUMIF(CPSX!$D$28:$W$106,'FORM OH'!$I$88,CPSX!AE28:AE106)</f>
        <v>0</v>
      </c>
      <c r="AM88" s="540">
        <f ca="1">SUMIF(CPSX!$D$28:$W$106,'FORM OH'!$I$88,CPSX!AF28:AF106)</f>
        <v>0</v>
      </c>
      <c r="AN88" s="540">
        <f ca="1">SUMIF(CPSX!$D$28:$W$106,'FORM OH'!$I$88,CPSX!AG28:AG106)</f>
        <v>0</v>
      </c>
      <c r="AO88" s="540">
        <f ca="1">SUMIF(CPSX!$D$28:$W$106,'FORM OH'!$I$88,CPSX!AH28:AH106)</f>
        <v>0</v>
      </c>
      <c r="AP88" s="540">
        <f ca="1">SUMIF(CPSX!$D$28:$W$106,'FORM OH'!$I$88,CPSX!AI28:AI106)</f>
        <v>0</v>
      </c>
      <c r="AQ88" s="540">
        <f ca="1">SUMIF(CPSX!$D$28:$W$106,'FORM OH'!$I$88,CPSX!AJ28:AJ106)</f>
        <v>0</v>
      </c>
      <c r="AR88" s="1284">
        <f t="shared" ca="1" si="14"/>
        <v>0</v>
      </c>
      <c r="AS88" s="1284">
        <f t="shared" ca="1" si="15"/>
        <v>0</v>
      </c>
      <c r="AT88" s="1297">
        <f t="shared" ca="1" si="16"/>
        <v>0</v>
      </c>
    </row>
    <row r="89" spans="1:46" s="539" customFormat="1" ht="16.399999999999999" customHeight="1" outlineLevel="1" x14ac:dyDescent="0.35">
      <c r="A89" s="534" t="s">
        <v>782</v>
      </c>
      <c r="B89" s="534" t="s">
        <v>783</v>
      </c>
      <c r="C89" s="535" t="s">
        <v>150</v>
      </c>
      <c r="D89" s="536" t="s">
        <v>817</v>
      </c>
      <c r="E89" s="536" t="s">
        <v>818</v>
      </c>
      <c r="F89" s="536" t="s">
        <v>1048</v>
      </c>
      <c r="G89" s="536" t="s">
        <v>820</v>
      </c>
      <c r="H89" s="536" t="s">
        <v>1049</v>
      </c>
      <c r="I89" s="535" t="s">
        <v>1050</v>
      </c>
      <c r="J89" s="536" t="s">
        <v>448</v>
      </c>
      <c r="K89" s="536" t="s">
        <v>594</v>
      </c>
      <c r="L89" s="535" t="s">
        <v>1051</v>
      </c>
      <c r="M89" s="536" t="s">
        <v>1052</v>
      </c>
      <c r="N89" s="536"/>
      <c r="O89" s="535"/>
      <c r="P89" s="536"/>
      <c r="Q89" s="536"/>
      <c r="R89" s="540">
        <f ca="1">SUMIF(CPSX!$D$28:$W$106,'FORM OH'!$I$89,CPSX!K28:K106)</f>
        <v>0</v>
      </c>
      <c r="S89" s="540">
        <f ca="1">SUMIF(CPSX!$D$28:$W$106,'FORM OH'!$I$89,CPSX!L28:L106)</f>
        <v>0</v>
      </c>
      <c r="T89" s="540">
        <f ca="1">SUMIF(CPSX!$D$28:$W$106,'FORM OH'!$I$89,CPSX!M28:M106)</f>
        <v>0</v>
      </c>
      <c r="U89" s="540">
        <f ca="1">SUMIF(CPSX!$D$28:$W$106,'FORM OH'!$I$89,CPSX!N28:N106)</f>
        <v>0</v>
      </c>
      <c r="V89" s="540">
        <f ca="1">SUMIF(CPSX!$D$28:$W$106,'FORM OH'!$I$89,CPSX!O28:O106)</f>
        <v>0</v>
      </c>
      <c r="W89" s="540">
        <f ca="1">SUMIF(CPSX!$D$28:$W$106,'FORM OH'!$I$89,CPSX!P28:P106)</f>
        <v>0</v>
      </c>
      <c r="X89" s="540">
        <f ca="1">SUMIF(CPSX!$D$28:$W$106,'FORM OH'!$I$89,CPSX!Q28:Q106)</f>
        <v>0</v>
      </c>
      <c r="Y89" s="540">
        <f ca="1">SUMIF(CPSX!$D$28:$W$106,'FORM OH'!$I$89,CPSX!R28:R106)</f>
        <v>0</v>
      </c>
      <c r="Z89" s="540">
        <f ca="1">SUMIF(CPSX!$D$28:$W$106,'FORM OH'!$I$89,CPSX!S28:S106)</f>
        <v>0</v>
      </c>
      <c r="AA89" s="540">
        <f ca="1">SUMIF(CPSX!$D$28:$W$106,'FORM OH'!$I$89,CPSX!T28:T106)</f>
        <v>0</v>
      </c>
      <c r="AB89" s="540">
        <f ca="1">SUMIF(CPSX!$D$28:$W$106,'FORM OH'!$I$89,CPSX!U28:U106)</f>
        <v>0</v>
      </c>
      <c r="AC89" s="540">
        <f ca="1">SUMIF(CPSX!$D$28:$W$106,'FORM OH'!$I$89,CPSX!V28:V106)</f>
        <v>0</v>
      </c>
      <c r="AD89" s="540">
        <f t="shared" ca="1" si="13"/>
        <v>0</v>
      </c>
      <c r="AE89" s="533"/>
      <c r="AF89" s="540">
        <f ca="1">SUMIF(CPSX!$D$28:$W$106,'FORM OH'!$I$89,CPSX!Y28:Y106)</f>
        <v>0</v>
      </c>
      <c r="AG89" s="540">
        <f ca="1">SUMIF(CPSX!$D$28:$W$106,'FORM OH'!$I$89,CPSX!Z28:Z106)</f>
        <v>0</v>
      </c>
      <c r="AH89" s="540">
        <f ca="1">SUMIF(CPSX!$D$28:$W$106,'FORM OH'!$I$89,CPSX!AA28:AA106)</f>
        <v>0</v>
      </c>
      <c r="AI89" s="540">
        <f ca="1">SUMIF(CPSX!$D$28:$W$106,'FORM OH'!$I$89,CPSX!AB28:AB106)</f>
        <v>0</v>
      </c>
      <c r="AJ89" s="540">
        <f ca="1">SUMIF(CPSX!$D$28:$W$106,'FORM OH'!$I$89,CPSX!AC28:AC106)</f>
        <v>0</v>
      </c>
      <c r="AK89" s="540">
        <f ca="1">SUMIF(CPSX!$D$28:$W$106,'FORM OH'!$I$89,CPSX!AD28:AD106)</f>
        <v>0</v>
      </c>
      <c r="AL89" s="540">
        <f ca="1">SUMIF(CPSX!$D$28:$W$106,'FORM OH'!$I$89,CPSX!AE28:AE106)</f>
        <v>0</v>
      </c>
      <c r="AM89" s="540">
        <f ca="1">SUMIF(CPSX!$D$28:$W$106,'FORM OH'!$I$89,CPSX!AF28:AF106)</f>
        <v>0</v>
      </c>
      <c r="AN89" s="540">
        <f ca="1">SUMIF(CPSX!$D$28:$W$106,'FORM OH'!$I$89,CPSX!AG28:AG106)</f>
        <v>0</v>
      </c>
      <c r="AO89" s="540">
        <f ca="1">SUMIF(CPSX!$D$28:$W$106,'FORM OH'!$I$89,CPSX!AH28:AH106)</f>
        <v>0</v>
      </c>
      <c r="AP89" s="540">
        <f ca="1">SUMIF(CPSX!$D$28:$W$106,'FORM OH'!$I$89,CPSX!AI28:AI106)</f>
        <v>0</v>
      </c>
      <c r="AQ89" s="540">
        <f ca="1">SUMIF(CPSX!$D$28:$W$106,'FORM OH'!$I$89,CPSX!AJ28:AJ106)</f>
        <v>0</v>
      </c>
      <c r="AR89" s="1284">
        <f t="shared" ca="1" si="14"/>
        <v>0</v>
      </c>
      <c r="AS89" s="1284">
        <f t="shared" ca="1" si="15"/>
        <v>0</v>
      </c>
      <c r="AT89" s="1297">
        <f t="shared" ca="1" si="16"/>
        <v>0</v>
      </c>
    </row>
    <row r="90" spans="1:46" s="539" customFormat="1" ht="16.399999999999999" customHeight="1" outlineLevel="1" x14ac:dyDescent="0.35">
      <c r="A90" s="534" t="s">
        <v>782</v>
      </c>
      <c r="B90" s="534" t="s">
        <v>783</v>
      </c>
      <c r="C90" s="535" t="s">
        <v>150</v>
      </c>
      <c r="D90" s="536" t="s">
        <v>817</v>
      </c>
      <c r="E90" s="536" t="s">
        <v>818</v>
      </c>
      <c r="F90" s="536" t="s">
        <v>1048</v>
      </c>
      <c r="G90" s="536" t="s">
        <v>820</v>
      </c>
      <c r="H90" s="536" t="s">
        <v>1049</v>
      </c>
      <c r="I90" s="535" t="s">
        <v>1053</v>
      </c>
      <c r="J90" s="536" t="s">
        <v>1054</v>
      </c>
      <c r="K90" s="536" t="s">
        <v>594</v>
      </c>
      <c r="L90" s="535" t="s">
        <v>1055</v>
      </c>
      <c r="M90" s="536" t="s">
        <v>1056</v>
      </c>
      <c r="N90" s="536"/>
      <c r="O90" s="535"/>
      <c r="P90" s="536"/>
      <c r="Q90" s="536"/>
      <c r="R90" s="540">
        <f ca="1">SUMIF(CPSX!$D$28:$W$106,'FORM OH'!$I$90,CPSX!K28:K106)</f>
        <v>0</v>
      </c>
      <c r="S90" s="540">
        <f ca="1">SUMIF(CPSX!$D$28:$W$106,'FORM OH'!$I$90,CPSX!L28:L106)</f>
        <v>0</v>
      </c>
      <c r="T90" s="540">
        <f ca="1">SUMIF(CPSX!$D$28:$W$106,'FORM OH'!$I$90,CPSX!M28:M106)</f>
        <v>0</v>
      </c>
      <c r="U90" s="540">
        <f ca="1">SUMIF(CPSX!$D$28:$W$106,'FORM OH'!$I$90,CPSX!N28:N106)</f>
        <v>0</v>
      </c>
      <c r="V90" s="540">
        <f ca="1">SUMIF(CPSX!$D$28:$W$106,'FORM OH'!$I$90,CPSX!O28:O106)</f>
        <v>0</v>
      </c>
      <c r="W90" s="540">
        <f ca="1">SUMIF(CPSX!$D$28:$W$106,'FORM OH'!$I$90,CPSX!P28:P106)</f>
        <v>0</v>
      </c>
      <c r="X90" s="540">
        <f ca="1">SUMIF(CPSX!$D$28:$W$106,'FORM OH'!$I$90,CPSX!Q28:Q106)</f>
        <v>0</v>
      </c>
      <c r="Y90" s="540">
        <f ca="1">SUMIF(CPSX!$D$28:$W$106,'FORM OH'!$I$90,CPSX!R28:R106)</f>
        <v>0</v>
      </c>
      <c r="Z90" s="540">
        <f ca="1">SUMIF(CPSX!$D$28:$W$106,'FORM OH'!$I$90,CPSX!S28:S106)</f>
        <v>0</v>
      </c>
      <c r="AA90" s="540">
        <f ca="1">SUMIF(CPSX!$D$28:$W$106,'FORM OH'!$I$90,CPSX!T28:T106)</f>
        <v>0</v>
      </c>
      <c r="AB90" s="540">
        <f ca="1">SUMIF(CPSX!$D$28:$W$106,'FORM OH'!$I$90,CPSX!U28:U106)</f>
        <v>0</v>
      </c>
      <c r="AC90" s="540">
        <f ca="1">SUMIF(CPSX!$D$28:$W$106,'FORM OH'!$I$90,CPSX!V28:V106)</f>
        <v>0</v>
      </c>
      <c r="AD90" s="540">
        <f t="shared" ca="1" si="13"/>
        <v>0</v>
      </c>
      <c r="AE90" s="533"/>
      <c r="AF90" s="540">
        <f ca="1">SUMIF(CPSX!$D$28:$W$106,'FORM OH'!$I$90,CPSX!Y28:Y106)</f>
        <v>0</v>
      </c>
      <c r="AG90" s="540">
        <f ca="1">SUMIF(CPSX!$D$28:$W$106,'FORM OH'!$I$90,CPSX!Z28:Z106)</f>
        <v>0</v>
      </c>
      <c r="AH90" s="540">
        <f ca="1">SUMIF(CPSX!$D$28:$W$106,'FORM OH'!$I$90,CPSX!AA28:AA106)</f>
        <v>0</v>
      </c>
      <c r="AI90" s="540">
        <f ca="1">SUMIF(CPSX!$D$28:$W$106,'FORM OH'!$I$90,CPSX!AB28:AB106)</f>
        <v>0</v>
      </c>
      <c r="AJ90" s="540">
        <f ca="1">SUMIF(CPSX!$D$28:$W$106,'FORM OH'!$I$90,CPSX!AC28:AC106)</f>
        <v>0</v>
      </c>
      <c r="AK90" s="540">
        <f ca="1">SUMIF(CPSX!$D$28:$W$106,'FORM OH'!$I$90,CPSX!AD28:AD106)</f>
        <v>0</v>
      </c>
      <c r="AL90" s="540">
        <f ca="1">SUMIF(CPSX!$D$28:$W$106,'FORM OH'!$I$90,CPSX!AE28:AE106)</f>
        <v>0</v>
      </c>
      <c r="AM90" s="540">
        <f ca="1">SUMIF(CPSX!$D$28:$W$106,'FORM OH'!$I$90,CPSX!AF28:AF106)</f>
        <v>0</v>
      </c>
      <c r="AN90" s="540">
        <f ca="1">SUMIF(CPSX!$D$28:$W$106,'FORM OH'!$I$90,CPSX!AG28:AG106)</f>
        <v>0</v>
      </c>
      <c r="AO90" s="540">
        <f ca="1">SUMIF(CPSX!$D$28:$W$106,'FORM OH'!$I$90,CPSX!AH28:AH106)</f>
        <v>0</v>
      </c>
      <c r="AP90" s="540">
        <f ca="1">SUMIF(CPSX!$D$28:$W$106,'FORM OH'!$I$90,CPSX!AI28:AI106)</f>
        <v>0</v>
      </c>
      <c r="AQ90" s="540">
        <f ca="1">SUMIF(CPSX!$D$28:$W$106,'FORM OH'!$I$90,CPSX!AJ28:AJ106)</f>
        <v>0</v>
      </c>
      <c r="AR90" s="1284">
        <f t="shared" ca="1" si="14"/>
        <v>0</v>
      </c>
      <c r="AS90" s="1284">
        <f t="shared" ca="1" si="15"/>
        <v>0</v>
      </c>
      <c r="AT90" s="1297">
        <f t="shared" ca="1" si="16"/>
        <v>0</v>
      </c>
    </row>
    <row r="91" spans="1:46" s="539" customFormat="1" ht="16.399999999999999" customHeight="1" outlineLevel="1" x14ac:dyDescent="0.35">
      <c r="A91" s="534" t="s">
        <v>782</v>
      </c>
      <c r="B91" s="534" t="s">
        <v>783</v>
      </c>
      <c r="C91" s="535" t="s">
        <v>150</v>
      </c>
      <c r="D91" s="536" t="s">
        <v>817</v>
      </c>
      <c r="E91" s="536" t="s">
        <v>818</v>
      </c>
      <c r="F91" s="536" t="s">
        <v>1048</v>
      </c>
      <c r="G91" s="536" t="s">
        <v>820</v>
      </c>
      <c r="H91" s="536" t="s">
        <v>1049</v>
      </c>
      <c r="I91" s="535" t="s">
        <v>1057</v>
      </c>
      <c r="J91" s="536" t="s">
        <v>1054</v>
      </c>
      <c r="K91" s="536" t="s">
        <v>594</v>
      </c>
      <c r="L91" s="535" t="s">
        <v>1055</v>
      </c>
      <c r="M91" s="536" t="s">
        <v>1056</v>
      </c>
      <c r="N91" s="536"/>
      <c r="O91" s="535"/>
      <c r="P91" s="536"/>
      <c r="Q91" s="536"/>
      <c r="R91" s="540">
        <f ca="1">SUMIF(CPSX!$D$28:$W$106,'FORM OH'!$I$91,CPSX!K28:K106)</f>
        <v>0</v>
      </c>
      <c r="S91" s="540">
        <f ca="1">SUMIF(CPSX!$D$28:$W$106,'FORM OH'!$I$91,CPSX!L28:L106)</f>
        <v>0</v>
      </c>
      <c r="T91" s="540">
        <f ca="1">SUMIF(CPSX!$D$28:$W$106,'FORM OH'!$I$91,CPSX!M28:M106)</f>
        <v>0</v>
      </c>
      <c r="U91" s="540">
        <f ca="1">SUMIF(CPSX!$D$28:$W$106,'FORM OH'!$I$91,CPSX!N28:N106)</f>
        <v>0</v>
      </c>
      <c r="V91" s="540">
        <f ca="1">SUMIF(CPSX!$D$28:$W$106,'FORM OH'!$I$91,CPSX!O28:O106)</f>
        <v>0</v>
      </c>
      <c r="W91" s="540">
        <f ca="1">SUMIF(CPSX!$D$28:$W$106,'FORM OH'!$I$91,CPSX!P28:P106)</f>
        <v>0</v>
      </c>
      <c r="X91" s="540">
        <f ca="1">SUMIF(CPSX!$D$28:$W$106,'FORM OH'!$I$91,CPSX!Q28:Q106)</f>
        <v>0</v>
      </c>
      <c r="Y91" s="540">
        <f ca="1">SUMIF(CPSX!$D$28:$W$106,'FORM OH'!$I$91,CPSX!R28:R106)</f>
        <v>0</v>
      </c>
      <c r="Z91" s="540">
        <f ca="1">SUMIF(CPSX!$D$28:$W$106,'FORM OH'!$I$91,CPSX!S28:S106)</f>
        <v>0</v>
      </c>
      <c r="AA91" s="540">
        <f ca="1">SUMIF(CPSX!$D$28:$W$106,'FORM OH'!$I$91,CPSX!T28:T106)</f>
        <v>0</v>
      </c>
      <c r="AB91" s="540">
        <f ca="1">SUMIF(CPSX!$D$28:$W$106,'FORM OH'!$I$91,CPSX!U28:U106)</f>
        <v>0</v>
      </c>
      <c r="AC91" s="540">
        <f ca="1">SUMIF(CPSX!$D$28:$W$106,'FORM OH'!$I$91,CPSX!V28:V106)</f>
        <v>0</v>
      </c>
      <c r="AD91" s="540">
        <f t="shared" ca="1" si="13"/>
        <v>0</v>
      </c>
      <c r="AE91" s="533"/>
      <c r="AF91" s="540">
        <f ca="1">SUMIF(CPSX!$D$28:$W$106,'FORM OH'!$I$91,CPSX!Y28:Y106)</f>
        <v>0</v>
      </c>
      <c r="AG91" s="540">
        <f ca="1">SUMIF(CPSX!$D$28:$W$106,'FORM OH'!$I$91,CPSX!Z28:Z106)</f>
        <v>0</v>
      </c>
      <c r="AH91" s="540">
        <f ca="1">SUMIF(CPSX!$D$28:$W$106,'FORM OH'!$I$91,CPSX!AA28:AA106)</f>
        <v>0</v>
      </c>
      <c r="AI91" s="540">
        <f ca="1">SUMIF(CPSX!$D$28:$W$106,'FORM OH'!$I$91,CPSX!AB28:AB106)</f>
        <v>0</v>
      </c>
      <c r="AJ91" s="540">
        <f ca="1">SUMIF(CPSX!$D$28:$W$106,'FORM OH'!$I$91,CPSX!AC28:AC106)</f>
        <v>0</v>
      </c>
      <c r="AK91" s="540">
        <f ca="1">SUMIF(CPSX!$D$28:$W$106,'FORM OH'!$I$91,CPSX!AD28:AD106)</f>
        <v>0</v>
      </c>
      <c r="AL91" s="540">
        <f ca="1">SUMIF(CPSX!$D$28:$W$106,'FORM OH'!$I$91,CPSX!AE28:AE106)</f>
        <v>0</v>
      </c>
      <c r="AM91" s="540">
        <f ca="1">SUMIF(CPSX!$D$28:$W$106,'FORM OH'!$I$91,CPSX!AF28:AF106)</f>
        <v>0</v>
      </c>
      <c r="AN91" s="540">
        <f ca="1">SUMIF(CPSX!$D$28:$W$106,'FORM OH'!$I$91,CPSX!AG28:AG106)</f>
        <v>0</v>
      </c>
      <c r="AO91" s="540">
        <f ca="1">SUMIF(CPSX!$D$28:$W$106,'FORM OH'!$I$91,CPSX!AH28:AH106)</f>
        <v>0</v>
      </c>
      <c r="AP91" s="540">
        <f ca="1">SUMIF(CPSX!$D$28:$W$106,'FORM OH'!$I$91,CPSX!AI28:AI106)</f>
        <v>0</v>
      </c>
      <c r="AQ91" s="540">
        <f ca="1">SUMIF(CPSX!$D$28:$W$106,'FORM OH'!$I$91,CPSX!AJ28:AJ106)</f>
        <v>0</v>
      </c>
      <c r="AR91" s="1284">
        <f t="shared" ca="1" si="14"/>
        <v>0</v>
      </c>
      <c r="AS91" s="1284">
        <f t="shared" ca="1" si="15"/>
        <v>0</v>
      </c>
      <c r="AT91" s="1297">
        <f t="shared" ca="1" si="16"/>
        <v>0</v>
      </c>
    </row>
    <row r="92" spans="1:46" s="539" customFormat="1" ht="16.399999999999999" customHeight="1" outlineLevel="1" x14ac:dyDescent="0.35">
      <c r="A92" s="534" t="s">
        <v>782</v>
      </c>
      <c r="B92" s="534" t="s">
        <v>783</v>
      </c>
      <c r="C92" s="535" t="s">
        <v>150</v>
      </c>
      <c r="D92" s="536" t="s">
        <v>817</v>
      </c>
      <c r="E92" s="536" t="s">
        <v>818</v>
      </c>
      <c r="F92" s="536" t="s">
        <v>1048</v>
      </c>
      <c r="G92" s="536" t="s">
        <v>820</v>
      </c>
      <c r="H92" s="536" t="s">
        <v>1049</v>
      </c>
      <c r="I92" s="535" t="s">
        <v>1058</v>
      </c>
      <c r="J92" s="536" t="s">
        <v>1059</v>
      </c>
      <c r="K92" s="536" t="s">
        <v>594</v>
      </c>
      <c r="L92" s="535" t="s">
        <v>1060</v>
      </c>
      <c r="M92" s="536" t="s">
        <v>1061</v>
      </c>
      <c r="N92" s="536"/>
      <c r="O92" s="535"/>
      <c r="P92" s="536"/>
      <c r="Q92" s="536"/>
      <c r="R92" s="540">
        <f ca="1">SUMIF(CPSX!$D$28:$W$106,'FORM OH'!$I$92,CPSX!K28:K106)</f>
        <v>0</v>
      </c>
      <c r="S92" s="540">
        <f ca="1">SUMIF(CPSX!$D$28:$W$106,'FORM OH'!$I$92,CPSX!L28:L106)</f>
        <v>0</v>
      </c>
      <c r="T92" s="540">
        <f ca="1">SUMIF(CPSX!$D$28:$W$106,'FORM OH'!$I$92,CPSX!M28:M106)</f>
        <v>0</v>
      </c>
      <c r="U92" s="540">
        <f ca="1">SUMIF(CPSX!$D$28:$W$106,'FORM OH'!$I$92,CPSX!N28:N106)</f>
        <v>0</v>
      </c>
      <c r="V92" s="540">
        <f ca="1">SUMIF(CPSX!$D$28:$W$106,'FORM OH'!$I$92,CPSX!O28:O106)</f>
        <v>0</v>
      </c>
      <c r="W92" s="540">
        <f ca="1">SUMIF(CPSX!$D$28:$W$106,'FORM OH'!$I$92,CPSX!P28:P106)</f>
        <v>0</v>
      </c>
      <c r="X92" s="540">
        <f ca="1">SUMIF(CPSX!$D$28:$W$106,'FORM OH'!$I$92,CPSX!Q28:Q106)</f>
        <v>0</v>
      </c>
      <c r="Y92" s="540">
        <f ca="1">SUMIF(CPSX!$D$28:$W$106,'FORM OH'!$I$92,CPSX!R28:R106)</f>
        <v>0</v>
      </c>
      <c r="Z92" s="540">
        <f ca="1">SUMIF(CPSX!$D$28:$W$106,'FORM OH'!$I$92,CPSX!S28:S106)</f>
        <v>0</v>
      </c>
      <c r="AA92" s="540">
        <f ca="1">SUMIF(CPSX!$D$28:$W$106,'FORM OH'!$I$92,CPSX!T28:T106)</f>
        <v>0</v>
      </c>
      <c r="AB92" s="540">
        <f ca="1">SUMIF(CPSX!$D$28:$W$106,'FORM OH'!$I$92,CPSX!U28:U106)</f>
        <v>0</v>
      </c>
      <c r="AC92" s="540">
        <f ca="1">SUMIF(CPSX!$D$28:$W$106,'FORM OH'!$I$92,CPSX!V28:V106)</f>
        <v>0</v>
      </c>
      <c r="AD92" s="540">
        <f t="shared" ca="1" si="13"/>
        <v>0</v>
      </c>
      <c r="AE92" s="533"/>
      <c r="AF92" s="540">
        <f ca="1">SUMIF(CPSX!$D$28:$W$106,'FORM OH'!$I$92,CPSX!Y28:Y106)</f>
        <v>0</v>
      </c>
      <c r="AG92" s="540">
        <f ca="1">SUMIF(CPSX!$D$28:$W$106,'FORM OH'!$I$92,CPSX!Z28:Z106)</f>
        <v>0</v>
      </c>
      <c r="AH92" s="540">
        <f ca="1">SUMIF(CPSX!$D$28:$W$106,'FORM OH'!$I$92,CPSX!AA28:AA106)</f>
        <v>0</v>
      </c>
      <c r="AI92" s="540">
        <f ca="1">SUMIF(CPSX!$D$28:$W$106,'FORM OH'!$I$92,CPSX!AB28:AB106)</f>
        <v>0</v>
      </c>
      <c r="AJ92" s="540">
        <f ca="1">SUMIF(CPSX!$D$28:$W$106,'FORM OH'!$I$92,CPSX!AC28:AC106)</f>
        <v>0</v>
      </c>
      <c r="AK92" s="540">
        <f ca="1">SUMIF(CPSX!$D$28:$W$106,'FORM OH'!$I$92,CPSX!AD28:AD106)</f>
        <v>0</v>
      </c>
      <c r="AL92" s="540">
        <f ca="1">SUMIF(CPSX!$D$28:$W$106,'FORM OH'!$I$92,CPSX!AE28:AE106)</f>
        <v>0</v>
      </c>
      <c r="AM92" s="540">
        <f ca="1">SUMIF(CPSX!$D$28:$W$106,'FORM OH'!$I$92,CPSX!AF28:AF106)</f>
        <v>0</v>
      </c>
      <c r="AN92" s="540">
        <f ca="1">SUMIF(CPSX!$D$28:$W$106,'FORM OH'!$I$92,CPSX!AG28:AG106)</f>
        <v>0</v>
      </c>
      <c r="AO92" s="540">
        <f ca="1">SUMIF(CPSX!$D$28:$W$106,'FORM OH'!$I$92,CPSX!AH28:AH106)</f>
        <v>0</v>
      </c>
      <c r="AP92" s="540">
        <f ca="1">SUMIF(CPSX!$D$28:$W$106,'FORM OH'!$I$92,CPSX!AI28:AI106)</f>
        <v>0</v>
      </c>
      <c r="AQ92" s="540">
        <f ca="1">SUMIF(CPSX!$D$28:$W$106,'FORM OH'!$I$92,CPSX!AJ28:AJ106)</f>
        <v>0</v>
      </c>
      <c r="AR92" s="1284">
        <f t="shared" ca="1" si="14"/>
        <v>0</v>
      </c>
      <c r="AS92" s="1284">
        <f t="shared" ca="1" si="15"/>
        <v>0</v>
      </c>
      <c r="AT92" s="1297">
        <f t="shared" ca="1" si="16"/>
        <v>0</v>
      </c>
    </row>
    <row r="93" spans="1:46" s="539" customFormat="1" ht="16.399999999999999" customHeight="1" outlineLevel="1" x14ac:dyDescent="0.35">
      <c r="A93" s="534" t="s">
        <v>782</v>
      </c>
      <c r="B93" s="534" t="s">
        <v>783</v>
      </c>
      <c r="C93" s="535" t="s">
        <v>150</v>
      </c>
      <c r="D93" s="536" t="s">
        <v>817</v>
      </c>
      <c r="E93" s="536" t="s">
        <v>818</v>
      </c>
      <c r="F93" s="536" t="s">
        <v>1048</v>
      </c>
      <c r="G93" s="536" t="s">
        <v>820</v>
      </c>
      <c r="H93" s="536" t="s">
        <v>1049</v>
      </c>
      <c r="I93" s="535" t="s">
        <v>1062</v>
      </c>
      <c r="J93" s="536" t="s">
        <v>1059</v>
      </c>
      <c r="K93" s="536" t="s">
        <v>594</v>
      </c>
      <c r="L93" s="535" t="s">
        <v>1060</v>
      </c>
      <c r="M93" s="536" t="s">
        <v>1061</v>
      </c>
      <c r="N93" s="536"/>
      <c r="O93" s="535"/>
      <c r="P93" s="536"/>
      <c r="Q93" s="536"/>
      <c r="R93" s="540">
        <f ca="1">SUMIF(CPSX!$D$28:$W$106,'FORM OH'!$I$93,CPSX!K28:K106)</f>
        <v>0</v>
      </c>
      <c r="S93" s="540">
        <f ca="1">SUMIF(CPSX!$D$28:$W$106,'FORM OH'!$I$93,CPSX!L28:L106)</f>
        <v>0</v>
      </c>
      <c r="T93" s="540">
        <f ca="1">SUMIF(CPSX!$D$28:$W$106,'FORM OH'!$I$93,CPSX!M28:M106)</f>
        <v>0</v>
      </c>
      <c r="U93" s="540">
        <f ca="1">SUMIF(CPSX!$D$28:$W$106,'FORM OH'!$I$93,CPSX!N28:N106)</f>
        <v>0</v>
      </c>
      <c r="V93" s="540">
        <f ca="1">SUMIF(CPSX!$D$28:$W$106,'FORM OH'!$I$93,CPSX!O28:O106)</f>
        <v>0</v>
      </c>
      <c r="W93" s="540">
        <f ca="1">SUMIF(CPSX!$D$28:$W$106,'FORM OH'!$I$93,CPSX!P28:P106)</f>
        <v>0</v>
      </c>
      <c r="X93" s="540">
        <f ca="1">SUMIF(CPSX!$D$28:$W$106,'FORM OH'!$I$93,CPSX!Q28:Q106)</f>
        <v>0</v>
      </c>
      <c r="Y93" s="540">
        <f ca="1">SUMIF(CPSX!$D$28:$W$106,'FORM OH'!$I$93,CPSX!R28:R106)</f>
        <v>0</v>
      </c>
      <c r="Z93" s="540">
        <f ca="1">SUMIF(CPSX!$D$28:$W$106,'FORM OH'!$I$93,CPSX!S28:S106)</f>
        <v>0</v>
      </c>
      <c r="AA93" s="540">
        <f ca="1">SUMIF(CPSX!$D$28:$W$106,'FORM OH'!$I$93,CPSX!T28:T106)</f>
        <v>0</v>
      </c>
      <c r="AB93" s="540">
        <f ca="1">SUMIF(CPSX!$D$28:$W$106,'FORM OH'!$I$93,CPSX!U28:U106)</f>
        <v>0</v>
      </c>
      <c r="AC93" s="540">
        <f ca="1">SUMIF(CPSX!$D$28:$W$106,'FORM OH'!$I$93,CPSX!V28:V106)</f>
        <v>0</v>
      </c>
      <c r="AD93" s="540">
        <f t="shared" ca="1" si="13"/>
        <v>0</v>
      </c>
      <c r="AE93" s="533"/>
      <c r="AF93" s="540">
        <f ca="1">SUMIF(CPSX!$D$28:$W$106,'FORM OH'!$I$93,CPSX!Y28:Y106)</f>
        <v>0</v>
      </c>
      <c r="AG93" s="540">
        <f ca="1">SUMIF(CPSX!$D$28:$W$106,'FORM OH'!$I$93,CPSX!Z28:Z106)</f>
        <v>0</v>
      </c>
      <c r="AH93" s="540">
        <f ca="1">SUMIF(CPSX!$D$28:$W$106,'FORM OH'!$I$93,CPSX!AA28:AA106)</f>
        <v>0</v>
      </c>
      <c r="AI93" s="540">
        <f ca="1">SUMIF(CPSX!$D$28:$W$106,'FORM OH'!$I$93,CPSX!AB28:AB106)</f>
        <v>0</v>
      </c>
      <c r="AJ93" s="540">
        <f ca="1">SUMIF(CPSX!$D$28:$W$106,'FORM OH'!$I$93,CPSX!AC28:AC106)</f>
        <v>0</v>
      </c>
      <c r="AK93" s="540">
        <f ca="1">SUMIF(CPSX!$D$28:$W$106,'FORM OH'!$I$93,CPSX!AD28:AD106)</f>
        <v>0</v>
      </c>
      <c r="AL93" s="540">
        <f ca="1">SUMIF(CPSX!$D$28:$W$106,'FORM OH'!$I$93,CPSX!AE28:AE106)</f>
        <v>0</v>
      </c>
      <c r="AM93" s="540">
        <f ca="1">SUMIF(CPSX!$D$28:$W$106,'FORM OH'!$I$93,CPSX!AF28:AF106)</f>
        <v>0</v>
      </c>
      <c r="AN93" s="540">
        <f ca="1">SUMIF(CPSX!$D$28:$W$106,'FORM OH'!$I$93,CPSX!AG28:AG106)</f>
        <v>0</v>
      </c>
      <c r="AO93" s="540">
        <f ca="1">SUMIF(CPSX!$D$28:$W$106,'FORM OH'!$I$93,CPSX!AH28:AH106)</f>
        <v>0</v>
      </c>
      <c r="AP93" s="540">
        <f ca="1">SUMIF(CPSX!$D$28:$W$106,'FORM OH'!$I$93,CPSX!AI28:AI106)</f>
        <v>0</v>
      </c>
      <c r="AQ93" s="540">
        <f ca="1">SUMIF(CPSX!$D$28:$W$106,'FORM OH'!$I$93,CPSX!AJ28:AJ106)</f>
        <v>0</v>
      </c>
      <c r="AR93" s="1284">
        <f t="shared" ca="1" si="14"/>
        <v>0</v>
      </c>
      <c r="AS93" s="1284">
        <f t="shared" ca="1" si="15"/>
        <v>0</v>
      </c>
      <c r="AT93" s="1297">
        <f t="shared" ca="1" si="16"/>
        <v>0</v>
      </c>
    </row>
    <row r="94" spans="1:46" s="539" customFormat="1" ht="16.399999999999999" customHeight="1" outlineLevel="1" x14ac:dyDescent="0.35">
      <c r="A94" s="534" t="s">
        <v>782</v>
      </c>
      <c r="B94" s="534" t="s">
        <v>783</v>
      </c>
      <c r="C94" s="535" t="s">
        <v>150</v>
      </c>
      <c r="D94" s="536" t="s">
        <v>817</v>
      </c>
      <c r="E94" s="536" t="s">
        <v>818</v>
      </c>
      <c r="F94" s="536" t="s">
        <v>1048</v>
      </c>
      <c r="G94" s="536" t="s">
        <v>820</v>
      </c>
      <c r="H94" s="536" t="s">
        <v>1049</v>
      </c>
      <c r="I94" s="535" t="s">
        <v>1063</v>
      </c>
      <c r="J94" s="536" t="s">
        <v>1064</v>
      </c>
      <c r="K94" s="536" t="s">
        <v>1065</v>
      </c>
      <c r="L94" s="535" t="s">
        <v>1066</v>
      </c>
      <c r="M94" s="536" t="s">
        <v>1067</v>
      </c>
      <c r="N94" s="536"/>
      <c r="O94" s="535"/>
      <c r="P94" s="536"/>
      <c r="Q94" s="536"/>
      <c r="R94" s="540">
        <f ca="1">SUMIF(CPSX!$D$28:$W$106,'FORM OH'!$I$94,CPSX!K28:K106)</f>
        <v>0</v>
      </c>
      <c r="S94" s="540">
        <f ca="1">SUMIF(CPSX!$D$28:$W$106,'FORM OH'!$I$94,CPSX!L28:L106)</f>
        <v>0</v>
      </c>
      <c r="T94" s="540">
        <f ca="1">SUMIF(CPSX!$D$28:$W$106,'FORM OH'!$I$94,CPSX!M28:M106)</f>
        <v>0</v>
      </c>
      <c r="U94" s="540">
        <f ca="1">SUMIF(CPSX!$D$28:$W$106,'FORM OH'!$I$94,CPSX!N28:N106)</f>
        <v>0</v>
      </c>
      <c r="V94" s="540">
        <f ca="1">SUMIF(CPSX!$D$28:$W$106,'FORM OH'!$I$94,CPSX!O28:O106)</f>
        <v>0</v>
      </c>
      <c r="W94" s="540">
        <f ca="1">SUMIF(CPSX!$D$28:$W$106,'FORM OH'!$I$94,CPSX!P28:P106)</f>
        <v>0</v>
      </c>
      <c r="X94" s="540">
        <f ca="1">SUMIF(CPSX!$D$28:$W$106,'FORM OH'!$I$94,CPSX!Q28:Q106)</f>
        <v>0</v>
      </c>
      <c r="Y94" s="540">
        <f ca="1">SUMIF(CPSX!$D$28:$W$106,'FORM OH'!$I$94,CPSX!R28:R106)</f>
        <v>0</v>
      </c>
      <c r="Z94" s="540">
        <f ca="1">SUMIF(CPSX!$D$28:$W$106,'FORM OH'!$I$94,CPSX!S28:S106)</f>
        <v>0</v>
      </c>
      <c r="AA94" s="540">
        <f ca="1">SUMIF(CPSX!$D$28:$W$106,'FORM OH'!$I$94,CPSX!T28:T106)</f>
        <v>0</v>
      </c>
      <c r="AB94" s="540">
        <f ca="1">SUMIF(CPSX!$D$28:$W$106,'FORM OH'!$I$94,CPSX!U28:U106)</f>
        <v>0</v>
      </c>
      <c r="AC94" s="540">
        <f ca="1">SUMIF(CPSX!$D$28:$W$106,'FORM OH'!$I$94,CPSX!V28:V106)</f>
        <v>0</v>
      </c>
      <c r="AD94" s="540">
        <f t="shared" ca="1" si="13"/>
        <v>0</v>
      </c>
      <c r="AE94" s="533"/>
      <c r="AF94" s="540">
        <f ca="1">SUMIF(CPSX!$D$28:$W$106,'FORM OH'!$I$94,CPSX!Y28:Y106)</f>
        <v>0</v>
      </c>
      <c r="AG94" s="540">
        <f ca="1">SUMIF(CPSX!$D$28:$W$106,'FORM OH'!$I$94,CPSX!Z28:Z106)</f>
        <v>0</v>
      </c>
      <c r="AH94" s="540">
        <f ca="1">SUMIF(CPSX!$D$28:$W$106,'FORM OH'!$I$94,CPSX!AA28:AA106)</f>
        <v>0</v>
      </c>
      <c r="AI94" s="540">
        <f ca="1">SUMIF(CPSX!$D$28:$W$106,'FORM OH'!$I$94,CPSX!AB28:AB106)</f>
        <v>0</v>
      </c>
      <c r="AJ94" s="540">
        <f ca="1">SUMIF(CPSX!$D$28:$W$106,'FORM OH'!$I$94,CPSX!AC28:AC106)</f>
        <v>0</v>
      </c>
      <c r="AK94" s="540">
        <f ca="1">SUMIF(CPSX!$D$28:$W$106,'FORM OH'!$I$94,CPSX!AD28:AD106)</f>
        <v>0</v>
      </c>
      <c r="AL94" s="540">
        <f ca="1">SUMIF(CPSX!$D$28:$W$106,'FORM OH'!$I$94,CPSX!AE28:AE106)</f>
        <v>0</v>
      </c>
      <c r="AM94" s="540">
        <f ca="1">SUMIF(CPSX!$D$28:$W$106,'FORM OH'!$I$94,CPSX!AF28:AF106)</f>
        <v>0</v>
      </c>
      <c r="AN94" s="540">
        <f ca="1">SUMIF(CPSX!$D$28:$W$106,'FORM OH'!$I$94,CPSX!AG28:AG106)</f>
        <v>0</v>
      </c>
      <c r="AO94" s="540">
        <f ca="1">SUMIF(CPSX!$D$28:$W$106,'FORM OH'!$I$94,CPSX!AH28:AH106)</f>
        <v>0</v>
      </c>
      <c r="AP94" s="540">
        <f ca="1">SUMIF(CPSX!$D$28:$W$106,'FORM OH'!$I$94,CPSX!AI28:AI106)</f>
        <v>0</v>
      </c>
      <c r="AQ94" s="540">
        <f ca="1">SUMIF(CPSX!$D$28:$W$106,'FORM OH'!$I$94,CPSX!AJ28:AJ106)</f>
        <v>0</v>
      </c>
      <c r="AR94" s="1284">
        <f t="shared" ca="1" si="14"/>
        <v>0</v>
      </c>
      <c r="AS94" s="1284">
        <f t="shared" ca="1" si="15"/>
        <v>0</v>
      </c>
      <c r="AT94" s="1297">
        <f t="shared" ca="1" si="16"/>
        <v>0</v>
      </c>
    </row>
    <row r="95" spans="1:46" s="539" customFormat="1" ht="16.399999999999999" customHeight="1" outlineLevel="1" x14ac:dyDescent="0.35">
      <c r="A95" s="534" t="s">
        <v>782</v>
      </c>
      <c r="B95" s="534" t="s">
        <v>783</v>
      </c>
      <c r="C95" s="535" t="s">
        <v>150</v>
      </c>
      <c r="D95" s="536" t="s">
        <v>817</v>
      </c>
      <c r="E95" s="536" t="s">
        <v>818</v>
      </c>
      <c r="F95" s="536" t="s">
        <v>1068</v>
      </c>
      <c r="G95" s="536" t="s">
        <v>820</v>
      </c>
      <c r="H95" s="536" t="s">
        <v>1069</v>
      </c>
      <c r="I95" s="535" t="s">
        <v>1070</v>
      </c>
      <c r="J95" s="536" t="s">
        <v>1071</v>
      </c>
      <c r="K95" s="536" t="s">
        <v>594</v>
      </c>
      <c r="L95" s="535" t="s">
        <v>1072</v>
      </c>
      <c r="M95" s="536" t="s">
        <v>1073</v>
      </c>
      <c r="N95" s="536"/>
      <c r="O95" s="535"/>
      <c r="P95" s="536"/>
      <c r="Q95" s="536"/>
      <c r="R95" s="540">
        <f ca="1">SUMIF(CPSX!$D$28:$W$106,'FORM OH'!$I$95,CPSX!K28:K106)</f>
        <v>2750000</v>
      </c>
      <c r="S95" s="540">
        <f ca="1">SUMIF(CPSX!$D$28:$W$106,'FORM OH'!$I$95,CPSX!L28:L106)</f>
        <v>1250000</v>
      </c>
      <c r="T95" s="540">
        <f ca="1">SUMIF(CPSX!$D$28:$W$106,'FORM OH'!$I$95,CPSX!M28:M106)</f>
        <v>1250000</v>
      </c>
      <c r="U95" s="540">
        <f ca="1">SUMIF(CPSX!$D$28:$W$106,'FORM OH'!$I$95,CPSX!N28:N106)</f>
        <v>1250000</v>
      </c>
      <c r="V95" s="540">
        <f ca="1">SUMIF(CPSX!$D$28:$W$106,'FORM OH'!$I$95,CPSX!O28:O106)</f>
        <v>1250000</v>
      </c>
      <c r="W95" s="540">
        <f ca="1">SUMIF(CPSX!$D$28:$W$106,'FORM OH'!$I$95,CPSX!P28:P106)</f>
        <v>2750000</v>
      </c>
      <c r="X95" s="540">
        <f ca="1">SUMIF(CPSX!$D$28:$W$106,'FORM OH'!$I$95,CPSX!Q28:Q106)</f>
        <v>1250000</v>
      </c>
      <c r="Y95" s="540">
        <f ca="1">SUMIF(CPSX!$D$28:$W$106,'FORM OH'!$I$95,CPSX!R28:R106)</f>
        <v>1250000</v>
      </c>
      <c r="Z95" s="540">
        <f ca="1">SUMIF(CPSX!$D$28:$W$106,'FORM OH'!$I$95,CPSX!S28:S106)</f>
        <v>1250000</v>
      </c>
      <c r="AA95" s="540">
        <f ca="1">SUMIF(CPSX!$D$28:$W$106,'FORM OH'!$I$95,CPSX!T28:T106)</f>
        <v>1250000</v>
      </c>
      <c r="AB95" s="540">
        <f ca="1">SUMIF(CPSX!$D$28:$W$106,'FORM OH'!$I$95,CPSX!U28:U106)</f>
        <v>1250000</v>
      </c>
      <c r="AC95" s="540">
        <f ca="1">SUMIF(CPSX!$D$28:$W$106,'FORM OH'!$I$95,CPSX!V28:V106)</f>
        <v>2750000</v>
      </c>
      <c r="AD95" s="540">
        <f t="shared" ca="1" si="13"/>
        <v>19500000</v>
      </c>
      <c r="AE95" s="533"/>
      <c r="AF95" s="540">
        <f ca="1">SUMIF(CPSX!$D$28:$W$106,'FORM OH'!$I$95,CPSX!Y28:Y106)</f>
        <v>0</v>
      </c>
      <c r="AG95" s="540">
        <f ca="1">SUMIF(CPSX!$D$28:$W$106,'FORM OH'!$I$95,CPSX!Z28:Z106)</f>
        <v>0</v>
      </c>
      <c r="AH95" s="540">
        <f ca="1">SUMIF(CPSX!$D$28:$W$106,'FORM OH'!$I$95,CPSX!AA28:AA106)</f>
        <v>2200000</v>
      </c>
      <c r="AI95" s="540">
        <f ca="1">SUMIF(CPSX!$D$28:$W$106,'FORM OH'!$I$95,CPSX!AB28:AB106)</f>
        <v>0</v>
      </c>
      <c r="AJ95" s="540">
        <f ca="1">SUMIF(CPSX!$D$28:$W$106,'FORM OH'!$I$95,CPSX!AC28:AC106)</f>
        <v>0</v>
      </c>
      <c r="AK95" s="540">
        <f ca="1">SUMIF(CPSX!$D$28:$W$106,'FORM OH'!$I$95,CPSX!AD28:AD106)</f>
        <v>0</v>
      </c>
      <c r="AL95" s="540">
        <f ca="1">SUMIF(CPSX!$D$28:$W$106,'FORM OH'!$I$95,CPSX!AE28:AE106)</f>
        <v>0</v>
      </c>
      <c r="AM95" s="540">
        <f ca="1">SUMIF(CPSX!$D$28:$W$106,'FORM OH'!$I$95,CPSX!AF28:AF106)</f>
        <v>0</v>
      </c>
      <c r="AN95" s="540">
        <f ca="1">SUMIF(CPSX!$D$28:$W$106,'FORM OH'!$I$95,CPSX!AG28:AG106)</f>
        <v>0</v>
      </c>
      <c r="AO95" s="540">
        <f ca="1">SUMIF(CPSX!$D$28:$W$106,'FORM OH'!$I$95,CPSX!AH28:AH106)</f>
        <v>4400000</v>
      </c>
      <c r="AP95" s="540">
        <f ca="1">SUMIF(CPSX!$D$28:$W$106,'FORM OH'!$I$95,CPSX!AI28:AI106)</f>
        <v>0</v>
      </c>
      <c r="AQ95" s="540">
        <f ca="1">SUMIF(CPSX!$D$28:$W$106,'FORM OH'!$I$95,CPSX!AJ28:AJ106)</f>
        <v>0</v>
      </c>
      <c r="AR95" s="1284">
        <f t="shared" ca="1" si="14"/>
        <v>6600000</v>
      </c>
      <c r="AS95" s="1284">
        <f t="shared" ca="1" si="15"/>
        <v>12900000</v>
      </c>
      <c r="AT95" s="1297">
        <f t="shared" ca="1" si="16"/>
        <v>1.9545454545454546</v>
      </c>
    </row>
    <row r="96" spans="1:46" s="539" customFormat="1" ht="16.399999999999999" customHeight="1" outlineLevel="1" x14ac:dyDescent="0.35">
      <c r="A96" s="534" t="s">
        <v>782</v>
      </c>
      <c r="B96" s="534" t="s">
        <v>783</v>
      </c>
      <c r="C96" s="535" t="s">
        <v>150</v>
      </c>
      <c r="D96" s="536" t="s">
        <v>817</v>
      </c>
      <c r="E96" s="536" t="s">
        <v>818</v>
      </c>
      <c r="F96" s="536" t="s">
        <v>1074</v>
      </c>
      <c r="G96" s="536" t="s">
        <v>820</v>
      </c>
      <c r="H96" s="536" t="s">
        <v>1075</v>
      </c>
      <c r="I96" s="535" t="s">
        <v>1076</v>
      </c>
      <c r="J96" s="536" t="s">
        <v>84</v>
      </c>
      <c r="K96" s="536" t="s">
        <v>576</v>
      </c>
      <c r="L96" s="535" t="s">
        <v>1077</v>
      </c>
      <c r="M96" s="536" t="s">
        <v>1078</v>
      </c>
      <c r="N96" s="544"/>
      <c r="O96" s="1256"/>
      <c r="P96" s="1257"/>
      <c r="Q96" s="1257"/>
      <c r="R96" s="540">
        <f ca="1">SUMIF(CPSX!$D$28:$W$106,'FORM OH'!$I$96,CPSX!K28:K106)</f>
        <v>2648333.3333333335</v>
      </c>
      <c r="S96" s="540">
        <f ca="1">SUMIF(CPSX!$D$28:$W$106,'FORM OH'!$I$96,CPSX!L28:L106)</f>
        <v>2648333.3333333335</v>
      </c>
      <c r="T96" s="540">
        <f ca="1">SUMIF(CPSX!$D$28:$W$106,'FORM OH'!$I$96,CPSX!M28:M106)</f>
        <v>2648333.3333333335</v>
      </c>
      <c r="U96" s="540">
        <f ca="1">SUMIF(CPSX!$D$28:$W$106,'FORM OH'!$I$96,CPSX!N28:N106)</f>
        <v>2648333.3333333335</v>
      </c>
      <c r="V96" s="540">
        <f ca="1">SUMIF(CPSX!$D$28:$W$106,'FORM OH'!$I$96,CPSX!O28:O106)</f>
        <v>2648333.3333333335</v>
      </c>
      <c r="W96" s="540">
        <f ca="1">SUMIF(CPSX!$D$28:$W$106,'FORM OH'!$I$96,CPSX!P28:P106)</f>
        <v>2648333.3333333335</v>
      </c>
      <c r="X96" s="540">
        <f ca="1">SUMIF(CPSX!$D$28:$W$106,'FORM OH'!$I$96,CPSX!Q28:Q106)</f>
        <v>2648333.3333333335</v>
      </c>
      <c r="Y96" s="540">
        <f ca="1">SUMIF(CPSX!$D$28:$W$106,'FORM OH'!$I$96,CPSX!R28:R106)</f>
        <v>2648333.3333333335</v>
      </c>
      <c r="Z96" s="540">
        <f ca="1">SUMIF(CPSX!$D$28:$W$106,'FORM OH'!$I$96,CPSX!S28:S106)</f>
        <v>2648333.3333333335</v>
      </c>
      <c r="AA96" s="540">
        <f ca="1">SUMIF(CPSX!$D$28:$W$106,'FORM OH'!$I$96,CPSX!T28:T106)</f>
        <v>2648333.3333333335</v>
      </c>
      <c r="AB96" s="540">
        <f ca="1">SUMIF(CPSX!$D$28:$W$106,'FORM OH'!$I$96,CPSX!U28:U106)</f>
        <v>2648333.3333333335</v>
      </c>
      <c r="AC96" s="540">
        <f ca="1">SUMIF(CPSX!$D$28:$W$106,'FORM OH'!$I$96,CPSX!V28:V106)</f>
        <v>2648333.3333333335</v>
      </c>
      <c r="AD96" s="540">
        <f t="shared" ca="1" si="13"/>
        <v>31779999.999999996</v>
      </c>
      <c r="AE96" s="533"/>
      <c r="AF96" s="540">
        <f ca="1">SUMIF(CPSX!$D$28:$W$106,'FORM OH'!$I$96,CPSX!Y28:Y106)</f>
        <v>38700000</v>
      </c>
      <c r="AG96" s="540">
        <f ca="1">SUMIF(CPSX!$D$28:$W$106,'FORM OH'!$I$96,CPSX!Z28:Z106)</f>
        <v>0</v>
      </c>
      <c r="AH96" s="540">
        <f ca="1">SUMIF(CPSX!$D$28:$W$106,'FORM OH'!$I$96,CPSX!AA28:AA106)</f>
        <v>0</v>
      </c>
      <c r="AI96" s="540">
        <f ca="1">SUMIF(CPSX!$D$28:$W$106,'FORM OH'!$I$96,CPSX!AB28:AB106)</f>
        <v>2100000</v>
      </c>
      <c r="AJ96" s="540">
        <f ca="1">SUMIF(CPSX!$D$28:$W$106,'FORM OH'!$I$96,CPSX!AC28:AC106)</f>
        <v>300000</v>
      </c>
      <c r="AK96" s="540">
        <f ca="1">SUMIF(CPSX!$D$28:$W$106,'FORM OH'!$I$96,CPSX!AD28:AD106)</f>
        <v>0</v>
      </c>
      <c r="AL96" s="540">
        <f ca="1">SUMIF(CPSX!$D$28:$W$106,'FORM OH'!$I$96,CPSX!AE28:AE106)</f>
        <v>600000</v>
      </c>
      <c r="AM96" s="540">
        <f ca="1">SUMIF(CPSX!$D$28:$W$106,'FORM OH'!$I$96,CPSX!AF28:AF106)</f>
        <v>300000</v>
      </c>
      <c r="AN96" s="540">
        <f ca="1">SUMIF(CPSX!$D$28:$W$106,'FORM OH'!$I$96,CPSX!AG28:AG106)</f>
        <v>300000</v>
      </c>
      <c r="AO96" s="540">
        <f ca="1">SUMIF(CPSX!$D$28:$W$106,'FORM OH'!$I$96,CPSX!AH28:AH106)</f>
        <v>300000</v>
      </c>
      <c r="AP96" s="540">
        <f ca="1">SUMIF(CPSX!$D$28:$W$106,'FORM OH'!$I$96,CPSX!AI28:AI106)</f>
        <v>300000</v>
      </c>
      <c r="AQ96" s="540">
        <f ca="1">SUMIF(CPSX!$D$28:$W$106,'FORM OH'!$I$96,CPSX!AJ28:AJ106)</f>
        <v>300000</v>
      </c>
      <c r="AR96" s="1284">
        <f t="shared" ca="1" si="14"/>
        <v>43200000</v>
      </c>
      <c r="AS96" s="1284">
        <f t="shared" ca="1" si="15"/>
        <v>-11420000.000000004</v>
      </c>
      <c r="AT96" s="1297">
        <f t="shared" ca="1" si="16"/>
        <v>-0.26435185185185195</v>
      </c>
    </row>
    <row r="97" spans="1:46" s="539" customFormat="1" ht="16.399999999999999" customHeight="1" outlineLevel="1" x14ac:dyDescent="0.35">
      <c r="A97" s="534" t="s">
        <v>782</v>
      </c>
      <c r="B97" s="534" t="s">
        <v>783</v>
      </c>
      <c r="C97" s="535" t="s">
        <v>150</v>
      </c>
      <c r="D97" s="536" t="s">
        <v>817</v>
      </c>
      <c r="E97" s="536" t="s">
        <v>818</v>
      </c>
      <c r="F97" s="536" t="s">
        <v>819</v>
      </c>
      <c r="G97" s="536" t="s">
        <v>820</v>
      </c>
      <c r="H97" s="536" t="s">
        <v>821</v>
      </c>
      <c r="I97" s="535" t="s">
        <v>1079</v>
      </c>
      <c r="J97" s="536" t="s">
        <v>449</v>
      </c>
      <c r="K97" s="536" t="s">
        <v>580</v>
      </c>
      <c r="L97" s="535" t="s">
        <v>1080</v>
      </c>
      <c r="M97" s="536" t="s">
        <v>1081</v>
      </c>
      <c r="N97" s="536"/>
      <c r="O97" s="535"/>
      <c r="P97" s="536"/>
      <c r="Q97" s="536"/>
      <c r="R97" s="540">
        <f ca="1">SUMIF(CPSX!$D$28:$W$106,'FORM OH'!$I$97,CPSX!K28:K106)</f>
        <v>0</v>
      </c>
      <c r="S97" s="540">
        <f ca="1">SUMIF(CPSX!$D$28:$W$106,'FORM OH'!$I$97,CPSX!L28:L106)</f>
        <v>0</v>
      </c>
      <c r="T97" s="540">
        <f ca="1">SUMIF(CPSX!$D$28:$W$106,'FORM OH'!$I$97,CPSX!M28:M106)</f>
        <v>0</v>
      </c>
      <c r="U97" s="540">
        <f ca="1">SUMIF(CPSX!$D$28:$W$106,'FORM OH'!$I$97,CPSX!N28:N106)</f>
        <v>0</v>
      </c>
      <c r="V97" s="540">
        <f ca="1">SUMIF(CPSX!$D$28:$W$106,'FORM OH'!$I$97,CPSX!O28:O106)</f>
        <v>0</v>
      </c>
      <c r="W97" s="540">
        <f ca="1">SUMIF(CPSX!$D$28:$W$106,'FORM OH'!$I$97,CPSX!P28:P106)</f>
        <v>0</v>
      </c>
      <c r="X97" s="540">
        <f ca="1">SUMIF(CPSX!$D$28:$W$106,'FORM OH'!$I$97,CPSX!Q28:Q106)</f>
        <v>0</v>
      </c>
      <c r="Y97" s="540">
        <f ca="1">SUMIF(CPSX!$D$28:$W$106,'FORM OH'!$I$97,CPSX!R28:R106)</f>
        <v>0</v>
      </c>
      <c r="Z97" s="540">
        <f ca="1">SUMIF(CPSX!$D$28:$W$106,'FORM OH'!$I$97,CPSX!S28:S106)</f>
        <v>0</v>
      </c>
      <c r="AA97" s="540">
        <f ca="1">SUMIF(CPSX!$D$28:$W$106,'FORM OH'!$I$97,CPSX!T28:T106)</f>
        <v>0</v>
      </c>
      <c r="AB97" s="540">
        <f ca="1">SUMIF(CPSX!$D$28:$W$106,'FORM OH'!$I$97,CPSX!U28:U106)</f>
        <v>0</v>
      </c>
      <c r="AC97" s="540">
        <f ca="1">SUMIF(CPSX!$D$28:$W$106,'FORM OH'!$I$97,CPSX!V28:V106)</f>
        <v>0</v>
      </c>
      <c r="AD97" s="540">
        <f t="shared" ca="1" si="13"/>
        <v>0</v>
      </c>
      <c r="AE97" s="533"/>
      <c r="AF97" s="540">
        <f ca="1">SUMIF(CPSX!$D$28:$W$106,'FORM OH'!$I$97,CPSX!Y28:Y106)</f>
        <v>0</v>
      </c>
      <c r="AG97" s="540">
        <f ca="1">SUMIF(CPSX!$D$28:$W$106,'FORM OH'!$I$97,CPSX!Z28:Z106)</f>
        <v>0</v>
      </c>
      <c r="AH97" s="540">
        <f ca="1">SUMIF(CPSX!$D$28:$W$106,'FORM OH'!$I$97,CPSX!AA28:AA106)</f>
        <v>0</v>
      </c>
      <c r="AI97" s="540">
        <f ca="1">SUMIF(CPSX!$D$28:$W$106,'FORM OH'!$I$97,CPSX!AB28:AB106)</f>
        <v>0</v>
      </c>
      <c r="AJ97" s="540">
        <f ca="1">SUMIF(CPSX!$D$28:$W$106,'FORM OH'!$I$97,CPSX!AC28:AC106)</f>
        <v>0</v>
      </c>
      <c r="AK97" s="540">
        <f ca="1">SUMIF(CPSX!$D$28:$W$106,'FORM OH'!$I$97,CPSX!AD28:AD106)</f>
        <v>0</v>
      </c>
      <c r="AL97" s="540">
        <f ca="1">SUMIF(CPSX!$D$28:$W$106,'FORM OH'!$I$97,CPSX!AE28:AE106)</f>
        <v>0</v>
      </c>
      <c r="AM97" s="540">
        <f ca="1">SUMIF(CPSX!$D$28:$W$106,'FORM OH'!$I$97,CPSX!AF28:AF106)</f>
        <v>0</v>
      </c>
      <c r="AN97" s="540">
        <f ca="1">SUMIF(CPSX!$D$28:$W$106,'FORM OH'!$I$97,CPSX!AG28:AG106)</f>
        <v>0</v>
      </c>
      <c r="AO97" s="540">
        <f ca="1">SUMIF(CPSX!$D$28:$W$106,'FORM OH'!$I$97,CPSX!AH28:AH106)</f>
        <v>0</v>
      </c>
      <c r="AP97" s="540">
        <f ca="1">SUMIF(CPSX!$D$28:$W$106,'FORM OH'!$I$97,CPSX!AI28:AI106)</f>
        <v>0</v>
      </c>
      <c r="AQ97" s="540">
        <f ca="1">SUMIF(CPSX!$D$28:$W$106,'FORM OH'!$I$97,CPSX!AJ28:AJ106)</f>
        <v>0</v>
      </c>
      <c r="AR97" s="1284">
        <f t="shared" ca="1" si="14"/>
        <v>0</v>
      </c>
      <c r="AS97" s="1284">
        <f t="shared" ca="1" si="15"/>
        <v>0</v>
      </c>
      <c r="AT97" s="1297">
        <f t="shared" ca="1" si="16"/>
        <v>0</v>
      </c>
    </row>
    <row r="98" spans="1:46" s="1319" customFormat="1" ht="16.399999999999999" customHeight="1" outlineLevel="1" x14ac:dyDescent="0.35">
      <c r="A98" s="1314" t="s">
        <v>782</v>
      </c>
      <c r="B98" s="1314" t="s">
        <v>783</v>
      </c>
      <c r="C98" s="552" t="s">
        <v>150</v>
      </c>
      <c r="D98" s="551" t="s">
        <v>817</v>
      </c>
      <c r="E98" s="551" t="s">
        <v>818</v>
      </c>
      <c r="F98" s="551" t="s">
        <v>1082</v>
      </c>
      <c r="G98" s="551" t="s">
        <v>820</v>
      </c>
      <c r="H98" s="551" t="s">
        <v>1083</v>
      </c>
      <c r="I98" s="552" t="s">
        <v>1084</v>
      </c>
      <c r="J98" s="551" t="s">
        <v>450</v>
      </c>
      <c r="K98" s="551" t="s">
        <v>573</v>
      </c>
      <c r="L98" s="552" t="s">
        <v>1085</v>
      </c>
      <c r="M98" s="551" t="s">
        <v>1083</v>
      </c>
      <c r="N98" s="551"/>
      <c r="O98" s="552"/>
      <c r="P98" s="551"/>
      <c r="Q98" s="551"/>
      <c r="R98" s="1315">
        <f ca="1">SUMIF(CPSX!$D$28:$W$106,'FORM OH'!$I$98,CPSX!K28:K106)</f>
        <v>24791225.806451615</v>
      </c>
      <c r="S98" s="1315">
        <f ca="1">SUMIF(CPSX!$D$28:$W$106,'FORM OH'!$I$98,CPSX!L28:L106)</f>
        <v>18593419.35483871</v>
      </c>
      <c r="T98" s="1315">
        <f ca="1">SUMIF(CPSX!$D$28:$W$106,'FORM OH'!$I$98,CPSX!M28:M106)</f>
        <v>26857161.290322583</v>
      </c>
      <c r="U98" s="1315">
        <f ca="1">SUMIF(CPSX!$D$28:$W$106,'FORM OH'!$I$98,CPSX!N28:N106)</f>
        <v>28923096.774193548</v>
      </c>
      <c r="V98" s="1315">
        <f ca="1">SUMIF(CPSX!$D$28:$W$106,'FORM OH'!$I$98,CPSX!O28:O106)</f>
        <v>28923096.774193548</v>
      </c>
      <c r="W98" s="1315">
        <f ca="1">SUMIF(CPSX!$D$28:$W$106,'FORM OH'!$I$98,CPSX!P28:P106)</f>
        <v>28923096.774193548</v>
      </c>
      <c r="X98" s="1315">
        <f ca="1">SUMIF(CPSX!$D$28:$W$106,'FORM OH'!$I$98,CPSX!Q28:Q106)</f>
        <v>28923096.774193548</v>
      </c>
      <c r="Y98" s="1315">
        <f ca="1">SUMIF(CPSX!$D$28:$W$106,'FORM OH'!$I$98,CPSX!R28:R106)</f>
        <v>28923096.774193548</v>
      </c>
      <c r="Z98" s="1315">
        <f ca="1">SUMIF(CPSX!$D$28:$W$106,'FORM OH'!$I$98,CPSX!S28:S106)</f>
        <v>28923096.774193548</v>
      </c>
      <c r="AA98" s="1315">
        <f ca="1">SUMIF(CPSX!$D$28:$W$106,'FORM OH'!$I$98,CPSX!T28:T106)</f>
        <v>28923096.774193548</v>
      </c>
      <c r="AB98" s="1315">
        <f ca="1">SUMIF(CPSX!$D$28:$W$106,'FORM OH'!$I$98,CPSX!U28:U106)</f>
        <v>28923096.774193548</v>
      </c>
      <c r="AC98" s="1315">
        <f ca="1">SUMIF(CPSX!$D$28:$W$106,'FORM OH'!$I$98,CPSX!V28:V106)</f>
        <v>28923096.774193548</v>
      </c>
      <c r="AD98" s="1315">
        <f t="shared" ca="1" si="13"/>
        <v>330549677.4193548</v>
      </c>
      <c r="AE98" s="1316"/>
      <c r="AF98" s="1315">
        <f ca="1">SUMIF(CPSX!$D$28:$W$106,'FORM OH'!$I$98,CPSX!Y28:Y106)</f>
        <v>4545455</v>
      </c>
      <c r="AG98" s="1315">
        <f ca="1">SUMIF(CPSX!$D$28:$W$106,'FORM OH'!$I$98,CPSX!Z28:Z106)</f>
        <v>7272728</v>
      </c>
      <c r="AH98" s="1315">
        <f ca="1">SUMIF(CPSX!$D$28:$W$106,'FORM OH'!$I$98,CPSX!AA28:AA106)</f>
        <v>12727274</v>
      </c>
      <c r="AI98" s="1315">
        <f ca="1">SUMIF(CPSX!$D$28:$W$106,'FORM OH'!$I$98,CPSX!AB28:AB106)</f>
        <v>8181819</v>
      </c>
      <c r="AJ98" s="1315">
        <f ca="1">SUMIF(CPSX!$D$28:$W$106,'FORM OH'!$I$98,CPSX!AC28:AC106)</f>
        <v>9090910</v>
      </c>
      <c r="AK98" s="1315">
        <f ca="1">SUMIF(CPSX!$D$28:$W$106,'FORM OH'!$I$98,CPSX!AD28:AD106)</f>
        <v>10909099</v>
      </c>
      <c r="AL98" s="1315">
        <f ca="1">SUMIF(CPSX!$D$28:$W$106,'FORM OH'!$I$98,CPSX!AE28:AE106)</f>
        <v>17592594</v>
      </c>
      <c r="AM98" s="1315">
        <f ca="1">SUMIF(CPSX!$D$28:$W$106,'FORM OH'!$I$98,CPSX!AF28:AF106)</f>
        <v>20370372</v>
      </c>
      <c r="AN98" s="1315">
        <f ca="1">SUMIF(CPSX!$D$28:$W$106,'FORM OH'!$I$98,CPSX!AG28:AG106)</f>
        <v>16947376</v>
      </c>
      <c r="AO98" s="1315">
        <f ca="1">SUMIF(CPSX!$D$28:$W$106,'FORM OH'!$I$98,CPSX!AH28:AH106)</f>
        <v>19682972.13622291</v>
      </c>
      <c r="AP98" s="1315">
        <f ca="1">SUMIF(CPSX!$D$28:$W$106,'FORM OH'!$I$98,CPSX!AI28:AI106)</f>
        <v>19682972.13622291</v>
      </c>
      <c r="AQ98" s="1315">
        <f ca="1">SUMIF(CPSX!$D$28:$W$106,'FORM OH'!$I$98,CPSX!AJ28:AJ106)</f>
        <v>19682972.13622291</v>
      </c>
      <c r="AR98" s="1317">
        <f t="shared" ca="1" si="14"/>
        <v>166686543.40866873</v>
      </c>
      <c r="AS98" s="1317">
        <f t="shared" ca="1" si="15"/>
        <v>163863134.01068607</v>
      </c>
      <c r="AT98" s="1318">
        <f t="shared" ca="1" si="16"/>
        <v>0.98306156369767383</v>
      </c>
    </row>
    <row r="99" spans="1:46" s="539" customFormat="1" ht="16.399999999999999" customHeight="1" outlineLevel="1" x14ac:dyDescent="0.35">
      <c r="A99" s="534" t="s">
        <v>782</v>
      </c>
      <c r="B99" s="534" t="s">
        <v>783</v>
      </c>
      <c r="C99" s="535" t="s">
        <v>150</v>
      </c>
      <c r="D99" s="536" t="s">
        <v>817</v>
      </c>
      <c r="E99" s="536" t="s">
        <v>818</v>
      </c>
      <c r="F99" s="536" t="s">
        <v>1086</v>
      </c>
      <c r="G99" s="536" t="s">
        <v>820</v>
      </c>
      <c r="H99" s="536" t="s">
        <v>1087</v>
      </c>
      <c r="I99" s="535" t="s">
        <v>1088</v>
      </c>
      <c r="J99" s="536" t="s">
        <v>1089</v>
      </c>
      <c r="K99" s="536" t="s">
        <v>1090</v>
      </c>
      <c r="L99" s="535" t="s">
        <v>1091</v>
      </c>
      <c r="M99" s="536" t="s">
        <v>1092</v>
      </c>
      <c r="N99" s="536"/>
      <c r="O99" s="535"/>
      <c r="P99" s="536"/>
      <c r="Q99" s="536"/>
      <c r="R99" s="540">
        <f ca="1">SUMIF(CPSX!$D$28:$W$106,'FORM OH'!$I$99,CPSX!K28:K106)</f>
        <v>0</v>
      </c>
      <c r="S99" s="540">
        <f ca="1">SUMIF(CPSX!$D$28:$W$106,'FORM OH'!$I$99,CPSX!L28:L106)</f>
        <v>0</v>
      </c>
      <c r="T99" s="540">
        <f ca="1">SUMIF(CPSX!$D$28:$W$106,'FORM OH'!$I$99,CPSX!M28:M106)</f>
        <v>0</v>
      </c>
      <c r="U99" s="540">
        <f ca="1">SUMIF(CPSX!$D$28:$W$106,'FORM OH'!$I$99,CPSX!N28:N106)</f>
        <v>0</v>
      </c>
      <c r="V99" s="540">
        <f ca="1">SUMIF(CPSX!$D$28:$W$106,'FORM OH'!$I$99,CPSX!O28:O106)</f>
        <v>0</v>
      </c>
      <c r="W99" s="540">
        <f ca="1">SUMIF(CPSX!$D$28:$W$106,'FORM OH'!$I$99,CPSX!P28:P106)</f>
        <v>0</v>
      </c>
      <c r="X99" s="540">
        <f ca="1">SUMIF(CPSX!$D$28:$W$106,'FORM OH'!$I$99,CPSX!Q28:Q106)</f>
        <v>0</v>
      </c>
      <c r="Y99" s="540">
        <f ca="1">SUMIF(CPSX!$D$28:$W$106,'FORM OH'!$I$99,CPSX!R28:R106)</f>
        <v>0</v>
      </c>
      <c r="Z99" s="540">
        <f ca="1">SUMIF(CPSX!$D$28:$W$106,'FORM OH'!$I$99,CPSX!S28:S106)</f>
        <v>0</v>
      </c>
      <c r="AA99" s="540">
        <f ca="1">SUMIF(CPSX!$D$28:$W$106,'FORM OH'!$I$99,CPSX!T28:T106)</f>
        <v>0</v>
      </c>
      <c r="AB99" s="540">
        <f ca="1">SUMIF(CPSX!$D$28:$W$106,'FORM OH'!$I$99,CPSX!U28:U106)</f>
        <v>0</v>
      </c>
      <c r="AC99" s="540">
        <f ca="1">SUMIF(CPSX!$D$28:$W$106,'FORM OH'!$I$99,CPSX!V28:V106)</f>
        <v>0</v>
      </c>
      <c r="AD99" s="540">
        <f t="shared" ca="1" si="13"/>
        <v>0</v>
      </c>
      <c r="AE99" s="533"/>
      <c r="AF99" s="540">
        <f ca="1">SUMIF(CPSX!$D$28:$W$106,'FORM OH'!$I$99,CPSX!Y28:Y106)</f>
        <v>0</v>
      </c>
      <c r="AG99" s="540">
        <f ca="1">SUMIF(CPSX!$D$28:$W$106,'FORM OH'!$I$99,CPSX!Z28:Z106)</f>
        <v>0</v>
      </c>
      <c r="AH99" s="540">
        <f ca="1">SUMIF(CPSX!$D$28:$W$106,'FORM OH'!$I$99,CPSX!AA28:AA106)</f>
        <v>0</v>
      </c>
      <c r="AI99" s="540">
        <f ca="1">SUMIF(CPSX!$D$28:$W$106,'FORM OH'!$I$99,CPSX!AB28:AB106)</f>
        <v>0</v>
      </c>
      <c r="AJ99" s="540">
        <f ca="1">SUMIF(CPSX!$D$28:$W$106,'FORM OH'!$I$99,CPSX!AC28:AC106)</f>
        <v>0</v>
      </c>
      <c r="AK99" s="540">
        <f ca="1">SUMIF(CPSX!$D$28:$W$106,'FORM OH'!$I$99,CPSX!AD28:AD106)</f>
        <v>0</v>
      </c>
      <c r="AL99" s="540">
        <f ca="1">SUMIF(CPSX!$D$28:$W$106,'FORM OH'!$I$99,CPSX!AE28:AE106)</f>
        <v>0</v>
      </c>
      <c r="AM99" s="540">
        <f ca="1">SUMIF(CPSX!$D$28:$W$106,'FORM OH'!$I$99,CPSX!AF28:AF106)</f>
        <v>0</v>
      </c>
      <c r="AN99" s="540">
        <f ca="1">SUMIF(CPSX!$D$28:$W$106,'FORM OH'!$I$99,CPSX!AG28:AG106)</f>
        <v>0</v>
      </c>
      <c r="AO99" s="540">
        <f ca="1">SUMIF(CPSX!$D$28:$W$106,'FORM OH'!$I$99,CPSX!AH28:AH106)</f>
        <v>0</v>
      </c>
      <c r="AP99" s="540">
        <f ca="1">SUMIF(CPSX!$D$28:$W$106,'FORM OH'!$I$99,CPSX!AI28:AI106)</f>
        <v>0</v>
      </c>
      <c r="AQ99" s="540">
        <f ca="1">SUMIF(CPSX!$D$28:$W$106,'FORM OH'!$I$99,CPSX!AJ28:AJ106)</f>
        <v>0</v>
      </c>
      <c r="AR99" s="1284">
        <f t="shared" ca="1" si="14"/>
        <v>0</v>
      </c>
      <c r="AS99" s="1284">
        <f t="shared" ca="1" si="15"/>
        <v>0</v>
      </c>
      <c r="AT99" s="1297">
        <f t="shared" ca="1" si="16"/>
        <v>0</v>
      </c>
    </row>
    <row r="100" spans="1:46" s="539" customFormat="1" ht="16.399999999999999" customHeight="1" outlineLevel="1" x14ac:dyDescent="0.35">
      <c r="A100" s="534" t="s">
        <v>782</v>
      </c>
      <c r="B100" s="534" t="s">
        <v>783</v>
      </c>
      <c r="C100" s="535" t="s">
        <v>150</v>
      </c>
      <c r="D100" s="536" t="s">
        <v>817</v>
      </c>
      <c r="E100" s="536" t="s">
        <v>818</v>
      </c>
      <c r="F100" s="536" t="s">
        <v>871</v>
      </c>
      <c r="G100" s="536" t="s">
        <v>820</v>
      </c>
      <c r="H100" s="536" t="s">
        <v>1093</v>
      </c>
      <c r="I100" s="535" t="s">
        <v>1094</v>
      </c>
      <c r="J100" s="536" t="s">
        <v>451</v>
      </c>
      <c r="K100" s="536" t="s">
        <v>575</v>
      </c>
      <c r="L100" s="535" t="s">
        <v>1095</v>
      </c>
      <c r="M100" s="536" t="s">
        <v>1096</v>
      </c>
      <c r="N100" s="536"/>
      <c r="O100" s="535"/>
      <c r="P100" s="536"/>
      <c r="Q100" s="536"/>
      <c r="R100" s="540">
        <f ca="1">SUMIF(CPSX!$D$28:$W$106,'FORM OH'!$I$100,CPSX!K28:K106)</f>
        <v>4034625</v>
      </c>
      <c r="S100" s="540">
        <f ca="1">SUMIF(CPSX!$D$28:$W$106,'FORM OH'!$I$100,CPSX!L28:L106)</f>
        <v>4034625</v>
      </c>
      <c r="T100" s="540">
        <f ca="1">SUMIF(CPSX!$D$28:$W$106,'FORM OH'!$I$100,CPSX!M28:M106)</f>
        <v>4034625</v>
      </c>
      <c r="U100" s="540">
        <f ca="1">SUMIF(CPSX!$D$28:$W$106,'FORM OH'!$I$100,CPSX!N28:N106)</f>
        <v>4034625</v>
      </c>
      <c r="V100" s="540">
        <f ca="1">SUMIF(CPSX!$D$28:$W$106,'FORM OH'!$I$100,CPSX!O28:O106)</f>
        <v>4034625</v>
      </c>
      <c r="W100" s="540">
        <f ca="1">SUMIF(CPSX!$D$28:$W$106,'FORM OH'!$I$100,CPSX!P28:P106)</f>
        <v>4034625</v>
      </c>
      <c r="X100" s="540">
        <f ca="1">SUMIF(CPSX!$D$28:$W$106,'FORM OH'!$I$100,CPSX!Q28:Q106)</f>
        <v>4034625</v>
      </c>
      <c r="Y100" s="540">
        <f ca="1">SUMIF(CPSX!$D$28:$W$106,'FORM OH'!$I$100,CPSX!R28:R106)</f>
        <v>4034625</v>
      </c>
      <c r="Z100" s="540">
        <f ca="1">SUMIF(CPSX!$D$28:$W$106,'FORM OH'!$I$100,CPSX!S28:S106)</f>
        <v>4034625</v>
      </c>
      <c r="AA100" s="540">
        <f ca="1">SUMIF(CPSX!$D$28:$W$106,'FORM OH'!$I$100,CPSX!T28:T106)</f>
        <v>4034625</v>
      </c>
      <c r="AB100" s="540">
        <f ca="1">SUMIF(CPSX!$D$28:$W$106,'FORM OH'!$I$100,CPSX!U28:U106)</f>
        <v>4034625</v>
      </c>
      <c r="AC100" s="540">
        <f ca="1">SUMIF(CPSX!$D$28:$W$106,'FORM OH'!$I$100,CPSX!V28:V106)</f>
        <v>4034625</v>
      </c>
      <c r="AD100" s="540">
        <f t="shared" ca="1" si="13"/>
        <v>48415500</v>
      </c>
      <c r="AE100" s="533"/>
      <c r="AF100" s="540">
        <f ca="1">SUMIF(CPSX!$D$28:$W$106,'FORM OH'!$I$100,CPSX!Y28:Y106)</f>
        <v>770000</v>
      </c>
      <c r="AG100" s="540">
        <f ca="1">SUMIF(CPSX!$D$28:$W$106,'FORM OH'!$I$100,CPSX!Z28:Z106)</f>
        <v>1560000</v>
      </c>
      <c r="AH100" s="540">
        <f ca="1">SUMIF(CPSX!$D$28:$W$106,'FORM OH'!$I$100,CPSX!AA28:AA106)</f>
        <v>2914000</v>
      </c>
      <c r="AI100" s="540">
        <f ca="1">SUMIF(CPSX!$D$28:$W$106,'FORM OH'!$I$100,CPSX!AB28:AB106)</f>
        <v>1105000</v>
      </c>
      <c r="AJ100" s="540">
        <f ca="1">SUMIF(CPSX!$D$28:$W$106,'FORM OH'!$I$100,CPSX!AC28:AC106)</f>
        <v>3284000</v>
      </c>
      <c r="AK100" s="540">
        <f ca="1">SUMIF(CPSX!$D$28:$W$106,'FORM OH'!$I$100,CPSX!AD28:AD106)</f>
        <v>6340000</v>
      </c>
      <c r="AL100" s="540">
        <f ca="1">SUMIF(CPSX!$D$28:$W$106,'FORM OH'!$I$100,CPSX!AE28:AE106)</f>
        <v>2988000</v>
      </c>
      <c r="AM100" s="540">
        <f ca="1">SUMIF(CPSX!$D$28:$W$106,'FORM OH'!$I$100,CPSX!AF28:AF106)</f>
        <v>1842000</v>
      </c>
      <c r="AN100" s="540">
        <f ca="1">SUMIF(CPSX!$D$28:$W$106,'FORM OH'!$I$100,CPSX!AG28:AG106)</f>
        <v>1726000</v>
      </c>
      <c r="AO100" s="540">
        <f ca="1">SUMIF(CPSX!$D$28:$W$106,'FORM OH'!$I$100,CPSX!AH28:AH106)</f>
        <v>4503222</v>
      </c>
      <c r="AP100" s="540">
        <f ca="1">SUMIF(CPSX!$D$28:$W$106,'FORM OH'!$I$100,CPSX!AI28:AI106)</f>
        <v>4503222</v>
      </c>
      <c r="AQ100" s="540">
        <f ca="1">SUMIF(CPSX!$D$28:$W$106,'FORM OH'!$I$100,CPSX!AJ28:AJ106)</f>
        <v>4503222</v>
      </c>
      <c r="AR100" s="1284">
        <f t="shared" ca="1" si="14"/>
        <v>36038666</v>
      </c>
      <c r="AS100" s="1284">
        <f t="shared" ca="1" si="15"/>
        <v>12376834</v>
      </c>
      <c r="AT100" s="1297">
        <f t="shared" ca="1" si="16"/>
        <v>0.34343207931170372</v>
      </c>
    </row>
    <row r="101" spans="1:46" s="539" customFormat="1" ht="16.399999999999999" customHeight="1" outlineLevel="1" x14ac:dyDescent="0.35">
      <c r="A101" s="534" t="s">
        <v>782</v>
      </c>
      <c r="B101" s="534" t="s">
        <v>783</v>
      </c>
      <c r="C101" s="535" t="s">
        <v>150</v>
      </c>
      <c r="D101" s="536" t="s">
        <v>817</v>
      </c>
      <c r="E101" s="536" t="s">
        <v>818</v>
      </c>
      <c r="F101" s="536" t="s">
        <v>871</v>
      </c>
      <c r="G101" s="536" t="s">
        <v>820</v>
      </c>
      <c r="H101" s="536" t="s">
        <v>1093</v>
      </c>
      <c r="I101" s="535" t="s">
        <v>1097</v>
      </c>
      <c r="J101" s="536" t="s">
        <v>1098</v>
      </c>
      <c r="K101" s="536" t="s">
        <v>575</v>
      </c>
      <c r="L101" s="535" t="s">
        <v>1099</v>
      </c>
      <c r="M101" s="536" t="s">
        <v>1100</v>
      </c>
      <c r="N101" s="536"/>
      <c r="O101" s="535"/>
      <c r="P101" s="536"/>
      <c r="Q101" s="536"/>
      <c r="R101" s="540">
        <f ca="1">SUMIF(CPSX!$D$28:$W$106,'FORM OH'!$I$101,CPSX!K28:K106)</f>
        <v>0</v>
      </c>
      <c r="S101" s="540">
        <f ca="1">SUMIF(CPSX!$D$28:$W$106,'FORM OH'!$I$101,CPSX!L28:L106)</f>
        <v>0</v>
      </c>
      <c r="T101" s="540">
        <f ca="1">SUMIF(CPSX!$D$28:$W$106,'FORM OH'!$I$101,CPSX!M28:M106)</f>
        <v>0</v>
      </c>
      <c r="U101" s="540">
        <f ca="1">SUMIF(CPSX!$D$28:$W$106,'FORM OH'!$I$101,CPSX!N28:N106)</f>
        <v>0</v>
      </c>
      <c r="V101" s="540">
        <f ca="1">SUMIF(CPSX!$D$28:$W$106,'FORM OH'!$I$101,CPSX!O28:O106)</f>
        <v>0</v>
      </c>
      <c r="W101" s="540">
        <f ca="1">SUMIF(CPSX!$D$28:$W$106,'FORM OH'!$I$101,CPSX!P28:P106)</f>
        <v>0</v>
      </c>
      <c r="X101" s="540">
        <f ca="1">SUMIF(CPSX!$D$28:$W$106,'FORM OH'!$I$101,CPSX!Q28:Q106)</f>
        <v>0</v>
      </c>
      <c r="Y101" s="540">
        <f ca="1">SUMIF(CPSX!$D$28:$W$106,'FORM OH'!$I$101,CPSX!R28:R106)</f>
        <v>0</v>
      </c>
      <c r="Z101" s="540">
        <f ca="1">SUMIF(CPSX!$D$28:$W$106,'FORM OH'!$I$101,CPSX!S28:S106)</f>
        <v>0</v>
      </c>
      <c r="AA101" s="540">
        <f ca="1">SUMIF(CPSX!$D$28:$W$106,'FORM OH'!$I$101,CPSX!T28:T106)</f>
        <v>0</v>
      </c>
      <c r="AB101" s="540">
        <f ca="1">SUMIF(CPSX!$D$28:$W$106,'FORM OH'!$I$101,CPSX!U28:U106)</f>
        <v>0</v>
      </c>
      <c r="AC101" s="540">
        <f ca="1">SUMIF(CPSX!$D$28:$W$106,'FORM OH'!$I$101,CPSX!V28:V106)</f>
        <v>0</v>
      </c>
      <c r="AD101" s="540">
        <f t="shared" ca="1" si="13"/>
        <v>0</v>
      </c>
      <c r="AE101" s="533"/>
      <c r="AF101" s="540">
        <f ca="1">SUMIF(CPSX!$D$28:$W$106,'FORM OH'!$I$101,CPSX!Y28:Y106)</f>
        <v>0</v>
      </c>
      <c r="AG101" s="540">
        <f ca="1">SUMIF(CPSX!$D$28:$W$106,'FORM OH'!$I$101,CPSX!Z28:Z106)</f>
        <v>0</v>
      </c>
      <c r="AH101" s="540">
        <f ca="1">SUMIF(CPSX!$D$28:$W$106,'FORM OH'!$I$101,CPSX!AA28:AA106)</f>
        <v>0</v>
      </c>
      <c r="AI101" s="540">
        <f ca="1">SUMIF(CPSX!$D$28:$W$106,'FORM OH'!$I$101,CPSX!AB28:AB106)</f>
        <v>0</v>
      </c>
      <c r="AJ101" s="540">
        <f ca="1">SUMIF(CPSX!$D$28:$W$106,'FORM OH'!$I$101,CPSX!AC28:AC106)</f>
        <v>0</v>
      </c>
      <c r="AK101" s="540">
        <f ca="1">SUMIF(CPSX!$D$28:$W$106,'FORM OH'!$I$101,CPSX!AD28:AD106)</f>
        <v>0</v>
      </c>
      <c r="AL101" s="540">
        <f ca="1">SUMIF(CPSX!$D$28:$W$106,'FORM OH'!$I$101,CPSX!AE28:AE106)</f>
        <v>0</v>
      </c>
      <c r="AM101" s="540">
        <f ca="1">SUMIF(CPSX!$D$28:$W$106,'FORM OH'!$I$101,CPSX!AF28:AF106)</f>
        <v>0</v>
      </c>
      <c r="AN101" s="540">
        <f ca="1">SUMIF(CPSX!$D$28:$W$106,'FORM OH'!$I$101,CPSX!AG28:AG106)</f>
        <v>0</v>
      </c>
      <c r="AO101" s="540">
        <f ca="1">SUMIF(CPSX!$D$28:$W$106,'FORM OH'!$I$101,CPSX!AH28:AH106)</f>
        <v>0</v>
      </c>
      <c r="AP101" s="540">
        <f ca="1">SUMIF(CPSX!$D$28:$W$106,'FORM OH'!$I$101,CPSX!AI28:AI106)</f>
        <v>0</v>
      </c>
      <c r="AQ101" s="540">
        <f ca="1">SUMIF(CPSX!$D$28:$W$106,'FORM OH'!$I$101,CPSX!AJ28:AJ106)</f>
        <v>0</v>
      </c>
      <c r="AR101" s="1284">
        <f t="shared" ca="1" si="14"/>
        <v>0</v>
      </c>
      <c r="AS101" s="1284">
        <f t="shared" ca="1" si="15"/>
        <v>0</v>
      </c>
      <c r="AT101" s="1297">
        <f t="shared" ca="1" si="16"/>
        <v>0</v>
      </c>
    </row>
    <row r="102" spans="1:46" s="539" customFormat="1" ht="16.399999999999999" customHeight="1" outlineLevel="1" x14ac:dyDescent="0.35">
      <c r="A102" s="534" t="s">
        <v>782</v>
      </c>
      <c r="B102" s="534" t="s">
        <v>783</v>
      </c>
      <c r="C102" s="535" t="s">
        <v>150</v>
      </c>
      <c r="D102" s="536" t="s">
        <v>817</v>
      </c>
      <c r="E102" s="536" t="s">
        <v>818</v>
      </c>
      <c r="F102" s="536" t="s">
        <v>1048</v>
      </c>
      <c r="G102" s="536" t="s">
        <v>820</v>
      </c>
      <c r="H102" s="536" t="s">
        <v>1101</v>
      </c>
      <c r="I102" s="535" t="s">
        <v>1102</v>
      </c>
      <c r="J102" s="536" t="s">
        <v>1103</v>
      </c>
      <c r="K102" s="536" t="s">
        <v>594</v>
      </c>
      <c r="L102" s="535" t="s">
        <v>1104</v>
      </c>
      <c r="M102" s="536" t="s">
        <v>1105</v>
      </c>
      <c r="N102" s="536"/>
      <c r="O102" s="535"/>
      <c r="P102" s="536"/>
      <c r="Q102" s="536"/>
      <c r="R102" s="540">
        <f ca="1">SUMIF(CPSX!$D$28:$W$106,'FORM OH'!$I$102,CPSX!K28:K106)</f>
        <v>0</v>
      </c>
      <c r="S102" s="540">
        <f ca="1">SUMIF(CPSX!$D$28:$W$106,'FORM OH'!$I$102,CPSX!L28:L106)</f>
        <v>0</v>
      </c>
      <c r="T102" s="540">
        <f ca="1">SUMIF(CPSX!$D$28:$W$106,'FORM OH'!$I$102,CPSX!M28:M106)</f>
        <v>0</v>
      </c>
      <c r="U102" s="540">
        <f ca="1">SUMIF(CPSX!$D$28:$W$106,'FORM OH'!$I$102,CPSX!N28:N106)</f>
        <v>0</v>
      </c>
      <c r="V102" s="540">
        <f ca="1">SUMIF(CPSX!$D$28:$W$106,'FORM OH'!$I$102,CPSX!O28:O106)</f>
        <v>0</v>
      </c>
      <c r="W102" s="540">
        <f ca="1">SUMIF(CPSX!$D$28:$W$106,'FORM OH'!$I$102,CPSX!P28:P106)</f>
        <v>0</v>
      </c>
      <c r="X102" s="540">
        <f ca="1">SUMIF(CPSX!$D$28:$W$106,'FORM OH'!$I$102,CPSX!Q28:Q106)</f>
        <v>0</v>
      </c>
      <c r="Y102" s="540">
        <f ca="1">SUMIF(CPSX!$D$28:$W$106,'FORM OH'!$I$102,CPSX!R28:R106)</f>
        <v>0</v>
      </c>
      <c r="Z102" s="540">
        <f ca="1">SUMIF(CPSX!$D$28:$W$106,'FORM OH'!$I$102,CPSX!S28:S106)</f>
        <v>0</v>
      </c>
      <c r="AA102" s="540">
        <f ca="1">SUMIF(CPSX!$D$28:$W$106,'FORM OH'!$I$102,CPSX!T28:T106)</f>
        <v>0</v>
      </c>
      <c r="AB102" s="540">
        <f ca="1">SUMIF(CPSX!$D$28:$W$106,'FORM OH'!$I$102,CPSX!U28:U106)</f>
        <v>0</v>
      </c>
      <c r="AC102" s="540">
        <f ca="1">SUMIF(CPSX!$D$28:$W$106,'FORM OH'!$I$102,CPSX!V28:V106)</f>
        <v>0</v>
      </c>
      <c r="AD102" s="540">
        <f t="shared" ref="AD102:AD107" ca="1" si="17">SUM(R102:AC102)</f>
        <v>0</v>
      </c>
      <c r="AE102" s="533"/>
      <c r="AF102" s="540">
        <f ca="1">SUMIF(CPSX!$D$28:$W$106,'FORM OH'!$I$102,CPSX!Y28:Y106)</f>
        <v>0</v>
      </c>
      <c r="AG102" s="540">
        <f ca="1">SUMIF(CPSX!$D$28:$W$106,'FORM OH'!$I$102,CPSX!Z28:Z106)</f>
        <v>0</v>
      </c>
      <c r="AH102" s="540">
        <f ca="1">SUMIF(CPSX!$D$28:$W$106,'FORM OH'!$I$102,CPSX!AA28:AA106)</f>
        <v>0</v>
      </c>
      <c r="AI102" s="540">
        <f ca="1">SUMIF(CPSX!$D$28:$W$106,'FORM OH'!$I$102,CPSX!AB28:AB106)</f>
        <v>0</v>
      </c>
      <c r="AJ102" s="540">
        <f ca="1">SUMIF(CPSX!$D$28:$W$106,'FORM OH'!$I$102,CPSX!AC28:AC106)</f>
        <v>0</v>
      </c>
      <c r="AK102" s="540">
        <f ca="1">SUMIF(CPSX!$D$28:$W$106,'FORM OH'!$I$102,CPSX!AD28:AD106)</f>
        <v>0</v>
      </c>
      <c r="AL102" s="540">
        <f ca="1">SUMIF(CPSX!$D$28:$W$106,'FORM OH'!$I$102,CPSX!AE28:AE106)</f>
        <v>0</v>
      </c>
      <c r="AM102" s="540">
        <f ca="1">SUMIF(CPSX!$D$28:$W$106,'FORM OH'!$I$102,CPSX!AF28:AF106)</f>
        <v>0</v>
      </c>
      <c r="AN102" s="540">
        <f ca="1">SUMIF(CPSX!$D$28:$W$106,'FORM OH'!$I$102,CPSX!AG28:AG106)</f>
        <v>0</v>
      </c>
      <c r="AO102" s="540">
        <f ca="1">SUMIF(CPSX!$D$28:$W$106,'FORM OH'!$I$102,CPSX!AH28:AH106)</f>
        <v>0</v>
      </c>
      <c r="AP102" s="540">
        <f ca="1">SUMIF(CPSX!$D$28:$W$106,'FORM OH'!$I$102,CPSX!AI28:AI106)</f>
        <v>0</v>
      </c>
      <c r="AQ102" s="540">
        <f ca="1">SUMIF(CPSX!$D$28:$W$106,'FORM OH'!$I$102,CPSX!AJ28:AJ106)</f>
        <v>0</v>
      </c>
      <c r="AR102" s="1284">
        <f t="shared" ca="1" si="14"/>
        <v>0</v>
      </c>
      <c r="AS102" s="1284">
        <f t="shared" ca="1" si="15"/>
        <v>0</v>
      </c>
      <c r="AT102" s="1297">
        <f t="shared" ca="1" si="16"/>
        <v>0</v>
      </c>
    </row>
    <row r="103" spans="1:46" s="539" customFormat="1" ht="16.399999999999999" customHeight="1" outlineLevel="1" x14ac:dyDescent="0.35">
      <c r="A103" s="534" t="s">
        <v>782</v>
      </c>
      <c r="B103" s="534" t="s">
        <v>783</v>
      </c>
      <c r="C103" s="535" t="s">
        <v>150</v>
      </c>
      <c r="D103" s="536" t="s">
        <v>817</v>
      </c>
      <c r="E103" s="536" t="s">
        <v>818</v>
      </c>
      <c r="F103" s="536" t="s">
        <v>1106</v>
      </c>
      <c r="G103" s="536" t="s">
        <v>820</v>
      </c>
      <c r="H103" s="536" t="s">
        <v>1107</v>
      </c>
      <c r="I103" s="535" t="s">
        <v>1108</v>
      </c>
      <c r="J103" s="536" t="s">
        <v>452</v>
      </c>
      <c r="K103" s="536" t="s">
        <v>575</v>
      </c>
      <c r="L103" s="535" t="s">
        <v>1109</v>
      </c>
      <c r="M103" s="536" t="s">
        <v>1110</v>
      </c>
      <c r="N103" s="536"/>
      <c r="O103" s="535"/>
      <c r="P103" s="536"/>
      <c r="Q103" s="536"/>
      <c r="R103" s="540">
        <f ca="1">SUMIF(CPSX!$D$28:$W$106,'FORM OH'!$I$103,CPSX!K28:K106)</f>
        <v>0</v>
      </c>
      <c r="S103" s="540">
        <f ca="1">SUMIF(CPSX!$D$28:$W$106,'FORM OH'!$I$103,CPSX!L28:L106)</f>
        <v>0</v>
      </c>
      <c r="T103" s="540">
        <f ca="1">SUMIF(CPSX!$D$28:$W$106,'FORM OH'!$I$103,CPSX!M28:M106)</f>
        <v>0</v>
      </c>
      <c r="U103" s="540">
        <f ca="1">SUMIF(CPSX!$D$28:$W$106,'FORM OH'!$I$103,CPSX!N28:N106)</f>
        <v>0</v>
      </c>
      <c r="V103" s="540">
        <f ca="1">SUMIF(CPSX!$D$28:$W$106,'FORM OH'!$I$103,CPSX!O28:O106)</f>
        <v>0</v>
      </c>
      <c r="W103" s="540">
        <f ca="1">SUMIF(CPSX!$D$28:$W$106,'FORM OH'!$I$103,CPSX!P28:P106)</f>
        <v>0</v>
      </c>
      <c r="X103" s="540">
        <f ca="1">SUMIF(CPSX!$D$28:$W$106,'FORM OH'!$I$103,CPSX!Q28:Q106)</f>
        <v>0</v>
      </c>
      <c r="Y103" s="540">
        <f ca="1">SUMIF(CPSX!$D$28:$W$106,'FORM OH'!$I$103,CPSX!R28:R106)</f>
        <v>0</v>
      </c>
      <c r="Z103" s="540">
        <f ca="1">SUMIF(CPSX!$D$28:$W$106,'FORM OH'!$I$103,CPSX!S28:S106)</f>
        <v>0</v>
      </c>
      <c r="AA103" s="540">
        <f ca="1">SUMIF(CPSX!$D$28:$W$106,'FORM OH'!$I$103,CPSX!T28:T106)</f>
        <v>0</v>
      </c>
      <c r="AB103" s="540">
        <f ca="1">SUMIF(CPSX!$D$28:$W$106,'FORM OH'!$I$103,CPSX!U28:U106)</f>
        <v>0</v>
      </c>
      <c r="AC103" s="540">
        <f ca="1">SUMIF(CPSX!$D$28:$W$106,'FORM OH'!$I$103,CPSX!V28:V106)</f>
        <v>0</v>
      </c>
      <c r="AD103" s="540">
        <f t="shared" ca="1" si="17"/>
        <v>0</v>
      </c>
      <c r="AE103" s="533"/>
      <c r="AF103" s="540">
        <f ca="1">SUMIF(CPSX!$D$28:$W$106,'FORM OH'!$I$103,CPSX!Y28:Y106)</f>
        <v>0</v>
      </c>
      <c r="AG103" s="540">
        <f ca="1">SUMIF(CPSX!$D$28:$W$106,'FORM OH'!$I$103,CPSX!Z28:Z106)</f>
        <v>0</v>
      </c>
      <c r="AH103" s="540">
        <f ca="1">SUMIF(CPSX!$D$28:$W$106,'FORM OH'!$I$103,CPSX!AA28:AA106)</f>
        <v>0</v>
      </c>
      <c r="AI103" s="540">
        <f ca="1">SUMIF(CPSX!$D$28:$W$106,'FORM OH'!$I$103,CPSX!AB28:AB106)</f>
        <v>0</v>
      </c>
      <c r="AJ103" s="540">
        <f ca="1">SUMIF(CPSX!$D$28:$W$106,'FORM OH'!$I$103,CPSX!AC28:AC106)</f>
        <v>0</v>
      </c>
      <c r="AK103" s="540">
        <f ca="1">SUMIF(CPSX!$D$28:$W$106,'FORM OH'!$I$103,CPSX!AD28:AD106)</f>
        <v>0</v>
      </c>
      <c r="AL103" s="540">
        <f ca="1">SUMIF(CPSX!$D$28:$W$106,'FORM OH'!$I$103,CPSX!AE28:AE106)</f>
        <v>0</v>
      </c>
      <c r="AM103" s="540">
        <f ca="1">SUMIF(CPSX!$D$28:$W$106,'FORM OH'!$I$103,CPSX!AF28:AF106)</f>
        <v>0</v>
      </c>
      <c r="AN103" s="540">
        <f ca="1">SUMIF(CPSX!$D$28:$W$106,'FORM OH'!$I$103,CPSX!AG28:AG106)</f>
        <v>0</v>
      </c>
      <c r="AO103" s="540">
        <f ca="1">SUMIF(CPSX!$D$28:$W$106,'FORM OH'!$I$103,CPSX!AH28:AH106)</f>
        <v>0</v>
      </c>
      <c r="AP103" s="540">
        <f ca="1">SUMIF(CPSX!$D$28:$W$106,'FORM OH'!$I$103,CPSX!AI28:AI106)</f>
        <v>0</v>
      </c>
      <c r="AQ103" s="540">
        <f ca="1">SUMIF(CPSX!$D$28:$W$106,'FORM OH'!$I$103,CPSX!AJ28:AJ106)</f>
        <v>0</v>
      </c>
      <c r="AR103" s="1284">
        <f t="shared" ref="AR103:AR167" ca="1" si="18">SUM(AF103:AQ103)</f>
        <v>0</v>
      </c>
      <c r="AS103" s="1284">
        <f t="shared" ca="1" si="15"/>
        <v>0</v>
      </c>
      <c r="AT103" s="1297">
        <f t="shared" ca="1" si="16"/>
        <v>0</v>
      </c>
    </row>
    <row r="104" spans="1:46" s="539" customFormat="1" ht="16.399999999999999" customHeight="1" outlineLevel="1" x14ac:dyDescent="0.35">
      <c r="A104" s="534" t="s">
        <v>782</v>
      </c>
      <c r="B104" s="534" t="s">
        <v>783</v>
      </c>
      <c r="C104" s="535" t="s">
        <v>150</v>
      </c>
      <c r="D104" s="536" t="s">
        <v>817</v>
      </c>
      <c r="E104" s="536" t="s">
        <v>818</v>
      </c>
      <c r="F104" s="536" t="s">
        <v>1111</v>
      </c>
      <c r="G104" s="536" t="s">
        <v>820</v>
      </c>
      <c r="H104" s="536" t="s">
        <v>1112</v>
      </c>
      <c r="I104" s="535" t="s">
        <v>1113</v>
      </c>
      <c r="J104" s="536" t="s">
        <v>453</v>
      </c>
      <c r="K104" s="536" t="s">
        <v>573</v>
      </c>
      <c r="L104" s="535" t="s">
        <v>1114</v>
      </c>
      <c r="M104" s="536" t="s">
        <v>1115</v>
      </c>
      <c r="N104" s="536"/>
      <c r="O104" s="535"/>
      <c r="P104" s="536"/>
      <c r="Q104" s="536"/>
      <c r="R104" s="540">
        <f ca="1">SUMIF(CPSX!$D$28:$W$106,'FORM OH'!$I$104,CPSX!K28:K106)</f>
        <v>0</v>
      </c>
      <c r="S104" s="540">
        <f ca="1">SUMIF(CPSX!$D$28:$W$106,'FORM OH'!$I$104,CPSX!L28:L106)</f>
        <v>0</v>
      </c>
      <c r="T104" s="540">
        <f ca="1">SUMIF(CPSX!$D$28:$W$106,'FORM OH'!$I$104,CPSX!M28:M106)</f>
        <v>0</v>
      </c>
      <c r="U104" s="540">
        <f ca="1">SUMIF(CPSX!$D$28:$W$106,'FORM OH'!$I$104,CPSX!N28:N106)</f>
        <v>0</v>
      </c>
      <c r="V104" s="540">
        <f ca="1">SUMIF(CPSX!$D$28:$W$106,'FORM OH'!$I$104,CPSX!O28:O106)</f>
        <v>0</v>
      </c>
      <c r="W104" s="540">
        <f ca="1">SUMIF(CPSX!$D$28:$W$106,'FORM OH'!$I$104,CPSX!P28:P106)</f>
        <v>0</v>
      </c>
      <c r="X104" s="540">
        <f ca="1">SUMIF(CPSX!$D$28:$W$106,'FORM OH'!$I$104,CPSX!Q28:Q106)</f>
        <v>0</v>
      </c>
      <c r="Y104" s="540">
        <f ca="1">SUMIF(CPSX!$D$28:$W$106,'FORM OH'!$I$104,CPSX!R28:R106)</f>
        <v>0</v>
      </c>
      <c r="Z104" s="540">
        <f ca="1">SUMIF(CPSX!$D$28:$W$106,'FORM OH'!$I$104,CPSX!S28:S106)</f>
        <v>0</v>
      </c>
      <c r="AA104" s="540">
        <f ca="1">SUMIF(CPSX!$D$28:$W$106,'FORM OH'!$I$104,CPSX!T28:T106)</f>
        <v>0</v>
      </c>
      <c r="AB104" s="540">
        <f ca="1">SUMIF(CPSX!$D$28:$W$106,'FORM OH'!$I$104,CPSX!U28:U106)</f>
        <v>0</v>
      </c>
      <c r="AC104" s="540">
        <f ca="1">SUMIF(CPSX!$D$28:$W$106,'FORM OH'!$I$104,CPSX!V28:V106)</f>
        <v>0</v>
      </c>
      <c r="AD104" s="540">
        <f t="shared" ca="1" si="17"/>
        <v>0</v>
      </c>
      <c r="AE104" s="533"/>
      <c r="AF104" s="540">
        <f ca="1">SUMIF(CPSX!$D$28:$W$106,'FORM OH'!$I$104,CPSX!Y28:Y106)</f>
        <v>0</v>
      </c>
      <c r="AG104" s="540">
        <f ca="1">SUMIF(CPSX!$D$28:$W$106,'FORM OH'!$I$104,CPSX!Z28:Z106)</f>
        <v>0</v>
      </c>
      <c r="AH104" s="540">
        <f ca="1">SUMIF(CPSX!$D$28:$W$106,'FORM OH'!$I$104,CPSX!AA28:AA106)</f>
        <v>0</v>
      </c>
      <c r="AI104" s="540">
        <f ca="1">SUMIF(CPSX!$D$28:$W$106,'FORM OH'!$I$104,CPSX!AB28:AB106)</f>
        <v>0</v>
      </c>
      <c r="AJ104" s="540">
        <f ca="1">SUMIF(CPSX!$D$28:$W$106,'FORM OH'!$I$104,CPSX!AC28:AC106)</f>
        <v>0</v>
      </c>
      <c r="AK104" s="540">
        <f ca="1">SUMIF(CPSX!$D$28:$W$106,'FORM OH'!$I$104,CPSX!AD28:AD106)</f>
        <v>0</v>
      </c>
      <c r="AL104" s="540">
        <f ca="1">SUMIF(CPSX!$D$28:$W$106,'FORM OH'!$I$104,CPSX!AE28:AE106)</f>
        <v>0</v>
      </c>
      <c r="AM104" s="540">
        <f ca="1">SUMIF(CPSX!$D$28:$W$106,'FORM OH'!$I$104,CPSX!AF28:AF106)</f>
        <v>0</v>
      </c>
      <c r="AN104" s="540">
        <f ca="1">SUMIF(CPSX!$D$28:$W$106,'FORM OH'!$I$104,CPSX!AG28:AG106)</f>
        <v>0</v>
      </c>
      <c r="AO104" s="540">
        <f ca="1">SUMIF(CPSX!$D$28:$W$106,'FORM OH'!$I$104,CPSX!AH28:AH106)</f>
        <v>0</v>
      </c>
      <c r="AP104" s="540">
        <f ca="1">SUMIF(CPSX!$D$28:$W$106,'FORM OH'!$I$104,CPSX!AI28:AI106)</f>
        <v>0</v>
      </c>
      <c r="AQ104" s="540">
        <f ca="1">SUMIF(CPSX!$D$28:$W$106,'FORM OH'!$I$104,CPSX!AJ28:AJ106)</f>
        <v>0</v>
      </c>
      <c r="AR104" s="1284">
        <f t="shared" ca="1" si="18"/>
        <v>0</v>
      </c>
      <c r="AS104" s="1284">
        <f t="shared" ca="1" si="15"/>
        <v>0</v>
      </c>
      <c r="AT104" s="1297">
        <f t="shared" ca="1" si="16"/>
        <v>0</v>
      </c>
    </row>
    <row r="105" spans="1:46" s="533" customFormat="1" ht="16.399999999999999" customHeight="1" outlineLevel="1" x14ac:dyDescent="0.35">
      <c r="A105" s="534" t="s">
        <v>782</v>
      </c>
      <c r="B105" s="534" t="s">
        <v>783</v>
      </c>
      <c r="C105" s="535" t="s">
        <v>150</v>
      </c>
      <c r="D105" s="536" t="s">
        <v>817</v>
      </c>
      <c r="E105" s="536" t="s">
        <v>818</v>
      </c>
      <c r="F105" s="536" t="s">
        <v>1111</v>
      </c>
      <c r="G105" s="536" t="s">
        <v>820</v>
      </c>
      <c r="H105" s="536" t="s">
        <v>1112</v>
      </c>
      <c r="I105" s="535" t="s">
        <v>1116</v>
      </c>
      <c r="J105" s="536" t="s">
        <v>15</v>
      </c>
      <c r="K105" s="536" t="s">
        <v>573</v>
      </c>
      <c r="L105" s="535" t="s">
        <v>1117</v>
      </c>
      <c r="M105" s="536" t="s">
        <v>1118</v>
      </c>
      <c r="N105" s="544"/>
      <c r="O105" s="1256"/>
      <c r="P105" s="1257"/>
      <c r="Q105" s="1257"/>
      <c r="R105" s="540">
        <f ca="1">SUMIF(CPSX!$D$28:$W$106,'FORM OH'!$I$105,CPSX!K28:K106)</f>
        <v>937804.26249999995</v>
      </c>
      <c r="S105" s="540">
        <f ca="1">SUMIF(CPSX!$D$28:$W$106,'FORM OH'!$I$105,CPSX!L28:L106)</f>
        <v>937804.26249999995</v>
      </c>
      <c r="T105" s="540">
        <f ca="1">SUMIF(CPSX!$D$28:$W$106,'FORM OH'!$I$105,CPSX!M28:M106)</f>
        <v>937804.26249999995</v>
      </c>
      <c r="U105" s="540">
        <f ca="1">SUMIF(CPSX!$D$28:$W$106,'FORM OH'!$I$105,CPSX!N28:N106)</f>
        <v>937804.26249999995</v>
      </c>
      <c r="V105" s="540">
        <f ca="1">SUMIF(CPSX!$D$28:$W$106,'FORM OH'!$I$105,CPSX!O28:O106)</f>
        <v>937804.26249999995</v>
      </c>
      <c r="W105" s="540">
        <f ca="1">SUMIF(CPSX!$D$28:$W$106,'FORM OH'!$I$105,CPSX!P28:P106)</f>
        <v>937804.26249999995</v>
      </c>
      <c r="X105" s="540">
        <f ca="1">SUMIF(CPSX!$D$28:$W$106,'FORM OH'!$I$105,CPSX!Q28:Q106)</f>
        <v>937804.26249999995</v>
      </c>
      <c r="Y105" s="540">
        <f ca="1">SUMIF(CPSX!$D$28:$W$106,'FORM OH'!$I$105,CPSX!R28:R106)</f>
        <v>937804.26249999995</v>
      </c>
      <c r="Z105" s="540">
        <f ca="1">SUMIF(CPSX!$D$28:$W$106,'FORM OH'!$I$105,CPSX!S28:S106)</f>
        <v>937804.26249999995</v>
      </c>
      <c r="AA105" s="540">
        <f ca="1">SUMIF(CPSX!$D$28:$W$106,'FORM OH'!$I$105,CPSX!T28:T106)</f>
        <v>937804.26249999995</v>
      </c>
      <c r="AB105" s="540">
        <f ca="1">SUMIF(CPSX!$D$28:$W$106,'FORM OH'!$I$105,CPSX!U28:U106)</f>
        <v>937804.26249999995</v>
      </c>
      <c r="AC105" s="540">
        <f ca="1">SUMIF(CPSX!$D$28:$W$106,'FORM OH'!$I$105,CPSX!V28:V106)</f>
        <v>937804.26249999995</v>
      </c>
      <c r="AD105" s="540">
        <f t="shared" ca="1" si="17"/>
        <v>11253651.149999999</v>
      </c>
      <c r="AF105" s="540">
        <f ca="1">SUMIF(CPSX!$D$28:$W$106,'FORM OH'!$I$105,CPSX!Y28:Y106)</f>
        <v>1716352</v>
      </c>
      <c r="AG105" s="540">
        <f ca="1">SUMIF(CPSX!$D$28:$W$106,'FORM OH'!$I$105,CPSX!Z28:Z106)</f>
        <v>746577</v>
      </c>
      <c r="AH105" s="540">
        <f ca="1">SUMIF(CPSX!$D$28:$W$106,'FORM OH'!$I$105,CPSX!AA28:AA106)</f>
        <v>704286</v>
      </c>
      <c r="AI105" s="540">
        <f ca="1">SUMIF(CPSX!$D$28:$W$106,'FORM OH'!$I$105,CPSX!AB28:AB106)</f>
        <v>963388</v>
      </c>
      <c r="AJ105" s="540">
        <f ca="1">SUMIF(CPSX!$D$28:$W$106,'FORM OH'!$I$105,CPSX!AC28:AC106)</f>
        <v>437143</v>
      </c>
      <c r="AK105" s="540">
        <f ca="1">SUMIF(CPSX!$D$28:$W$106,'FORM OH'!$I$105,CPSX!AD28:AD106)</f>
        <v>1190083</v>
      </c>
      <c r="AL105" s="540">
        <f ca="1">SUMIF(CPSX!$D$28:$W$106,'FORM OH'!$I$105,CPSX!AE28:AE106)</f>
        <v>979580</v>
      </c>
      <c r="AM105" s="540">
        <f ca="1">SUMIF(CPSX!$D$28:$W$106,'FORM OH'!$I$105,CPSX!AF28:AF106)</f>
        <v>922923</v>
      </c>
      <c r="AN105" s="540">
        <f ca="1">SUMIF(CPSX!$D$28:$W$106,'FORM OH'!$I$105,CPSX!AG28:AG106)</f>
        <v>518095</v>
      </c>
      <c r="AO105" s="540">
        <f ca="1">SUMIF(CPSX!$D$28:$W$106,'FORM OH'!$I$105,CPSX!AH28:AH106)</f>
        <v>908714</v>
      </c>
      <c r="AP105" s="540">
        <f ca="1">SUMIF(CPSX!$D$28:$W$106,'FORM OH'!$I$105,CPSX!AI28:AI106)</f>
        <v>908714</v>
      </c>
      <c r="AQ105" s="540">
        <f ca="1">SUMIF(CPSX!$D$28:$W$106,'FORM OH'!$I$105,CPSX!AJ28:AJ106)</f>
        <v>908714</v>
      </c>
      <c r="AR105" s="1284">
        <f t="shared" ca="1" si="18"/>
        <v>10904569</v>
      </c>
      <c r="AS105" s="719">
        <f t="shared" ca="1" si="15"/>
        <v>349082.14999999851</v>
      </c>
      <c r="AT105" s="718">
        <f t="shared" ca="1" si="16"/>
        <v>3.2012466517475247E-2</v>
      </c>
    </row>
    <row r="106" spans="1:46" s="533" customFormat="1" ht="16.399999999999999" customHeight="1" outlineLevel="1" x14ac:dyDescent="0.35">
      <c r="A106" s="534" t="s">
        <v>782</v>
      </c>
      <c r="B106" s="534" t="s">
        <v>783</v>
      </c>
      <c r="C106" s="535" t="s">
        <v>150</v>
      </c>
      <c r="D106" s="536" t="s">
        <v>817</v>
      </c>
      <c r="E106" s="536" t="s">
        <v>818</v>
      </c>
      <c r="F106" s="536" t="s">
        <v>1508</v>
      </c>
      <c r="G106" s="536" t="s">
        <v>820</v>
      </c>
      <c r="H106" s="536" t="s">
        <v>2229</v>
      </c>
      <c r="I106" s="535" t="s">
        <v>2228</v>
      </c>
      <c r="J106" s="536" t="s">
        <v>485</v>
      </c>
      <c r="K106" s="536" t="s">
        <v>577</v>
      </c>
      <c r="L106" s="535" t="s">
        <v>1511</v>
      </c>
      <c r="M106" s="536" t="s">
        <v>485</v>
      </c>
      <c r="N106" s="544"/>
      <c r="O106" s="1310"/>
      <c r="P106" s="1311"/>
      <c r="Q106" s="1311"/>
      <c r="R106" s="540">
        <f ca="1">SUMIF(CPSX!$D$28:$W$106,'FORM OH'!$I$106,CPSX!K28:K106)</f>
        <v>1585667.5833333333</v>
      </c>
      <c r="S106" s="540">
        <f ca="1">SUMIF(CPSX!$D$28:$W$106,'FORM OH'!$I$106,CPSX!L28:L106)</f>
        <v>1585667.5833333333</v>
      </c>
      <c r="T106" s="540">
        <f ca="1">SUMIF(CPSX!$D$28:$W$106,'FORM OH'!$I$106,CPSX!M28:M106)</f>
        <v>1585667.5833333333</v>
      </c>
      <c r="U106" s="540">
        <f ca="1">SUMIF(CPSX!$D$28:$W$106,'FORM OH'!$I$106,CPSX!N28:N106)</f>
        <v>1585667.5833333333</v>
      </c>
      <c r="V106" s="540">
        <f ca="1">SUMIF(CPSX!$D$28:$W$106,'FORM OH'!$I$106,CPSX!O28:O106)</f>
        <v>1585667.5833333333</v>
      </c>
      <c r="W106" s="540">
        <f ca="1">SUMIF(CPSX!$D$28:$W$106,'FORM OH'!$I$106,CPSX!P28:P106)</f>
        <v>1585667.5833333333</v>
      </c>
      <c r="X106" s="540">
        <f ca="1">SUMIF(CPSX!$D$28:$W$106,'FORM OH'!$I$106,CPSX!Q28:Q106)</f>
        <v>1585667.5833333333</v>
      </c>
      <c r="Y106" s="540">
        <f ca="1">SUMIF(CPSX!$D$28:$W$106,'FORM OH'!$I$106,CPSX!R28:R106)</f>
        <v>1585667.5833333333</v>
      </c>
      <c r="Z106" s="540">
        <f ca="1">SUMIF(CPSX!$D$28:$W$106,'FORM OH'!$I$106,CPSX!S28:S106)</f>
        <v>1585667.5833333333</v>
      </c>
      <c r="AA106" s="540">
        <f ca="1">SUMIF(CPSX!$D$28:$W$106,'FORM OH'!$I$106,CPSX!T28:T106)</f>
        <v>1585667.5833333333</v>
      </c>
      <c r="AB106" s="540">
        <f ca="1">SUMIF(CPSX!$D$28:$W$106,'FORM OH'!$I$106,CPSX!U28:U106)</f>
        <v>1585667.5833333333</v>
      </c>
      <c r="AC106" s="540">
        <f ca="1">SUMIF(CPSX!$D$28:$W$106,'FORM OH'!$I$106,CPSX!V28:V106)</f>
        <v>1585667.5833333333</v>
      </c>
      <c r="AD106" s="540">
        <f t="shared" ca="1" si="17"/>
        <v>19028011</v>
      </c>
      <c r="AF106" s="540">
        <f ca="1">SUMIF(CPSX!$D$28:$W$106,'FORM OH'!$I$106,CPSX!Y28:Y106)</f>
        <v>2797159</v>
      </c>
      <c r="AG106" s="540">
        <f ca="1">SUMIF(CPSX!$D$28:$W$106,'FORM OH'!$I$106,CPSX!Z28:Z106)</f>
        <v>2797159</v>
      </c>
      <c r="AH106" s="540">
        <f ca="1">SUMIF(CPSX!$D$28:$W$106,'FORM OH'!$I$106,CPSX!AA28:AA106)</f>
        <v>2353576</v>
      </c>
      <c r="AI106" s="540">
        <f ca="1">SUMIF(CPSX!$D$28:$W$106,'FORM OH'!$I$106,CPSX!AB28:AB106)</f>
        <v>982387</v>
      </c>
      <c r="AJ106" s="540">
        <f ca="1">SUMIF(CPSX!$D$28:$W$106,'FORM OH'!$I$106,CPSX!AC28:AC106)</f>
        <v>982387</v>
      </c>
      <c r="AK106" s="540">
        <f ca="1">SUMIF(CPSX!$D$28:$W$106,'FORM OH'!$I$106,CPSX!AD28:AD106)</f>
        <v>982387</v>
      </c>
      <c r="AL106" s="540">
        <f ca="1">SUMIF(CPSX!$D$28:$W$106,'FORM OH'!$I$106,CPSX!AE28:AE106)</f>
        <v>982387</v>
      </c>
      <c r="AM106" s="540">
        <f ca="1">SUMIF(CPSX!$D$28:$W$106,'FORM OH'!$I$106,CPSX!AF28:AF106)</f>
        <v>982387</v>
      </c>
      <c r="AN106" s="540">
        <f ca="1">SUMIF(CPSX!$D$28:$W$106,'FORM OH'!$I$106,CPSX!AG28:AG106)</f>
        <v>962648</v>
      </c>
      <c r="AO106" s="540">
        <f ca="1">SUMIF(CPSX!$D$28:$W$106,'FORM OH'!$I$106,CPSX!AH28:AH106)</f>
        <v>2</v>
      </c>
      <c r="AP106" s="540">
        <f ca="1">SUMIF(CPSX!$D$28:$W$106,'FORM OH'!$I$106,CPSX!AI28:AI106)</f>
        <v>772530.25</v>
      </c>
      <c r="AQ106" s="540">
        <f ca="1">SUMIF(CPSX!$D$28:$W$106,'FORM OH'!$I$106,CPSX!AJ28:AJ106)</f>
        <v>772530.25</v>
      </c>
      <c r="AR106" s="1284">
        <f t="shared" ca="1" si="18"/>
        <v>15367539.5</v>
      </c>
      <c r="AS106" s="719">
        <f t="shared" ref="AS106" ca="1" si="19">AD106-AR106</f>
        <v>3660471.5</v>
      </c>
      <c r="AT106" s="718">
        <f t="shared" ref="AT106" ca="1" si="20">IFERROR(AS106/AR106,0)</f>
        <v>0.23819502790280772</v>
      </c>
    </row>
    <row r="107" spans="1:46" s="533" customFormat="1" ht="16.399999999999999" customHeight="1" outlineLevel="1" x14ac:dyDescent="0.35">
      <c r="A107" s="534" t="s">
        <v>782</v>
      </c>
      <c r="B107" s="534" t="s">
        <v>783</v>
      </c>
      <c r="C107" s="535" t="s">
        <v>150</v>
      </c>
      <c r="D107" s="536" t="s">
        <v>817</v>
      </c>
      <c r="E107" s="536" t="s">
        <v>818</v>
      </c>
      <c r="F107" s="536" t="s">
        <v>1111</v>
      </c>
      <c r="G107" s="536" t="s">
        <v>820</v>
      </c>
      <c r="H107" s="536" t="s">
        <v>1112</v>
      </c>
      <c r="I107" s="535" t="s">
        <v>1119</v>
      </c>
      <c r="J107" s="536" t="s">
        <v>96</v>
      </c>
      <c r="K107" s="536" t="s">
        <v>575</v>
      </c>
      <c r="L107" s="535" t="s">
        <v>1120</v>
      </c>
      <c r="M107" s="536" t="s">
        <v>1121</v>
      </c>
      <c r="N107" s="536"/>
      <c r="O107" s="535"/>
      <c r="P107" s="536"/>
      <c r="Q107" s="536"/>
      <c r="R107" s="540">
        <f ca="1">SUMIF(CPSX!$D$28:$W$106,'FORM OH'!$I$107,CPSX!K28:K106)</f>
        <v>2083333.3333333335</v>
      </c>
      <c r="S107" s="540">
        <f ca="1">SUMIF(CPSX!$D$28:$W$106,'FORM OH'!$I$107,CPSX!L28:L106)</f>
        <v>2083333.3333333335</v>
      </c>
      <c r="T107" s="540">
        <f ca="1">SUMIF(CPSX!$D$28:$W$106,'FORM OH'!$I$107,CPSX!M28:M106)</f>
        <v>2083333.3333333335</v>
      </c>
      <c r="U107" s="540">
        <f ca="1">SUMIF(CPSX!$D$28:$W$106,'FORM OH'!$I$107,CPSX!N28:N106)</f>
        <v>2083333.3333333335</v>
      </c>
      <c r="V107" s="540">
        <f ca="1">SUMIF(CPSX!$D$28:$W$106,'FORM OH'!$I$107,CPSX!O28:O106)</f>
        <v>2083333.3333333335</v>
      </c>
      <c r="W107" s="540">
        <f ca="1">SUMIF(CPSX!$D$28:$W$106,'FORM OH'!$I$107,CPSX!P28:P106)</f>
        <v>2083333.3333333335</v>
      </c>
      <c r="X107" s="540">
        <f ca="1">SUMIF(CPSX!$D$28:$W$106,'FORM OH'!$I$107,CPSX!Q28:Q106)</f>
        <v>2083333.3333333335</v>
      </c>
      <c r="Y107" s="540">
        <f ca="1">SUMIF(CPSX!$D$28:$W$106,'FORM OH'!$I$107,CPSX!R28:R106)</f>
        <v>2083333.3333333335</v>
      </c>
      <c r="Z107" s="540">
        <f ca="1">SUMIF(CPSX!$D$28:$W$106,'FORM OH'!$I$107,CPSX!S28:S106)</f>
        <v>2083333.3333333335</v>
      </c>
      <c r="AA107" s="540">
        <f ca="1">SUMIF(CPSX!$D$28:$W$106,'FORM OH'!$I$107,CPSX!T28:T106)</f>
        <v>2083333.3333333335</v>
      </c>
      <c r="AB107" s="540">
        <f ca="1">SUMIF(CPSX!$D$28:$W$106,'FORM OH'!$I$107,CPSX!U28:U106)</f>
        <v>2083333.3333333335</v>
      </c>
      <c r="AC107" s="540">
        <f ca="1">SUMIF(CPSX!$D$28:$W$106,'FORM OH'!$I$107,CPSX!V28:V106)</f>
        <v>2083333.3333333335</v>
      </c>
      <c r="AD107" s="540">
        <f t="shared" ca="1" si="17"/>
        <v>25000000</v>
      </c>
      <c r="AF107" s="540">
        <f ca="1">SUMIF(CPSX!$D$28:$W$106,'FORM OH'!$I$107,CPSX!Y28:Y106)</f>
        <v>0</v>
      </c>
      <c r="AG107" s="540">
        <f ca="1">SUMIF(CPSX!$D$28:$W$106,'FORM OH'!$I$107,CPSX!Z28:Z106)</f>
        <v>0</v>
      </c>
      <c r="AH107" s="540">
        <f ca="1">SUMIF(CPSX!$D$28:$W$106,'FORM OH'!$I$107,CPSX!AA28:AA106)</f>
        <v>0</v>
      </c>
      <c r="AI107" s="540">
        <f ca="1">SUMIF(CPSX!$D$28:$W$106,'FORM OH'!$I$107,CPSX!AB28:AB106)</f>
        <v>0</v>
      </c>
      <c r="AJ107" s="540">
        <f ca="1">SUMIF(CPSX!$D$28:$W$106,'FORM OH'!$I$107,CPSX!AC28:AC106)</f>
        <v>13304250</v>
      </c>
      <c r="AK107" s="540">
        <f ca="1">SUMIF(CPSX!$D$28:$W$106,'FORM OH'!$I$107,CPSX!AD28:AD106)</f>
        <v>7000000</v>
      </c>
      <c r="AL107" s="540">
        <f ca="1">SUMIF(CPSX!$D$28:$W$106,'FORM OH'!$I$107,CPSX!AE28:AE106)</f>
        <v>0</v>
      </c>
      <c r="AM107" s="540">
        <f ca="1">SUMIF(CPSX!$D$28:$W$106,'FORM OH'!$I$107,CPSX!AF28:AF106)</f>
        <v>0</v>
      </c>
      <c r="AN107" s="540">
        <f ca="1">SUMIF(CPSX!$D$28:$W$106,'FORM OH'!$I$107,CPSX!AG28:AG106)</f>
        <v>0</v>
      </c>
      <c r="AO107" s="540">
        <f ca="1">SUMIF(CPSX!$D$28:$W$106,'FORM OH'!$I$107,CPSX!AH28:AH106)</f>
        <v>1478250</v>
      </c>
      <c r="AP107" s="540">
        <f ca="1">SUMIF(CPSX!$D$28:$W$106,'FORM OH'!$I$107,CPSX!AI28:AI106)</f>
        <v>1478250</v>
      </c>
      <c r="AQ107" s="540">
        <f ca="1">SUMIF(CPSX!$D$28:$W$106,'FORM OH'!$I$107,CPSX!AJ28:AJ106)</f>
        <v>1478250</v>
      </c>
      <c r="AR107" s="1284">
        <f t="shared" ca="1" si="18"/>
        <v>24739000</v>
      </c>
      <c r="AS107" s="719">
        <f t="shared" ca="1" si="15"/>
        <v>261000</v>
      </c>
      <c r="AT107" s="718">
        <f t="shared" ca="1" si="16"/>
        <v>1.0550143498120376E-2</v>
      </c>
    </row>
    <row r="108" spans="1:46" s="533" customFormat="1" ht="16.399999999999999" customHeight="1" x14ac:dyDescent="0.35">
      <c r="A108" s="528" t="s">
        <v>782</v>
      </c>
      <c r="B108" s="528" t="s">
        <v>783</v>
      </c>
      <c r="C108" s="529" t="s">
        <v>150</v>
      </c>
      <c r="D108" s="529"/>
      <c r="E108" s="529"/>
      <c r="F108" s="529"/>
      <c r="G108" s="529"/>
      <c r="H108" s="530" t="s">
        <v>1122</v>
      </c>
      <c r="I108" s="530" t="s">
        <v>681</v>
      </c>
      <c r="J108" s="542"/>
      <c r="K108" s="529"/>
      <c r="L108" s="529"/>
      <c r="M108" s="529"/>
      <c r="N108" s="542"/>
      <c r="O108" s="530" t="s">
        <v>681</v>
      </c>
      <c r="P108" s="542"/>
      <c r="Q108" s="542"/>
      <c r="R108" s="532">
        <f ca="1">SUM(R109:R118)</f>
        <v>81327529.763888881</v>
      </c>
      <c r="S108" s="532">
        <f t="shared" ref="S108:AC108" ca="1" si="21">SUM(S109:S118)</f>
        <v>81327529.763888881</v>
      </c>
      <c r="T108" s="532">
        <f t="shared" ca="1" si="21"/>
        <v>81327529.763888881</v>
      </c>
      <c r="U108" s="532">
        <f t="shared" ca="1" si="21"/>
        <v>81327529.763888881</v>
      </c>
      <c r="V108" s="532">
        <f t="shared" ca="1" si="21"/>
        <v>81327529.763888881</v>
      </c>
      <c r="W108" s="532">
        <f t="shared" ca="1" si="21"/>
        <v>81327529.763888881</v>
      </c>
      <c r="X108" s="532">
        <f t="shared" ca="1" si="21"/>
        <v>81327529.763888881</v>
      </c>
      <c r="Y108" s="532">
        <f t="shared" ca="1" si="21"/>
        <v>81327529.763888881</v>
      </c>
      <c r="Z108" s="532">
        <f t="shared" ca="1" si="21"/>
        <v>81327529.763888881</v>
      </c>
      <c r="AA108" s="532">
        <f t="shared" ca="1" si="21"/>
        <v>81327529.763888881</v>
      </c>
      <c r="AB108" s="532">
        <f t="shared" ca="1" si="21"/>
        <v>81327529.763888881</v>
      </c>
      <c r="AC108" s="532">
        <f t="shared" ca="1" si="21"/>
        <v>81327529.763888881</v>
      </c>
      <c r="AD108" s="532">
        <f ca="1">SUM(AD109:AD118)</f>
        <v>975930357.16666675</v>
      </c>
      <c r="AF108" s="532">
        <f t="shared" ref="AF108:AR108" ca="1" si="22">SUM(AF109:AF118)</f>
        <v>145507033.61190474</v>
      </c>
      <c r="AG108" s="532">
        <f t="shared" ca="1" si="22"/>
        <v>145465236.80238095</v>
      </c>
      <c r="AH108" s="532">
        <f t="shared" ca="1" si="22"/>
        <v>145428270.82619047</v>
      </c>
      <c r="AI108" s="532">
        <f t="shared" ca="1" si="22"/>
        <v>156752152.65952381</v>
      </c>
      <c r="AJ108" s="532">
        <f t="shared" ca="1" si="22"/>
        <v>151297271.96904761</v>
      </c>
      <c r="AK108" s="532">
        <f t="shared" ca="1" si="22"/>
        <v>149951164.63571426</v>
      </c>
      <c r="AL108" s="532">
        <f t="shared" ca="1" si="22"/>
        <v>149918820.32619047</v>
      </c>
      <c r="AM108" s="532">
        <f t="shared" ca="1" si="22"/>
        <v>186836533.16292515</v>
      </c>
      <c r="AN108" s="532">
        <f t="shared" ca="1" si="22"/>
        <v>169336038.58185938</v>
      </c>
      <c r="AO108" s="532">
        <f t="shared" ca="1" si="22"/>
        <v>169335598.51071426</v>
      </c>
      <c r="AP108" s="532">
        <f t="shared" ca="1" si="22"/>
        <v>169335485.99285713</v>
      </c>
      <c r="AQ108" s="532">
        <f t="shared" ca="1" si="22"/>
        <v>169336151.09971654</v>
      </c>
      <c r="AR108" s="1283">
        <f t="shared" ca="1" si="22"/>
        <v>1908499758.1790247</v>
      </c>
      <c r="AS108" s="1283">
        <f t="shared" ca="1" si="15"/>
        <v>-932569401.01235795</v>
      </c>
      <c r="AT108" s="1298">
        <f t="shared" ca="1" si="16"/>
        <v>-0.48864004148586293</v>
      </c>
    </row>
    <row r="109" spans="1:46" s="533" customFormat="1" ht="16.399999999999999" customHeight="1" outlineLevel="1" x14ac:dyDescent="0.35">
      <c r="A109" s="534" t="s">
        <v>782</v>
      </c>
      <c r="B109" s="534" t="s">
        <v>783</v>
      </c>
      <c r="C109" s="535" t="s">
        <v>150</v>
      </c>
      <c r="D109" s="536" t="s">
        <v>1123</v>
      </c>
      <c r="E109" s="536" t="s">
        <v>1124</v>
      </c>
      <c r="F109" s="536" t="s">
        <v>1125</v>
      </c>
      <c r="G109" s="536" t="s">
        <v>1123</v>
      </c>
      <c r="H109" s="536" t="s">
        <v>1124</v>
      </c>
      <c r="I109" s="535" t="s">
        <v>1126</v>
      </c>
      <c r="J109" s="536" t="s">
        <v>495</v>
      </c>
      <c r="K109" s="536" t="s">
        <v>665</v>
      </c>
      <c r="L109" s="535" t="s">
        <v>1127</v>
      </c>
      <c r="M109" s="536" t="s">
        <v>1128</v>
      </c>
      <c r="N109" s="536"/>
      <c r="O109" s="535"/>
      <c r="P109" s="536"/>
      <c r="Q109" s="536"/>
      <c r="R109" s="540">
        <f ca="1">SUMIF(CPSX!$D$28:$W$106,'FORM OH'!$I$109,CPSX!K28:K106)</f>
        <v>13470846.533333333</v>
      </c>
      <c r="S109" s="540">
        <f ca="1">SUMIF(CPSX!$D$28:$W$106,'FORM OH'!$I$109,CPSX!L28:L106)</f>
        <v>13470846.533333333</v>
      </c>
      <c r="T109" s="540">
        <f ca="1">SUMIF(CPSX!$D$28:$W$106,'FORM OH'!$I$109,CPSX!M28:M106)</f>
        <v>13470846.533333333</v>
      </c>
      <c r="U109" s="540">
        <f ca="1">SUMIF(CPSX!$D$28:$W$106,'FORM OH'!$I$109,CPSX!N28:N106)</f>
        <v>13470846.533333333</v>
      </c>
      <c r="V109" s="540">
        <f ca="1">SUMIF(CPSX!$D$28:$W$106,'FORM OH'!$I$109,CPSX!O28:O106)</f>
        <v>13470846.533333333</v>
      </c>
      <c r="W109" s="540">
        <f ca="1">SUMIF(CPSX!$D$28:$W$106,'FORM OH'!$I$109,CPSX!P28:P106)</f>
        <v>13470846.533333333</v>
      </c>
      <c r="X109" s="540">
        <f ca="1">SUMIF(CPSX!$D$28:$W$106,'FORM OH'!$I$109,CPSX!Q28:Q106)</f>
        <v>13470846.533333333</v>
      </c>
      <c r="Y109" s="540">
        <f ca="1">SUMIF(CPSX!$D$28:$W$106,'FORM OH'!$I$109,CPSX!R28:R106)</f>
        <v>13470846.533333333</v>
      </c>
      <c r="Z109" s="540">
        <f ca="1">SUMIF(CPSX!$D$28:$W$106,'FORM OH'!$I$109,CPSX!S28:S106)</f>
        <v>13470846.533333333</v>
      </c>
      <c r="AA109" s="540">
        <f ca="1">SUMIF(CPSX!$D$28:$W$106,'FORM OH'!$I$109,CPSX!T28:T106)</f>
        <v>13470846.533333333</v>
      </c>
      <c r="AB109" s="540">
        <f ca="1">SUMIF(CPSX!$D$28:$W$106,'FORM OH'!$I$109,CPSX!U28:U106)</f>
        <v>13470846.533333333</v>
      </c>
      <c r="AC109" s="540">
        <f ca="1">SUMIF(CPSX!$D$28:$W$106,'FORM OH'!$I$109,CPSX!V28:V106)</f>
        <v>13470846.533333333</v>
      </c>
      <c r="AD109" s="537">
        <f t="shared" ref="AD109:AD150" ca="1" si="23">SUM(R109:AC109)</f>
        <v>161650158.40000001</v>
      </c>
      <c r="AF109" s="540">
        <f ca="1">SUMIF(CPSX!$D$28:$W$106,'FORM OH'!$I$109,CPSX!Y28:Y106)</f>
        <v>26941693.066666666</v>
      </c>
      <c r="AG109" s="540">
        <f ca="1">SUMIF(CPSX!$D$28:$W$106,'FORM OH'!$I$109,CPSX!Z28:Z106)</f>
        <v>26941693.066666666</v>
      </c>
      <c r="AH109" s="540">
        <f ca="1">SUMIF(CPSX!$D$28:$W$106,'FORM OH'!$I$109,CPSX!AA28:AA106)</f>
        <v>26941693.066666666</v>
      </c>
      <c r="AI109" s="540">
        <f ca="1">SUMIF(CPSX!$D$28:$W$106,'FORM OH'!$I$109,CPSX!AB28:AB106)</f>
        <v>26941693.066666666</v>
      </c>
      <c r="AJ109" s="540">
        <f ca="1">SUMIF(CPSX!$D$28:$W$106,'FORM OH'!$I$109,CPSX!AC28:AC106)</f>
        <v>26941693.066666666</v>
      </c>
      <c r="AK109" s="540">
        <f ca="1">SUMIF(CPSX!$D$28:$W$106,'FORM OH'!$I$109,CPSX!AD28:AD106)</f>
        <v>26941693.066666666</v>
      </c>
      <c r="AL109" s="540">
        <f ca="1">SUMIF(CPSX!$D$28:$W$106,'FORM OH'!$I$109,CPSX!AE28:AE106)</f>
        <v>26941693.066666666</v>
      </c>
      <c r="AM109" s="540">
        <f ca="1">SUMIF(CPSX!$D$28:$W$106,'FORM OH'!$I$109,CPSX!AF28:AF106)</f>
        <v>26941693.066666666</v>
      </c>
      <c r="AN109" s="540">
        <f ca="1">SUMIF(CPSX!$D$28:$W$106,'FORM OH'!$I$109,CPSX!AG28:AG106)</f>
        <v>26941693.066666666</v>
      </c>
      <c r="AO109" s="540">
        <f ca="1">SUMIF(CPSX!$D$28:$W$106,'FORM OH'!$I$109,CPSX!AH28:AH106)</f>
        <v>26941693.066666666</v>
      </c>
      <c r="AP109" s="540">
        <f ca="1">SUMIF(CPSX!$D$28:$W$106,'FORM OH'!$I$109,CPSX!AI28:AI106)</f>
        <v>26941693.066666666</v>
      </c>
      <c r="AQ109" s="540">
        <f ca="1">SUMIF(CPSX!$D$28:$W$106,'FORM OH'!$I$109,CPSX!AJ28:AJ106)</f>
        <v>26941693.066666666</v>
      </c>
      <c r="AR109" s="1284">
        <f t="shared" ca="1" si="18"/>
        <v>323300316.80000001</v>
      </c>
      <c r="AS109" s="719">
        <f t="shared" ca="1" si="15"/>
        <v>-161650158.40000001</v>
      </c>
      <c r="AT109" s="718">
        <f t="shared" ca="1" si="16"/>
        <v>-0.5</v>
      </c>
    </row>
    <row r="110" spans="1:46" s="533" customFormat="1" ht="16.399999999999999" customHeight="1" outlineLevel="1" x14ac:dyDescent="0.35">
      <c r="A110" s="534" t="s">
        <v>782</v>
      </c>
      <c r="B110" s="534" t="s">
        <v>783</v>
      </c>
      <c r="C110" s="535" t="s">
        <v>150</v>
      </c>
      <c r="D110" s="536" t="s">
        <v>1123</v>
      </c>
      <c r="E110" s="536" t="s">
        <v>1124</v>
      </c>
      <c r="F110" s="536" t="s">
        <v>1125</v>
      </c>
      <c r="G110" s="536" t="s">
        <v>1123</v>
      </c>
      <c r="H110" s="536" t="s">
        <v>1124</v>
      </c>
      <c r="I110" s="535" t="s">
        <v>1129</v>
      </c>
      <c r="J110" s="536" t="s">
        <v>666</v>
      </c>
      <c r="K110" s="536" t="s">
        <v>667</v>
      </c>
      <c r="L110" s="535" t="s">
        <v>1130</v>
      </c>
      <c r="M110" s="536" t="s">
        <v>1131</v>
      </c>
      <c r="N110" s="536"/>
      <c r="O110" s="535"/>
      <c r="P110" s="536"/>
      <c r="Q110" s="536"/>
      <c r="R110" s="540">
        <f ca="1">SUMIF(CPSX!$D$28:$W$106,'FORM OH'!$I$110,CPSX!K28:K106)</f>
        <v>0</v>
      </c>
      <c r="S110" s="540">
        <f ca="1">SUMIF(CPSX!$D$28:$W$106,'FORM OH'!$I$110,CPSX!L28:L106)</f>
        <v>0</v>
      </c>
      <c r="T110" s="540">
        <f ca="1">SUMIF(CPSX!$D$28:$W$106,'FORM OH'!$I$110,CPSX!M28:M106)</f>
        <v>0</v>
      </c>
      <c r="U110" s="540">
        <f ca="1">SUMIF(CPSX!$D$28:$W$106,'FORM OH'!$I$110,CPSX!N28:N106)</f>
        <v>0</v>
      </c>
      <c r="V110" s="540">
        <f ca="1">SUMIF(CPSX!$D$28:$W$106,'FORM OH'!$I$110,CPSX!O28:O106)</f>
        <v>0</v>
      </c>
      <c r="W110" s="540">
        <f ca="1">SUMIF(CPSX!$D$28:$W$106,'FORM OH'!$I$110,CPSX!P28:P106)</f>
        <v>0</v>
      </c>
      <c r="X110" s="540">
        <f ca="1">SUMIF(CPSX!$D$28:$W$106,'FORM OH'!$I$110,CPSX!Q28:Q106)</f>
        <v>0</v>
      </c>
      <c r="Y110" s="540">
        <f ca="1">SUMIF(CPSX!$D$28:$W$106,'FORM OH'!$I$110,CPSX!R28:R106)</f>
        <v>0</v>
      </c>
      <c r="Z110" s="540">
        <f ca="1">SUMIF(CPSX!$D$28:$W$106,'FORM OH'!$I$110,CPSX!S28:S106)</f>
        <v>0</v>
      </c>
      <c r="AA110" s="540">
        <f ca="1">SUMIF(CPSX!$D$28:$W$106,'FORM OH'!$I$110,CPSX!T28:T106)</f>
        <v>0</v>
      </c>
      <c r="AB110" s="540">
        <f ca="1">SUMIF(CPSX!$D$28:$W$106,'FORM OH'!$I$110,CPSX!U28:U106)</f>
        <v>0</v>
      </c>
      <c r="AC110" s="540">
        <f ca="1">SUMIF(CPSX!$D$28:$W$106,'FORM OH'!$I$110,CPSX!V28:V106)</f>
        <v>0</v>
      </c>
      <c r="AD110" s="537">
        <f t="shared" ca="1" si="23"/>
        <v>0</v>
      </c>
      <c r="AF110" s="540">
        <f ca="1">SUMIF(CPSX!$D$28:$W$106,'FORM OH'!$I$110,CPSX!Y28:Y106)</f>
        <v>0</v>
      </c>
      <c r="AG110" s="540">
        <f ca="1">SUMIF(CPSX!$D$28:$W$106,'FORM OH'!$I$110,CPSX!Z28:Z106)</f>
        <v>0</v>
      </c>
      <c r="AH110" s="540">
        <f ca="1">SUMIF(CPSX!$D$28:$W$106,'FORM OH'!$I$110,CPSX!AA28:AA106)</f>
        <v>0</v>
      </c>
      <c r="AI110" s="540">
        <f ca="1">SUMIF(CPSX!$D$28:$W$106,'FORM OH'!$I$110,CPSX!AB28:AB106)</f>
        <v>0</v>
      </c>
      <c r="AJ110" s="540">
        <f ca="1">SUMIF(CPSX!$D$28:$W$106,'FORM OH'!$I$110,CPSX!AC28:AC106)</f>
        <v>0</v>
      </c>
      <c r="AK110" s="540">
        <f ca="1">SUMIF(CPSX!$D$28:$W$106,'FORM OH'!$I$110,CPSX!AD28:AD106)</f>
        <v>0</v>
      </c>
      <c r="AL110" s="540">
        <f ca="1">SUMIF(CPSX!$D$28:$W$106,'FORM OH'!$I$110,CPSX!AE28:AE106)</f>
        <v>0</v>
      </c>
      <c r="AM110" s="540">
        <f ca="1">SUMIF(CPSX!$D$28:$W$106,'FORM OH'!$I$110,CPSX!AF28:AF106)</f>
        <v>0</v>
      </c>
      <c r="AN110" s="540">
        <f ca="1">SUMIF(CPSX!$D$28:$W$106,'FORM OH'!$I$110,CPSX!AG28:AG106)</f>
        <v>0</v>
      </c>
      <c r="AO110" s="540">
        <f ca="1">SUMIF(CPSX!$D$28:$W$106,'FORM OH'!$I$110,CPSX!AH28:AH106)</f>
        <v>0</v>
      </c>
      <c r="AP110" s="540">
        <f ca="1">SUMIF(CPSX!$D$28:$W$106,'FORM OH'!$I$110,CPSX!AI28:AI106)</f>
        <v>0</v>
      </c>
      <c r="AQ110" s="540">
        <f ca="1">SUMIF(CPSX!$D$28:$W$106,'FORM OH'!$I$110,CPSX!AJ28:AJ106)</f>
        <v>0</v>
      </c>
      <c r="AR110" s="1284">
        <f t="shared" ca="1" si="18"/>
        <v>0</v>
      </c>
      <c r="AS110" s="719">
        <f t="shared" ca="1" si="15"/>
        <v>0</v>
      </c>
      <c r="AT110" s="718">
        <f t="shared" ca="1" si="16"/>
        <v>0</v>
      </c>
    </row>
    <row r="111" spans="1:46" s="533" customFormat="1" ht="16.399999999999999" customHeight="1" outlineLevel="1" x14ac:dyDescent="0.35">
      <c r="A111" s="534" t="s">
        <v>782</v>
      </c>
      <c r="B111" s="534" t="s">
        <v>783</v>
      </c>
      <c r="C111" s="535" t="s">
        <v>150</v>
      </c>
      <c r="D111" s="536" t="s">
        <v>1123</v>
      </c>
      <c r="E111" s="536" t="s">
        <v>1124</v>
      </c>
      <c r="F111" s="536" t="s">
        <v>1125</v>
      </c>
      <c r="G111" s="536" t="s">
        <v>1123</v>
      </c>
      <c r="H111" s="536" t="s">
        <v>1124</v>
      </c>
      <c r="I111" s="535" t="s">
        <v>1132</v>
      </c>
      <c r="J111" s="536" t="s">
        <v>668</v>
      </c>
      <c r="K111" s="536" t="s">
        <v>667</v>
      </c>
      <c r="L111" s="535" t="s">
        <v>1133</v>
      </c>
      <c r="M111" s="536" t="s">
        <v>1134</v>
      </c>
      <c r="N111" s="536"/>
      <c r="O111" s="535"/>
      <c r="P111" s="536"/>
      <c r="Q111" s="536"/>
      <c r="R111" s="540">
        <f ca="1">SUMIF(CPSX!$D$28:$W$106,'FORM OH'!$I$111,CPSX!K28:K106)</f>
        <v>52196995.180555552</v>
      </c>
      <c r="S111" s="540">
        <f ca="1">SUMIF(CPSX!$D$28:$W$106,'FORM OH'!$I$111,CPSX!L28:L106)</f>
        <v>52196995.180555552</v>
      </c>
      <c r="T111" s="540">
        <f ca="1">SUMIF(CPSX!$D$28:$W$106,'FORM OH'!$I$111,CPSX!M28:M106)</f>
        <v>52196995.180555552</v>
      </c>
      <c r="U111" s="540">
        <f ca="1">SUMIF(CPSX!$D$28:$W$106,'FORM OH'!$I$111,CPSX!N28:N106)</f>
        <v>52196995.180555552</v>
      </c>
      <c r="V111" s="540">
        <f ca="1">SUMIF(CPSX!$D$28:$W$106,'FORM OH'!$I$111,CPSX!O28:O106)</f>
        <v>52196995.180555552</v>
      </c>
      <c r="W111" s="540">
        <f ca="1">SUMIF(CPSX!$D$28:$W$106,'FORM OH'!$I$111,CPSX!P28:P106)</f>
        <v>52196995.180555552</v>
      </c>
      <c r="X111" s="540">
        <f ca="1">SUMIF(CPSX!$D$28:$W$106,'FORM OH'!$I$111,CPSX!Q28:Q106)</f>
        <v>52196995.180555552</v>
      </c>
      <c r="Y111" s="540">
        <f ca="1">SUMIF(CPSX!$D$28:$W$106,'FORM OH'!$I$111,CPSX!R28:R106)</f>
        <v>52196995.180555552</v>
      </c>
      <c r="Z111" s="540">
        <f ca="1">SUMIF(CPSX!$D$28:$W$106,'FORM OH'!$I$111,CPSX!S28:S106)</f>
        <v>52196995.180555552</v>
      </c>
      <c r="AA111" s="540">
        <f ca="1">SUMIF(CPSX!$D$28:$W$106,'FORM OH'!$I$111,CPSX!T28:T106)</f>
        <v>52196995.180555552</v>
      </c>
      <c r="AB111" s="540">
        <f ca="1">SUMIF(CPSX!$D$28:$W$106,'FORM OH'!$I$111,CPSX!U28:U106)</f>
        <v>52196995.180555552</v>
      </c>
      <c r="AC111" s="540">
        <f ca="1">SUMIF(CPSX!$D$28:$W$106,'FORM OH'!$I$111,CPSX!V28:V106)</f>
        <v>52196995.180555552</v>
      </c>
      <c r="AD111" s="537">
        <f t="shared" ca="1" si="23"/>
        <v>626363942.16666675</v>
      </c>
      <c r="AF111" s="540">
        <f ca="1">SUMIF(CPSX!$D$28:$W$106,'FORM OH'!$I$111,CPSX!Y28:Y106)</f>
        <v>88822788.433333322</v>
      </c>
      <c r="AG111" s="540">
        <f ca="1">SUMIF(CPSX!$D$28:$W$106,'FORM OH'!$I$111,CPSX!Z28:Z106)</f>
        <v>88822788.433333322</v>
      </c>
      <c r="AH111" s="540">
        <f ca="1">SUMIF(CPSX!$D$28:$W$106,'FORM OH'!$I$111,CPSX!AA28:AA106)</f>
        <v>88822788.433333322</v>
      </c>
      <c r="AI111" s="540">
        <f ca="1">SUMIF(CPSX!$D$28:$W$106,'FORM OH'!$I$111,CPSX!AB28:AB106)</f>
        <v>100156121.76666665</v>
      </c>
      <c r="AJ111" s="540">
        <f ca="1">SUMIF(CPSX!$D$28:$W$106,'FORM OH'!$I$111,CPSX!AC28:AC106)</f>
        <v>94645372.099999994</v>
      </c>
      <c r="AK111" s="540">
        <f ca="1">SUMIF(CPSX!$D$28:$W$106,'FORM OH'!$I$111,CPSX!AD28:AD106)</f>
        <v>93322788.433333322</v>
      </c>
      <c r="AL111" s="540">
        <f ca="1">SUMIF(CPSX!$D$28:$W$106,'FORM OH'!$I$111,CPSX!AE28:AE106)</f>
        <v>93322788.433333322</v>
      </c>
      <c r="AM111" s="540">
        <f ca="1">SUMIF(CPSX!$D$28:$W$106,'FORM OH'!$I$111,CPSX!AF28:AF106)</f>
        <v>130239452.09999999</v>
      </c>
      <c r="AN111" s="540">
        <f ca="1">SUMIF(CPSX!$D$28:$W$106,'FORM OH'!$I$111,CPSX!AG28:AG106)</f>
        <v>112739455.09999999</v>
      </c>
      <c r="AO111" s="540">
        <f ca="1">SUMIF(CPSX!$D$28:$W$106,'FORM OH'!$I$111,CPSX!AH28:AH106)</f>
        <v>112739455.09999999</v>
      </c>
      <c r="AP111" s="540">
        <f ca="1">SUMIF(CPSX!$D$28:$W$106,'FORM OH'!$I$111,CPSX!AI28:AI106)</f>
        <v>112739455.09999999</v>
      </c>
      <c r="AQ111" s="540">
        <f ca="1">SUMIF(CPSX!$D$28:$W$106,'FORM OH'!$I$111,CPSX!AJ28:AJ106)</f>
        <v>112739455.09999999</v>
      </c>
      <c r="AR111" s="1284">
        <f t="shared" ca="1" si="18"/>
        <v>1229112708.5333331</v>
      </c>
      <c r="AS111" s="719">
        <f t="shared" ca="1" si="15"/>
        <v>-602748766.36666632</v>
      </c>
      <c r="AT111" s="718">
        <f t="shared" ca="1" si="16"/>
        <v>-0.49039340508154872</v>
      </c>
    </row>
    <row r="112" spans="1:46" s="533" customFormat="1" ht="16.399999999999999" customHeight="1" outlineLevel="1" x14ac:dyDescent="0.35">
      <c r="A112" s="534" t="s">
        <v>782</v>
      </c>
      <c r="B112" s="534" t="s">
        <v>783</v>
      </c>
      <c r="C112" s="535" t="s">
        <v>150</v>
      </c>
      <c r="D112" s="536" t="s">
        <v>1123</v>
      </c>
      <c r="E112" s="536" t="s">
        <v>1124</v>
      </c>
      <c r="F112" s="536" t="s">
        <v>1125</v>
      </c>
      <c r="G112" s="536" t="s">
        <v>1123</v>
      </c>
      <c r="H112" s="536" t="s">
        <v>1124</v>
      </c>
      <c r="I112" s="535" t="s">
        <v>1135</v>
      </c>
      <c r="J112" s="536" t="s">
        <v>497</v>
      </c>
      <c r="K112" s="536" t="s">
        <v>669</v>
      </c>
      <c r="L112" s="535" t="s">
        <v>1136</v>
      </c>
      <c r="M112" s="536" t="s">
        <v>1137</v>
      </c>
      <c r="N112" s="536"/>
      <c r="O112" s="535"/>
      <c r="P112" s="536"/>
      <c r="Q112" s="536"/>
      <c r="R112" s="540">
        <f ca="1">SUMIF(CPSX!$D$28:$W$106,'FORM OH'!$I$112,CPSX!K28:K106)</f>
        <v>509166.66666666669</v>
      </c>
      <c r="S112" s="540">
        <f ca="1">SUMIF(CPSX!$D$28:$W$106,'FORM OH'!$I$112,CPSX!L28:L106)</f>
        <v>509166.66666666669</v>
      </c>
      <c r="T112" s="540">
        <f ca="1">SUMIF(CPSX!$D$28:$W$106,'FORM OH'!$I$112,CPSX!M28:M106)</f>
        <v>509166.66666666669</v>
      </c>
      <c r="U112" s="540">
        <f ca="1">SUMIF(CPSX!$D$28:$W$106,'FORM OH'!$I$112,CPSX!N28:N106)</f>
        <v>509166.66666666669</v>
      </c>
      <c r="V112" s="540">
        <f ca="1">SUMIF(CPSX!$D$28:$W$106,'FORM OH'!$I$112,CPSX!O28:O106)</f>
        <v>509166.66666666669</v>
      </c>
      <c r="W112" s="540">
        <f ca="1">SUMIF(CPSX!$D$28:$W$106,'FORM OH'!$I$112,CPSX!P28:P106)</f>
        <v>509166.66666666669</v>
      </c>
      <c r="X112" s="540">
        <f ca="1">SUMIF(CPSX!$D$28:$W$106,'FORM OH'!$I$112,CPSX!Q28:Q106)</f>
        <v>509166.66666666669</v>
      </c>
      <c r="Y112" s="540">
        <f ca="1">SUMIF(CPSX!$D$28:$W$106,'FORM OH'!$I$112,CPSX!R28:R106)</f>
        <v>509166.66666666669</v>
      </c>
      <c r="Z112" s="540">
        <f ca="1">SUMIF(CPSX!$D$28:$W$106,'FORM OH'!$I$112,CPSX!S28:S106)</f>
        <v>509166.66666666669</v>
      </c>
      <c r="AA112" s="540">
        <f ca="1">SUMIF(CPSX!$D$28:$W$106,'FORM OH'!$I$112,CPSX!T28:T106)</f>
        <v>509166.66666666669</v>
      </c>
      <c r="AB112" s="540">
        <f ca="1">SUMIF(CPSX!$D$28:$W$106,'FORM OH'!$I$112,CPSX!U28:U106)</f>
        <v>509166.66666666669</v>
      </c>
      <c r="AC112" s="540">
        <f ca="1">SUMIF(CPSX!$D$28:$W$106,'FORM OH'!$I$112,CPSX!V28:V106)</f>
        <v>509166.66666666669</v>
      </c>
      <c r="AD112" s="537">
        <f t="shared" ca="1" si="23"/>
        <v>6110000.0000000009</v>
      </c>
      <c r="AF112" s="540">
        <f ca="1">SUMIF(CPSX!$D$28:$W$106,'FORM OH'!$I$112,CPSX!Y28:Y106)</f>
        <v>509166.66666666669</v>
      </c>
      <c r="AG112" s="540">
        <f ca="1">SUMIF(CPSX!$D$28:$W$106,'FORM OH'!$I$112,CPSX!Z28:Z106)</f>
        <v>509166.66666666669</v>
      </c>
      <c r="AH112" s="540">
        <f ca="1">SUMIF(CPSX!$D$28:$W$106,'FORM OH'!$I$112,CPSX!AA28:AA106)</f>
        <v>509166.66666666669</v>
      </c>
      <c r="AI112" s="540">
        <f ca="1">SUMIF(CPSX!$D$28:$W$106,'FORM OH'!$I$112,CPSX!AB28:AB106)</f>
        <v>509166.66666666669</v>
      </c>
      <c r="AJ112" s="540">
        <f ca="1">SUMIF(CPSX!$D$28:$W$106,'FORM OH'!$I$112,CPSX!AC28:AC106)</f>
        <v>509166.66666666669</v>
      </c>
      <c r="AK112" s="540">
        <f ca="1">SUMIF(CPSX!$D$28:$W$106,'FORM OH'!$I$112,CPSX!AD28:AD106)</f>
        <v>509166.66666666669</v>
      </c>
      <c r="AL112" s="540">
        <f ca="1">SUMIF(CPSX!$D$28:$W$106,'FORM OH'!$I$112,CPSX!AE28:AE106)</f>
        <v>509166.66666666669</v>
      </c>
      <c r="AM112" s="540">
        <f ca="1">SUMIF(CPSX!$D$28:$W$106,'FORM OH'!$I$112,CPSX!AF28:AF106)</f>
        <v>509166.66666666669</v>
      </c>
      <c r="AN112" s="540">
        <f ca="1">SUMIF(CPSX!$D$28:$W$106,'FORM OH'!$I$112,CPSX!AG28:AG106)</f>
        <v>509166.66666666669</v>
      </c>
      <c r="AO112" s="540">
        <f ca="1">SUMIF(CPSX!$D$28:$W$106,'FORM OH'!$I$112,CPSX!AH28:AH106)</f>
        <v>509166.66666666669</v>
      </c>
      <c r="AP112" s="540">
        <f ca="1">SUMIF(CPSX!$D$28:$W$106,'FORM OH'!$I$112,CPSX!AI28:AI106)</f>
        <v>509166.66666666669</v>
      </c>
      <c r="AQ112" s="540">
        <f ca="1">SUMIF(CPSX!$D$28:$W$106,'FORM OH'!$I$112,CPSX!AJ28:AJ106)</f>
        <v>509166.66666666669</v>
      </c>
      <c r="AR112" s="1284">
        <f t="shared" ca="1" si="18"/>
        <v>6110000.0000000009</v>
      </c>
      <c r="AS112" s="719">
        <f t="shared" ca="1" si="15"/>
        <v>0</v>
      </c>
      <c r="AT112" s="718">
        <f t="shared" ca="1" si="16"/>
        <v>0</v>
      </c>
    </row>
    <row r="113" spans="1:46" s="533" customFormat="1" ht="16.399999999999999" customHeight="1" outlineLevel="1" x14ac:dyDescent="0.35">
      <c r="A113" s="534" t="s">
        <v>782</v>
      </c>
      <c r="B113" s="534" t="s">
        <v>783</v>
      </c>
      <c r="C113" s="535" t="s">
        <v>150</v>
      </c>
      <c r="D113" s="536" t="s">
        <v>1123</v>
      </c>
      <c r="E113" s="536" t="s">
        <v>1124</v>
      </c>
      <c r="F113" s="536" t="s">
        <v>1125</v>
      </c>
      <c r="G113" s="536" t="s">
        <v>1123</v>
      </c>
      <c r="H113" s="536" t="s">
        <v>1124</v>
      </c>
      <c r="I113" s="535" t="s">
        <v>1138</v>
      </c>
      <c r="J113" s="536" t="s">
        <v>498</v>
      </c>
      <c r="K113" s="536" t="s">
        <v>670</v>
      </c>
      <c r="L113" s="535" t="s">
        <v>1139</v>
      </c>
      <c r="M113" s="536" t="s">
        <v>1140</v>
      </c>
      <c r="N113" s="536"/>
      <c r="O113" s="535"/>
      <c r="P113" s="536"/>
      <c r="Q113" s="536"/>
      <c r="R113" s="540">
        <f ca="1">SUMIF(CPSX!$D$28:$W$106,'FORM OH'!$I$113,CPSX!K28:K106)</f>
        <v>4824506.1749999998</v>
      </c>
      <c r="S113" s="540">
        <f ca="1">SUMIF(CPSX!$D$28:$W$106,'FORM OH'!$I$113,CPSX!L28:L106)</f>
        <v>4824506.1749999998</v>
      </c>
      <c r="T113" s="540">
        <f ca="1">SUMIF(CPSX!$D$28:$W$106,'FORM OH'!$I$113,CPSX!M28:M106)</f>
        <v>4824506.1749999998</v>
      </c>
      <c r="U113" s="540">
        <f ca="1">SUMIF(CPSX!$D$28:$W$106,'FORM OH'!$I$113,CPSX!N28:N106)</f>
        <v>4824506.1749999998</v>
      </c>
      <c r="V113" s="540">
        <f ca="1">SUMIF(CPSX!$D$28:$W$106,'FORM OH'!$I$113,CPSX!O28:O106)</f>
        <v>4824506.1749999998</v>
      </c>
      <c r="W113" s="540">
        <f ca="1">SUMIF(CPSX!$D$28:$W$106,'FORM OH'!$I$113,CPSX!P28:P106)</f>
        <v>4824506.1749999998</v>
      </c>
      <c r="X113" s="540">
        <f ca="1">SUMIF(CPSX!$D$28:$W$106,'FORM OH'!$I$113,CPSX!Q28:Q106)</f>
        <v>4824506.1749999998</v>
      </c>
      <c r="Y113" s="540">
        <f ca="1">SUMIF(CPSX!$D$28:$W$106,'FORM OH'!$I$113,CPSX!R28:R106)</f>
        <v>4824506.1749999998</v>
      </c>
      <c r="Z113" s="540">
        <f ca="1">SUMIF(CPSX!$D$28:$W$106,'FORM OH'!$I$113,CPSX!S28:S106)</f>
        <v>4824506.1749999998</v>
      </c>
      <c r="AA113" s="540">
        <f ca="1">SUMIF(CPSX!$D$28:$W$106,'FORM OH'!$I$113,CPSX!T28:T106)</f>
        <v>4824506.1749999998</v>
      </c>
      <c r="AB113" s="540">
        <f ca="1">SUMIF(CPSX!$D$28:$W$106,'FORM OH'!$I$113,CPSX!U28:U106)</f>
        <v>4824506.1749999998</v>
      </c>
      <c r="AC113" s="540">
        <f ca="1">SUMIF(CPSX!$D$28:$W$106,'FORM OH'!$I$113,CPSX!V28:V106)</f>
        <v>4824506.1749999998</v>
      </c>
      <c r="AD113" s="537">
        <f t="shared" ca="1" si="23"/>
        <v>57894074.099999987</v>
      </c>
      <c r="AF113" s="540">
        <f ca="1">SUMIF(CPSX!$D$28:$W$106,'FORM OH'!$I$113,CPSX!Y28:Y106)</f>
        <v>9649012.3499999996</v>
      </c>
      <c r="AG113" s="540">
        <f ca="1">SUMIF(CPSX!$D$28:$W$106,'FORM OH'!$I$113,CPSX!Z28:Z106)</f>
        <v>9649012.3499999996</v>
      </c>
      <c r="AH113" s="540">
        <f ca="1">SUMIF(CPSX!$D$28:$W$106,'FORM OH'!$I$113,CPSX!AA28:AA106)</f>
        <v>9649012.3499999996</v>
      </c>
      <c r="AI113" s="540">
        <f ca="1">SUMIF(CPSX!$D$28:$W$106,'FORM OH'!$I$113,CPSX!AB28:AB106)</f>
        <v>9649012.3499999996</v>
      </c>
      <c r="AJ113" s="540">
        <f ca="1">SUMIF(CPSX!$D$28:$W$106,'FORM OH'!$I$113,CPSX!AC28:AC106)</f>
        <v>9649012.3499999996</v>
      </c>
      <c r="AK113" s="540">
        <f ca="1">SUMIF(CPSX!$D$28:$W$106,'FORM OH'!$I$113,CPSX!AD28:AD106)</f>
        <v>9649012.3499999996</v>
      </c>
      <c r="AL113" s="540">
        <f ca="1">SUMIF(CPSX!$D$28:$W$106,'FORM OH'!$I$113,CPSX!AE28:AE106)</f>
        <v>9649012.3499999996</v>
      </c>
      <c r="AM113" s="540">
        <f ca="1">SUMIF(CPSX!$D$28:$W$106,'FORM OH'!$I$113,CPSX!AF28:AF106)</f>
        <v>9649012.3499999996</v>
      </c>
      <c r="AN113" s="540">
        <f ca="1">SUMIF(CPSX!$D$28:$W$106,'FORM OH'!$I$113,CPSX!AG28:AG106)</f>
        <v>9649012.3499999996</v>
      </c>
      <c r="AO113" s="540">
        <f ca="1">SUMIF(CPSX!$D$28:$W$106,'FORM OH'!$I$113,CPSX!AH28:AH106)</f>
        <v>9649012.3499999996</v>
      </c>
      <c r="AP113" s="540">
        <f ca="1">SUMIF(CPSX!$D$28:$W$106,'FORM OH'!$I$113,CPSX!AI28:AI106)</f>
        <v>9649012.3499999996</v>
      </c>
      <c r="AQ113" s="540">
        <f ca="1">SUMIF(CPSX!$D$28:$W$106,'FORM OH'!$I$113,CPSX!AJ28:AJ106)</f>
        <v>9649012.3499999996</v>
      </c>
      <c r="AR113" s="1284">
        <f t="shared" ca="1" si="18"/>
        <v>115788148.19999997</v>
      </c>
      <c r="AS113" s="719">
        <f t="shared" ca="1" si="15"/>
        <v>-57894074.099999987</v>
      </c>
      <c r="AT113" s="718">
        <f t="shared" ca="1" si="16"/>
        <v>-0.5</v>
      </c>
    </row>
    <row r="114" spans="1:46" s="533" customFormat="1" ht="16.399999999999999" customHeight="1" outlineLevel="1" x14ac:dyDescent="0.35">
      <c r="A114" s="534" t="s">
        <v>782</v>
      </c>
      <c r="B114" s="534" t="s">
        <v>783</v>
      </c>
      <c r="C114" s="535" t="s">
        <v>150</v>
      </c>
      <c r="D114" s="536" t="s">
        <v>1123</v>
      </c>
      <c r="E114" s="536" t="s">
        <v>1124</v>
      </c>
      <c r="F114" s="536" t="s">
        <v>1125</v>
      </c>
      <c r="G114" s="536" t="s">
        <v>1123</v>
      </c>
      <c r="H114" s="536" t="s">
        <v>1124</v>
      </c>
      <c r="I114" s="535" t="s">
        <v>1141</v>
      </c>
      <c r="J114" s="536" t="s">
        <v>671</v>
      </c>
      <c r="K114" s="536" t="s">
        <v>667</v>
      </c>
      <c r="L114" s="535" t="s">
        <v>1142</v>
      </c>
      <c r="M114" s="536" t="s">
        <v>1143</v>
      </c>
      <c r="N114" s="536"/>
      <c r="O114" s="535"/>
      <c r="P114" s="536"/>
      <c r="Q114" s="536"/>
      <c r="R114" s="540">
        <f ca="1">SUMIF(CPSX!$D$28:$W$106,'FORM OH'!$I$114,CPSX!K28:K106)</f>
        <v>10326015.208333334</v>
      </c>
      <c r="S114" s="540">
        <f ca="1">SUMIF(CPSX!$D$28:$W$106,'FORM OH'!$I$114,CPSX!L28:L106)</f>
        <v>10326015.208333334</v>
      </c>
      <c r="T114" s="540">
        <f ca="1">SUMIF(CPSX!$D$28:$W$106,'FORM OH'!$I$114,CPSX!M28:M106)</f>
        <v>10326015.208333334</v>
      </c>
      <c r="U114" s="540">
        <f ca="1">SUMIF(CPSX!$D$28:$W$106,'FORM OH'!$I$114,CPSX!N28:N106)</f>
        <v>10326015.208333334</v>
      </c>
      <c r="V114" s="540">
        <f ca="1">SUMIF(CPSX!$D$28:$W$106,'FORM OH'!$I$114,CPSX!O28:O106)</f>
        <v>10326015.208333334</v>
      </c>
      <c r="W114" s="540">
        <f ca="1">SUMIF(CPSX!$D$28:$W$106,'FORM OH'!$I$114,CPSX!P28:P106)</f>
        <v>10326015.208333334</v>
      </c>
      <c r="X114" s="540">
        <f ca="1">SUMIF(CPSX!$D$28:$W$106,'FORM OH'!$I$114,CPSX!Q28:Q106)</f>
        <v>10326015.208333334</v>
      </c>
      <c r="Y114" s="540">
        <f ca="1">SUMIF(CPSX!$D$28:$W$106,'FORM OH'!$I$114,CPSX!R28:R106)</f>
        <v>10326015.208333334</v>
      </c>
      <c r="Z114" s="540">
        <f ca="1">SUMIF(CPSX!$D$28:$W$106,'FORM OH'!$I$114,CPSX!S28:S106)</f>
        <v>10326015.208333334</v>
      </c>
      <c r="AA114" s="540">
        <f ca="1">SUMIF(CPSX!$D$28:$W$106,'FORM OH'!$I$114,CPSX!T28:T106)</f>
        <v>10326015.208333334</v>
      </c>
      <c r="AB114" s="540">
        <f ca="1">SUMIF(CPSX!$D$28:$W$106,'FORM OH'!$I$114,CPSX!U28:U106)</f>
        <v>10326015.208333334</v>
      </c>
      <c r="AC114" s="540">
        <f ca="1">SUMIF(CPSX!$D$28:$W$106,'FORM OH'!$I$114,CPSX!V28:V106)</f>
        <v>10326015.208333334</v>
      </c>
      <c r="AD114" s="537">
        <f t="shared" ca="1" si="23"/>
        <v>123912182.49999999</v>
      </c>
      <c r="AF114" s="540">
        <f ca="1">SUMIF(CPSX!$D$28:$W$106,'FORM OH'!$I$114,CPSX!Y28:Y106)</f>
        <v>19584373.095238097</v>
      </c>
      <c r="AG114" s="540">
        <f ca="1">SUMIF(CPSX!$D$28:$W$106,'FORM OH'!$I$114,CPSX!Z28:Z106)</f>
        <v>19542576.285714287</v>
      </c>
      <c r="AH114" s="540">
        <f ca="1">SUMIF(CPSX!$D$28:$W$106,'FORM OH'!$I$114,CPSX!AA28:AA106)</f>
        <v>19505610.30952381</v>
      </c>
      <c r="AI114" s="540">
        <f ca="1">SUMIF(CPSX!$D$28:$W$106,'FORM OH'!$I$114,CPSX!AB28:AB106)</f>
        <v>19496158.80952381</v>
      </c>
      <c r="AJ114" s="540">
        <f ca="1">SUMIF(CPSX!$D$28:$W$106,'FORM OH'!$I$114,CPSX!AC28:AC106)</f>
        <v>19552027.785714287</v>
      </c>
      <c r="AK114" s="540">
        <f ca="1">SUMIF(CPSX!$D$28:$W$106,'FORM OH'!$I$114,CPSX!AD28:AD106)</f>
        <v>19528504.119047619</v>
      </c>
      <c r="AL114" s="540">
        <f ca="1">SUMIF(CPSX!$D$28:$W$106,'FORM OH'!$I$114,CPSX!AE28:AE106)</f>
        <v>19496159.80952381</v>
      </c>
      <c r="AM114" s="540">
        <f ca="1">SUMIF(CPSX!$D$28:$W$106,'FORM OH'!$I$114,CPSX!AF28:AF106)</f>
        <v>19497208.979591839</v>
      </c>
      <c r="AN114" s="540">
        <f ca="1">SUMIF(CPSX!$D$28:$W$106,'FORM OH'!$I$114,CPSX!AG28:AG106)</f>
        <v>19496711.398526076</v>
      </c>
      <c r="AO114" s="540">
        <f ca="1">SUMIF(CPSX!$D$28:$W$106,'FORM OH'!$I$114,CPSX!AH28:AH106)</f>
        <v>19496271.327380951</v>
      </c>
      <c r="AP114" s="540">
        <f ca="1">SUMIF(CPSX!$D$28:$W$106,'FORM OH'!$I$114,CPSX!AI28:AI106)</f>
        <v>19496158.80952381</v>
      </c>
      <c r="AQ114" s="540">
        <f ca="1">SUMIF(CPSX!$D$28:$W$106,'FORM OH'!$I$114,CPSX!AJ28:AJ106)</f>
        <v>19496823.916383222</v>
      </c>
      <c r="AR114" s="1284">
        <f t="shared" ca="1" si="18"/>
        <v>234188584.64569163</v>
      </c>
      <c r="AS114" s="719">
        <f t="shared" ca="1" si="15"/>
        <v>-110276402.14569165</v>
      </c>
      <c r="AT114" s="718">
        <f t="shared" ca="1" si="16"/>
        <v>-0.47088717971685473</v>
      </c>
    </row>
    <row r="115" spans="1:46" s="533" customFormat="1" ht="16.399999999999999" customHeight="1" outlineLevel="1" x14ac:dyDescent="0.35">
      <c r="A115" s="534" t="s">
        <v>782</v>
      </c>
      <c r="B115" s="534" t="s">
        <v>783</v>
      </c>
      <c r="C115" s="535" t="s">
        <v>150</v>
      </c>
      <c r="D115" s="536" t="s">
        <v>1123</v>
      </c>
      <c r="E115" s="536" t="s">
        <v>1124</v>
      </c>
      <c r="F115" s="536" t="s">
        <v>1125</v>
      </c>
      <c r="G115" s="536" t="s">
        <v>1123</v>
      </c>
      <c r="H115" s="536" t="s">
        <v>1124</v>
      </c>
      <c r="I115" s="535" t="s">
        <v>1144</v>
      </c>
      <c r="J115" s="536" t="s">
        <v>672</v>
      </c>
      <c r="K115" s="536" t="s">
        <v>673</v>
      </c>
      <c r="L115" s="535" t="s">
        <v>1145</v>
      </c>
      <c r="M115" s="536" t="s">
        <v>1146</v>
      </c>
      <c r="N115" s="536"/>
      <c r="O115" s="535"/>
      <c r="P115" s="536"/>
      <c r="Q115" s="536"/>
      <c r="R115" s="540">
        <f ca="1">SUMIF(CPSX!$D$28:$W$106,'FORM OH'!$I$115,CPSX!K28:K106)</f>
        <v>0</v>
      </c>
      <c r="S115" s="540">
        <f ca="1">SUMIF(CPSX!$D$28:$W$106,'FORM OH'!$I$115,CPSX!L28:L106)</f>
        <v>0</v>
      </c>
      <c r="T115" s="540">
        <f ca="1">SUMIF(CPSX!$D$28:$W$106,'FORM OH'!$I$115,CPSX!M28:M106)</f>
        <v>0</v>
      </c>
      <c r="U115" s="540">
        <f ca="1">SUMIF(CPSX!$D$28:$W$106,'FORM OH'!$I$115,CPSX!N28:N106)</f>
        <v>0</v>
      </c>
      <c r="V115" s="540">
        <f ca="1">SUMIF(CPSX!$D$28:$W$106,'FORM OH'!$I$115,CPSX!O28:O106)</f>
        <v>0</v>
      </c>
      <c r="W115" s="540">
        <f ca="1">SUMIF(CPSX!$D$28:$W$106,'FORM OH'!$I$115,CPSX!P28:P106)</f>
        <v>0</v>
      </c>
      <c r="X115" s="540">
        <f ca="1">SUMIF(CPSX!$D$28:$W$106,'FORM OH'!$I$115,CPSX!Q28:Q106)</f>
        <v>0</v>
      </c>
      <c r="Y115" s="540">
        <f ca="1">SUMIF(CPSX!$D$28:$W$106,'FORM OH'!$I$115,CPSX!R28:R106)</f>
        <v>0</v>
      </c>
      <c r="Z115" s="540">
        <f ca="1">SUMIF(CPSX!$D$28:$W$106,'FORM OH'!$I$115,CPSX!S28:S106)</f>
        <v>0</v>
      </c>
      <c r="AA115" s="540">
        <f ca="1">SUMIF(CPSX!$D$28:$W$106,'FORM OH'!$I$115,CPSX!T28:T106)</f>
        <v>0</v>
      </c>
      <c r="AB115" s="540">
        <f ca="1">SUMIF(CPSX!$D$28:$W$106,'FORM OH'!$I$115,CPSX!U28:U106)</f>
        <v>0</v>
      </c>
      <c r="AC115" s="540">
        <f ca="1">SUMIF(CPSX!$D$28:$W$106,'FORM OH'!$I$115,CPSX!V28:V106)</f>
        <v>0</v>
      </c>
      <c r="AD115" s="537">
        <f t="shared" ca="1" si="23"/>
        <v>0</v>
      </c>
      <c r="AF115" s="540">
        <f ca="1">SUMIF(CPSX!$D$28:$W$106,'FORM OH'!$I$115,CPSX!Y28:Y106)</f>
        <v>0</v>
      </c>
      <c r="AG115" s="540">
        <f ca="1">SUMIF(CPSX!$D$28:$W$106,'FORM OH'!$I$115,CPSX!Z28:Z106)</f>
        <v>0</v>
      </c>
      <c r="AH115" s="540">
        <f ca="1">SUMIF(CPSX!$D$28:$W$106,'FORM OH'!$I$115,CPSX!AA28:AA106)</f>
        <v>0</v>
      </c>
      <c r="AI115" s="540">
        <f ca="1">SUMIF(CPSX!$D$28:$W$106,'FORM OH'!$I$115,CPSX!AB28:AB106)</f>
        <v>0</v>
      </c>
      <c r="AJ115" s="540">
        <f ca="1">SUMIF(CPSX!$D$28:$W$106,'FORM OH'!$I$115,CPSX!AC28:AC106)</f>
        <v>0</v>
      </c>
      <c r="AK115" s="540">
        <f ca="1">SUMIF(CPSX!$D$28:$W$106,'FORM OH'!$I$115,CPSX!AD28:AD106)</f>
        <v>0</v>
      </c>
      <c r="AL115" s="540">
        <f ca="1">SUMIF(CPSX!$D$28:$W$106,'FORM OH'!$I$115,CPSX!AE28:AE106)</f>
        <v>0</v>
      </c>
      <c r="AM115" s="540">
        <f ca="1">SUMIF(CPSX!$D$28:$W$106,'FORM OH'!$I$115,CPSX!AF28:AF106)</f>
        <v>0</v>
      </c>
      <c r="AN115" s="540">
        <f ca="1">SUMIF(CPSX!$D$28:$W$106,'FORM OH'!$I$115,CPSX!AG28:AG106)</f>
        <v>0</v>
      </c>
      <c r="AO115" s="540">
        <f ca="1">SUMIF(CPSX!$D$28:$W$106,'FORM OH'!$I$115,CPSX!AH28:AH106)</f>
        <v>0</v>
      </c>
      <c r="AP115" s="540">
        <f ca="1">SUMIF(CPSX!$D$28:$W$106,'FORM OH'!$I$115,CPSX!AI28:AI106)</f>
        <v>0</v>
      </c>
      <c r="AQ115" s="540">
        <f ca="1">SUMIF(CPSX!$D$28:$W$106,'FORM OH'!$I$115,CPSX!AJ28:AJ106)</f>
        <v>0</v>
      </c>
      <c r="AR115" s="1284">
        <f t="shared" ca="1" si="18"/>
        <v>0</v>
      </c>
      <c r="AS115" s="719">
        <f t="shared" ca="1" si="15"/>
        <v>0</v>
      </c>
      <c r="AT115" s="718">
        <f t="shared" ca="1" si="16"/>
        <v>0</v>
      </c>
    </row>
    <row r="116" spans="1:46" s="533" customFormat="1" ht="16.399999999999999" customHeight="1" outlineLevel="1" x14ac:dyDescent="0.35">
      <c r="A116" s="534" t="s">
        <v>782</v>
      </c>
      <c r="B116" s="534" t="s">
        <v>783</v>
      </c>
      <c r="C116" s="535" t="s">
        <v>150</v>
      </c>
      <c r="D116" s="536" t="s">
        <v>1123</v>
      </c>
      <c r="E116" s="536" t="s">
        <v>1124</v>
      </c>
      <c r="F116" s="536" t="s">
        <v>1125</v>
      </c>
      <c r="G116" s="536" t="s">
        <v>1123</v>
      </c>
      <c r="H116" s="536" t="s">
        <v>1124</v>
      </c>
      <c r="I116" s="535" t="s">
        <v>1147</v>
      </c>
      <c r="J116" s="536" t="s">
        <v>501</v>
      </c>
      <c r="K116" s="536" t="s">
        <v>674</v>
      </c>
      <c r="L116" s="535" t="s">
        <v>1148</v>
      </c>
      <c r="M116" s="536" t="s">
        <v>1149</v>
      </c>
      <c r="N116" s="536"/>
      <c r="O116" s="535"/>
      <c r="P116" s="536"/>
      <c r="Q116" s="536"/>
      <c r="R116" s="540">
        <f ca="1">SUMIF(CPSX!$D$28:$W$106,'FORM OH'!$I$116,CPSX!K28:K106)</f>
        <v>0</v>
      </c>
      <c r="S116" s="540">
        <f ca="1">SUMIF(CPSX!$D$28:$W$106,'FORM OH'!$I$116,CPSX!L28:L106)</f>
        <v>0</v>
      </c>
      <c r="T116" s="540">
        <f ca="1">SUMIF(CPSX!$D$28:$W$106,'FORM OH'!$I$116,CPSX!M28:M106)</f>
        <v>0</v>
      </c>
      <c r="U116" s="540">
        <f ca="1">SUMIF(CPSX!$D$28:$W$106,'FORM OH'!$I$116,CPSX!N28:N106)</f>
        <v>0</v>
      </c>
      <c r="V116" s="540">
        <f ca="1">SUMIF(CPSX!$D$28:$W$106,'FORM OH'!$I$116,CPSX!O28:O106)</f>
        <v>0</v>
      </c>
      <c r="W116" s="540">
        <f ca="1">SUMIF(CPSX!$D$28:$W$106,'FORM OH'!$I$116,CPSX!P28:P106)</f>
        <v>0</v>
      </c>
      <c r="X116" s="540">
        <f ca="1">SUMIF(CPSX!$D$28:$W$106,'FORM OH'!$I$116,CPSX!Q28:Q106)</f>
        <v>0</v>
      </c>
      <c r="Y116" s="540">
        <f ca="1">SUMIF(CPSX!$D$28:$W$106,'FORM OH'!$I$116,CPSX!R28:R106)</f>
        <v>0</v>
      </c>
      <c r="Z116" s="540">
        <f ca="1">SUMIF(CPSX!$D$28:$W$106,'FORM OH'!$I$116,CPSX!S28:S106)</f>
        <v>0</v>
      </c>
      <c r="AA116" s="540">
        <f ca="1">SUMIF(CPSX!$D$28:$W$106,'FORM OH'!$I$116,CPSX!T28:T106)</f>
        <v>0</v>
      </c>
      <c r="AB116" s="540">
        <f ca="1">SUMIF(CPSX!$D$28:$W$106,'FORM OH'!$I$116,CPSX!U28:U106)</f>
        <v>0</v>
      </c>
      <c r="AC116" s="540">
        <f ca="1">SUMIF(CPSX!$D$28:$W$106,'FORM OH'!$I$116,CPSX!V28:V106)</f>
        <v>0</v>
      </c>
      <c r="AD116" s="537">
        <f t="shared" ca="1" si="23"/>
        <v>0</v>
      </c>
      <c r="AF116" s="540">
        <f ca="1">SUMIF(CPSX!$D$28:$W$106,'FORM OH'!$I$116,CPSX!Y28:Y106)</f>
        <v>0</v>
      </c>
      <c r="AG116" s="540">
        <f ca="1">SUMIF(CPSX!$D$28:$W$106,'FORM OH'!$I$116,CPSX!Z28:Z106)</f>
        <v>0</v>
      </c>
      <c r="AH116" s="540">
        <f ca="1">SUMIF(CPSX!$D$28:$W$106,'FORM OH'!$I$116,CPSX!AA28:AA106)</f>
        <v>0</v>
      </c>
      <c r="AI116" s="540">
        <f ca="1">SUMIF(CPSX!$D$28:$W$106,'FORM OH'!$I$116,CPSX!AB28:AB106)</f>
        <v>0</v>
      </c>
      <c r="AJ116" s="540">
        <f ca="1">SUMIF(CPSX!$D$28:$W$106,'FORM OH'!$I$116,CPSX!AC28:AC106)</f>
        <v>0</v>
      </c>
      <c r="AK116" s="540">
        <f ca="1">SUMIF(CPSX!$D$28:$W$106,'FORM OH'!$I$116,CPSX!AD28:AD106)</f>
        <v>0</v>
      </c>
      <c r="AL116" s="540">
        <f ca="1">SUMIF(CPSX!$D$28:$W$106,'FORM OH'!$I$116,CPSX!AE28:AE106)</f>
        <v>0</v>
      </c>
      <c r="AM116" s="540">
        <f ca="1">SUMIF(CPSX!$D$28:$W$106,'FORM OH'!$I$116,CPSX!AF28:AF106)</f>
        <v>0</v>
      </c>
      <c r="AN116" s="540">
        <f ca="1">SUMIF(CPSX!$D$28:$W$106,'FORM OH'!$I$116,CPSX!AG28:AG106)</f>
        <v>0</v>
      </c>
      <c r="AO116" s="540">
        <f ca="1">SUMIF(CPSX!$D$28:$W$106,'FORM OH'!$I$116,CPSX!AH28:AH106)</f>
        <v>0</v>
      </c>
      <c r="AP116" s="540">
        <f ca="1">SUMIF(CPSX!$D$28:$W$106,'FORM OH'!$I$116,CPSX!AI28:AI106)</f>
        <v>0</v>
      </c>
      <c r="AQ116" s="540">
        <f ca="1">SUMIF(CPSX!$D$28:$W$106,'FORM OH'!$I$116,CPSX!AJ28:AJ106)</f>
        <v>0</v>
      </c>
      <c r="AR116" s="1284">
        <f t="shared" ca="1" si="18"/>
        <v>0</v>
      </c>
      <c r="AS116" s="719">
        <f t="shared" ca="1" si="15"/>
        <v>0</v>
      </c>
      <c r="AT116" s="718">
        <f t="shared" ca="1" si="16"/>
        <v>0</v>
      </c>
    </row>
    <row r="117" spans="1:46" s="533" customFormat="1" ht="16.399999999999999" customHeight="1" outlineLevel="1" x14ac:dyDescent="0.35">
      <c r="A117" s="534" t="s">
        <v>782</v>
      </c>
      <c r="B117" s="534" t="s">
        <v>783</v>
      </c>
      <c r="C117" s="535" t="s">
        <v>150</v>
      </c>
      <c r="D117" s="536" t="s">
        <v>1123</v>
      </c>
      <c r="E117" s="536" t="s">
        <v>1124</v>
      </c>
      <c r="F117" s="536" t="s">
        <v>1125</v>
      </c>
      <c r="G117" s="536" t="s">
        <v>1123</v>
      </c>
      <c r="H117" s="536" t="s">
        <v>1124</v>
      </c>
      <c r="I117" s="535" t="s">
        <v>1150</v>
      </c>
      <c r="J117" s="536" t="s">
        <v>502</v>
      </c>
      <c r="K117" s="536" t="s">
        <v>675</v>
      </c>
      <c r="L117" s="535" t="s">
        <v>1151</v>
      </c>
      <c r="M117" s="536" t="s">
        <v>1152</v>
      </c>
      <c r="N117" s="536"/>
      <c r="O117" s="535"/>
      <c r="P117" s="536"/>
      <c r="Q117" s="536"/>
      <c r="R117" s="540">
        <f ca="1">SUMIF(CPSX!$D$28:$W$106,'FORM OH'!$I$117,CPSX!K28:K106)</f>
        <v>0</v>
      </c>
      <c r="S117" s="540">
        <f ca="1">SUMIF(CPSX!$D$28:$W$106,'FORM OH'!$I$117,CPSX!L28:L106)</f>
        <v>0</v>
      </c>
      <c r="T117" s="540">
        <f ca="1">SUMIF(CPSX!$D$28:$W$106,'FORM OH'!$I$117,CPSX!M28:M106)</f>
        <v>0</v>
      </c>
      <c r="U117" s="540">
        <f ca="1">SUMIF(CPSX!$D$28:$W$106,'FORM OH'!$I$117,CPSX!N28:N106)</f>
        <v>0</v>
      </c>
      <c r="V117" s="540">
        <f ca="1">SUMIF(CPSX!$D$28:$W$106,'FORM OH'!$I$117,CPSX!O28:O106)</f>
        <v>0</v>
      </c>
      <c r="W117" s="540">
        <f ca="1">SUMIF(CPSX!$D$28:$W$106,'FORM OH'!$I$117,CPSX!P28:P106)</f>
        <v>0</v>
      </c>
      <c r="X117" s="540">
        <f ca="1">SUMIF(CPSX!$D$28:$W$106,'FORM OH'!$I$117,CPSX!Q28:Q106)</f>
        <v>0</v>
      </c>
      <c r="Y117" s="540">
        <f ca="1">SUMIF(CPSX!$D$28:$W$106,'FORM OH'!$I$117,CPSX!R28:R106)</f>
        <v>0</v>
      </c>
      <c r="Z117" s="540">
        <f ca="1">SUMIF(CPSX!$D$28:$W$106,'FORM OH'!$I$117,CPSX!S28:S106)</f>
        <v>0</v>
      </c>
      <c r="AA117" s="540">
        <f ca="1">SUMIF(CPSX!$D$28:$W$106,'FORM OH'!$I$117,CPSX!T28:T106)</f>
        <v>0</v>
      </c>
      <c r="AB117" s="540">
        <f ca="1">SUMIF(CPSX!$D$28:$W$106,'FORM OH'!$I$117,CPSX!U28:U106)</f>
        <v>0</v>
      </c>
      <c r="AC117" s="540">
        <f ca="1">SUMIF(CPSX!$D$28:$W$106,'FORM OH'!$I$117,CPSX!V28:V106)</f>
        <v>0</v>
      </c>
      <c r="AD117" s="537">
        <f t="shared" ca="1" si="23"/>
        <v>0</v>
      </c>
      <c r="AF117" s="540">
        <f ca="1">SUMIF(CPSX!$D$28:$W$106,'FORM OH'!$I$117,CPSX!Y28:Y106)</f>
        <v>0</v>
      </c>
      <c r="AG117" s="540">
        <f ca="1">SUMIF(CPSX!$D$28:$W$106,'FORM OH'!$I$117,CPSX!Z28:Z106)</f>
        <v>0</v>
      </c>
      <c r="AH117" s="540">
        <f ca="1">SUMIF(CPSX!$D$28:$W$106,'FORM OH'!$I$117,CPSX!AA28:AA106)</f>
        <v>0</v>
      </c>
      <c r="AI117" s="540">
        <f ca="1">SUMIF(CPSX!$D$28:$W$106,'FORM OH'!$I$117,CPSX!AB28:AB106)</f>
        <v>0</v>
      </c>
      <c r="AJ117" s="540">
        <f ca="1">SUMIF(CPSX!$D$28:$W$106,'FORM OH'!$I$117,CPSX!AC28:AC106)</f>
        <v>0</v>
      </c>
      <c r="AK117" s="540">
        <f ca="1">SUMIF(CPSX!$D$28:$W$106,'FORM OH'!$I$117,CPSX!AD28:AD106)</f>
        <v>0</v>
      </c>
      <c r="AL117" s="540">
        <f ca="1">SUMIF(CPSX!$D$28:$W$106,'FORM OH'!$I$117,CPSX!AE28:AE106)</f>
        <v>0</v>
      </c>
      <c r="AM117" s="540">
        <f ca="1">SUMIF(CPSX!$D$28:$W$106,'FORM OH'!$I$117,CPSX!AF28:AF106)</f>
        <v>0</v>
      </c>
      <c r="AN117" s="540">
        <f ca="1">SUMIF(CPSX!$D$28:$W$106,'FORM OH'!$I$117,CPSX!AG28:AG106)</f>
        <v>0</v>
      </c>
      <c r="AO117" s="540">
        <f ca="1">SUMIF(CPSX!$D$28:$W$106,'FORM OH'!$I$117,CPSX!AH28:AH106)</f>
        <v>0</v>
      </c>
      <c r="AP117" s="540">
        <f ca="1">SUMIF(CPSX!$D$28:$W$106,'FORM OH'!$I$117,CPSX!AI28:AI106)</f>
        <v>0</v>
      </c>
      <c r="AQ117" s="540">
        <f ca="1">SUMIF(CPSX!$D$28:$W$106,'FORM OH'!$I$117,CPSX!AJ28:AJ106)</f>
        <v>0</v>
      </c>
      <c r="AR117" s="1284">
        <f t="shared" ca="1" si="18"/>
        <v>0</v>
      </c>
      <c r="AS117" s="719">
        <f t="shared" ca="1" si="15"/>
        <v>0</v>
      </c>
      <c r="AT117" s="718">
        <f t="shared" ca="1" si="16"/>
        <v>0</v>
      </c>
    </row>
    <row r="118" spans="1:46" s="533" customFormat="1" ht="16.399999999999999" customHeight="1" outlineLevel="1" x14ac:dyDescent="0.35">
      <c r="A118" s="534" t="s">
        <v>782</v>
      </c>
      <c r="B118" s="534" t="s">
        <v>783</v>
      </c>
      <c r="C118" s="535" t="s">
        <v>150</v>
      </c>
      <c r="D118" s="536" t="s">
        <v>1123</v>
      </c>
      <c r="E118" s="536" t="s">
        <v>1124</v>
      </c>
      <c r="F118" s="536" t="s">
        <v>1125</v>
      </c>
      <c r="G118" s="536" t="s">
        <v>1123</v>
      </c>
      <c r="H118" s="536" t="s">
        <v>1124</v>
      </c>
      <c r="I118" s="535" t="s">
        <v>1153</v>
      </c>
      <c r="J118" s="536" t="s">
        <v>507</v>
      </c>
      <c r="K118" s="536" t="s">
        <v>676</v>
      </c>
      <c r="L118" s="535" t="s">
        <v>1154</v>
      </c>
      <c r="M118" s="536" t="s">
        <v>1155</v>
      </c>
      <c r="N118" s="536"/>
      <c r="O118" s="535"/>
      <c r="P118" s="536"/>
      <c r="Q118" s="536"/>
      <c r="R118" s="540">
        <f ca="1">SUMIF(CPSX!$D$28:$W$106,'FORM OH'!$I$118,CPSX!K28:K106)</f>
        <v>0</v>
      </c>
      <c r="S118" s="540">
        <f ca="1">SUMIF(CPSX!$D$28:$W$106,'FORM OH'!$I$118,CPSX!L28:L106)</f>
        <v>0</v>
      </c>
      <c r="T118" s="540">
        <f ca="1">SUMIF(CPSX!$D$28:$W$106,'FORM OH'!$I$118,CPSX!M28:M106)</f>
        <v>0</v>
      </c>
      <c r="U118" s="540">
        <f ca="1">SUMIF(CPSX!$D$28:$W$106,'FORM OH'!$I$118,CPSX!N28:N106)</f>
        <v>0</v>
      </c>
      <c r="V118" s="540">
        <f ca="1">SUMIF(CPSX!$D$28:$W$106,'FORM OH'!$I$118,CPSX!O28:O106)</f>
        <v>0</v>
      </c>
      <c r="W118" s="540">
        <f ca="1">SUMIF(CPSX!$D$28:$W$106,'FORM OH'!$I$118,CPSX!P28:P106)</f>
        <v>0</v>
      </c>
      <c r="X118" s="540">
        <f ca="1">SUMIF(CPSX!$D$28:$W$106,'FORM OH'!$I$118,CPSX!Q28:Q106)</f>
        <v>0</v>
      </c>
      <c r="Y118" s="540">
        <f ca="1">SUMIF(CPSX!$D$28:$W$106,'FORM OH'!$I$118,CPSX!R28:R106)</f>
        <v>0</v>
      </c>
      <c r="Z118" s="540">
        <f ca="1">SUMIF(CPSX!$D$28:$W$106,'FORM OH'!$I$118,CPSX!S28:S106)</f>
        <v>0</v>
      </c>
      <c r="AA118" s="540">
        <f ca="1">SUMIF(CPSX!$D$28:$W$106,'FORM OH'!$I$118,CPSX!T28:T106)</f>
        <v>0</v>
      </c>
      <c r="AB118" s="540">
        <f ca="1">SUMIF(CPSX!$D$28:$W$106,'FORM OH'!$I$118,CPSX!U28:U106)</f>
        <v>0</v>
      </c>
      <c r="AC118" s="540">
        <f ca="1">SUMIF(CPSX!$D$28:$W$106,'FORM OH'!$I$118,CPSX!V28:V106)</f>
        <v>0</v>
      </c>
      <c r="AD118" s="537">
        <f t="shared" ca="1" si="23"/>
        <v>0</v>
      </c>
      <c r="AF118" s="540">
        <f ca="1">SUMIF(CPSX!$D$28:$W$106,'FORM OH'!$I$118,CPSX!Y28:Y106)</f>
        <v>0</v>
      </c>
      <c r="AG118" s="540">
        <f ca="1">SUMIF(CPSX!$D$28:$W$106,'FORM OH'!$I$118,CPSX!Z28:Z106)</f>
        <v>0</v>
      </c>
      <c r="AH118" s="540">
        <f ca="1">SUMIF(CPSX!$D$28:$W$106,'FORM OH'!$I$118,CPSX!AA28:AA106)</f>
        <v>0</v>
      </c>
      <c r="AI118" s="540">
        <f ca="1">SUMIF(CPSX!$D$28:$W$106,'FORM OH'!$I$118,CPSX!AB28:AB106)</f>
        <v>0</v>
      </c>
      <c r="AJ118" s="540">
        <f ca="1">SUMIF(CPSX!$D$28:$W$106,'FORM OH'!$I$118,CPSX!AC28:AC106)</f>
        <v>0</v>
      </c>
      <c r="AK118" s="540">
        <f ca="1">SUMIF(CPSX!$D$28:$W$106,'FORM OH'!$I$118,CPSX!AD28:AD106)</f>
        <v>0</v>
      </c>
      <c r="AL118" s="540">
        <f ca="1">SUMIF(CPSX!$D$28:$W$106,'FORM OH'!$I$118,CPSX!AE28:AE106)</f>
        <v>0</v>
      </c>
      <c r="AM118" s="540">
        <f ca="1">SUMIF(CPSX!$D$28:$W$106,'FORM OH'!$I$118,CPSX!AF28:AF106)</f>
        <v>0</v>
      </c>
      <c r="AN118" s="540">
        <f ca="1">SUMIF(CPSX!$D$28:$W$106,'FORM OH'!$I$118,CPSX!AG28:AG106)</f>
        <v>0</v>
      </c>
      <c r="AO118" s="540">
        <f ca="1">SUMIF(CPSX!$D$28:$W$106,'FORM OH'!$I$118,CPSX!AH28:AH106)</f>
        <v>0</v>
      </c>
      <c r="AP118" s="540">
        <f ca="1">SUMIF(CPSX!$D$28:$W$106,'FORM OH'!$I$118,CPSX!AI28:AI106)</f>
        <v>0</v>
      </c>
      <c r="AQ118" s="540">
        <f ca="1">SUMIF(CPSX!$D$28:$W$106,'FORM OH'!$I$118,CPSX!AJ28:AJ106)</f>
        <v>0</v>
      </c>
      <c r="AR118" s="1284">
        <f t="shared" ca="1" si="18"/>
        <v>0</v>
      </c>
      <c r="AS118" s="719">
        <f t="shared" ca="1" si="15"/>
        <v>0</v>
      </c>
      <c r="AT118" s="718">
        <f t="shared" ca="1" si="16"/>
        <v>0</v>
      </c>
    </row>
    <row r="119" spans="1:46" s="533" customFormat="1" ht="16.399999999999999" customHeight="1" x14ac:dyDescent="0.35">
      <c r="A119" s="528" t="s">
        <v>782</v>
      </c>
      <c r="B119" s="528" t="s">
        <v>783</v>
      </c>
      <c r="C119" s="529" t="s">
        <v>1156</v>
      </c>
      <c r="D119" s="529"/>
      <c r="E119" s="529"/>
      <c r="F119" s="529"/>
      <c r="G119" s="529"/>
      <c r="H119" s="530" t="s">
        <v>1157</v>
      </c>
      <c r="I119" s="530" t="s">
        <v>1158</v>
      </c>
      <c r="J119" s="542"/>
      <c r="K119" s="529"/>
      <c r="L119" s="529"/>
      <c r="M119" s="529"/>
      <c r="N119" s="542"/>
      <c r="O119" s="530" t="s">
        <v>1158</v>
      </c>
      <c r="P119" s="542"/>
      <c r="Q119" s="542"/>
      <c r="R119" s="532">
        <f t="shared" ref="R119:AC119" si="24">SUM(R120:R132)</f>
        <v>0</v>
      </c>
      <c r="S119" s="532">
        <f t="shared" si="24"/>
        <v>0</v>
      </c>
      <c r="T119" s="532">
        <f t="shared" si="24"/>
        <v>0</v>
      </c>
      <c r="U119" s="532">
        <f t="shared" si="24"/>
        <v>0</v>
      </c>
      <c r="V119" s="532">
        <f t="shared" si="24"/>
        <v>0</v>
      </c>
      <c r="W119" s="532">
        <f t="shared" si="24"/>
        <v>0</v>
      </c>
      <c r="X119" s="532">
        <f t="shared" si="24"/>
        <v>0</v>
      </c>
      <c r="Y119" s="532">
        <f t="shared" si="24"/>
        <v>0</v>
      </c>
      <c r="Z119" s="532">
        <f t="shared" si="24"/>
        <v>0</v>
      </c>
      <c r="AA119" s="532">
        <f t="shared" si="24"/>
        <v>0</v>
      </c>
      <c r="AB119" s="532">
        <f t="shared" si="24"/>
        <v>0</v>
      </c>
      <c r="AC119" s="532">
        <f t="shared" si="24"/>
        <v>0</v>
      </c>
      <c r="AD119" s="532">
        <f t="shared" si="23"/>
        <v>0</v>
      </c>
      <c r="AF119" s="532">
        <f t="shared" ref="AF119:AR119" si="25">SUM(AF120:AF132)</f>
        <v>0</v>
      </c>
      <c r="AG119" s="532">
        <f t="shared" si="25"/>
        <v>0</v>
      </c>
      <c r="AH119" s="532">
        <f t="shared" si="25"/>
        <v>0</v>
      </c>
      <c r="AI119" s="532">
        <f t="shared" si="25"/>
        <v>0</v>
      </c>
      <c r="AJ119" s="532">
        <f t="shared" si="25"/>
        <v>0</v>
      </c>
      <c r="AK119" s="532">
        <f t="shared" si="25"/>
        <v>0</v>
      </c>
      <c r="AL119" s="532">
        <f t="shared" si="25"/>
        <v>0</v>
      </c>
      <c r="AM119" s="532">
        <f t="shared" si="25"/>
        <v>0</v>
      </c>
      <c r="AN119" s="532">
        <f t="shared" si="25"/>
        <v>0</v>
      </c>
      <c r="AO119" s="532">
        <f t="shared" si="25"/>
        <v>0</v>
      </c>
      <c r="AP119" s="532">
        <f t="shared" si="25"/>
        <v>0</v>
      </c>
      <c r="AQ119" s="532">
        <f t="shared" si="25"/>
        <v>0</v>
      </c>
      <c r="AR119" s="1283">
        <f t="shared" si="25"/>
        <v>0</v>
      </c>
      <c r="AS119" s="1283">
        <f t="shared" si="15"/>
        <v>0</v>
      </c>
      <c r="AT119" s="1298">
        <f t="shared" si="16"/>
        <v>0</v>
      </c>
    </row>
    <row r="120" spans="1:46" s="533" customFormat="1" ht="16.399999999999999" customHeight="1" outlineLevel="1" x14ac:dyDescent="0.35">
      <c r="A120" s="534" t="s">
        <v>782</v>
      </c>
      <c r="B120" s="534" t="s">
        <v>783</v>
      </c>
      <c r="C120" s="535" t="s">
        <v>1156</v>
      </c>
      <c r="D120" s="536" t="s">
        <v>195</v>
      </c>
      <c r="E120" s="536" t="s">
        <v>835</v>
      </c>
      <c r="F120" s="536" t="s">
        <v>836</v>
      </c>
      <c r="G120" s="536" t="s">
        <v>1159</v>
      </c>
      <c r="H120" s="536" t="s">
        <v>1160</v>
      </c>
      <c r="I120" s="535" t="s">
        <v>1161</v>
      </c>
      <c r="J120" s="536" t="s">
        <v>461</v>
      </c>
      <c r="K120" s="536" t="s">
        <v>569</v>
      </c>
      <c r="L120" s="535" t="s">
        <v>838</v>
      </c>
      <c r="M120" s="536" t="s">
        <v>839</v>
      </c>
      <c r="N120" s="536"/>
      <c r="O120" s="535"/>
      <c r="P120" s="536"/>
      <c r="Q120" s="536"/>
      <c r="R120" s="540"/>
      <c r="S120" s="537"/>
      <c r="T120" s="537"/>
      <c r="U120" s="537"/>
      <c r="V120" s="537"/>
      <c r="W120" s="537"/>
      <c r="X120" s="537"/>
      <c r="Y120" s="537"/>
      <c r="Z120" s="537"/>
      <c r="AA120" s="537"/>
      <c r="AB120" s="537"/>
      <c r="AC120" s="537"/>
      <c r="AD120" s="537">
        <f t="shared" si="23"/>
        <v>0</v>
      </c>
      <c r="AF120" s="541"/>
      <c r="AG120" s="541"/>
      <c r="AH120" s="541"/>
      <c r="AI120" s="541"/>
      <c r="AJ120" s="541"/>
      <c r="AK120" s="541"/>
      <c r="AL120" s="541"/>
      <c r="AM120" s="541"/>
      <c r="AN120" s="541"/>
      <c r="AO120" s="541"/>
      <c r="AP120" s="541"/>
      <c r="AQ120" s="541"/>
      <c r="AR120" s="1284">
        <f t="shared" si="18"/>
        <v>0</v>
      </c>
      <c r="AS120" s="719">
        <f t="shared" si="15"/>
        <v>0</v>
      </c>
      <c r="AT120" s="718">
        <f t="shared" si="16"/>
        <v>0</v>
      </c>
    </row>
    <row r="121" spans="1:46" s="533" customFormat="1" ht="16.399999999999999" customHeight="1" outlineLevel="1" x14ac:dyDescent="0.35">
      <c r="A121" s="534" t="s">
        <v>782</v>
      </c>
      <c r="B121" s="534" t="s">
        <v>783</v>
      </c>
      <c r="C121" s="535" t="s">
        <v>1156</v>
      </c>
      <c r="D121" s="536" t="s">
        <v>195</v>
      </c>
      <c r="E121" s="536" t="s">
        <v>835</v>
      </c>
      <c r="F121" s="536" t="s">
        <v>836</v>
      </c>
      <c r="G121" s="536" t="s">
        <v>1159</v>
      </c>
      <c r="H121" s="536" t="s">
        <v>1160</v>
      </c>
      <c r="I121" s="535" t="s">
        <v>1162</v>
      </c>
      <c r="J121" s="536" t="s">
        <v>462</v>
      </c>
      <c r="K121" s="536" t="s">
        <v>574</v>
      </c>
      <c r="L121" s="535" t="s">
        <v>840</v>
      </c>
      <c r="M121" s="536" t="s">
        <v>841</v>
      </c>
      <c r="N121" s="536"/>
      <c r="O121" s="535"/>
      <c r="P121" s="536"/>
      <c r="Q121" s="536"/>
      <c r="R121" s="540"/>
      <c r="S121" s="537"/>
      <c r="T121" s="537"/>
      <c r="U121" s="537"/>
      <c r="V121" s="537"/>
      <c r="W121" s="537"/>
      <c r="X121" s="537"/>
      <c r="Y121" s="537"/>
      <c r="Z121" s="537"/>
      <c r="AA121" s="537"/>
      <c r="AB121" s="537"/>
      <c r="AC121" s="537"/>
      <c r="AD121" s="537">
        <f t="shared" si="23"/>
        <v>0</v>
      </c>
      <c r="AF121" s="541"/>
      <c r="AG121" s="541"/>
      <c r="AH121" s="541"/>
      <c r="AI121" s="541"/>
      <c r="AJ121" s="541"/>
      <c r="AK121" s="541"/>
      <c r="AL121" s="541"/>
      <c r="AM121" s="541"/>
      <c r="AN121" s="541"/>
      <c r="AO121" s="541"/>
      <c r="AP121" s="541"/>
      <c r="AQ121" s="541"/>
      <c r="AR121" s="1284">
        <f t="shared" si="18"/>
        <v>0</v>
      </c>
      <c r="AS121" s="719">
        <f t="shared" si="15"/>
        <v>0</v>
      </c>
      <c r="AT121" s="718">
        <f t="shared" si="16"/>
        <v>0</v>
      </c>
    </row>
    <row r="122" spans="1:46" s="533" customFormat="1" ht="16.399999999999999" customHeight="1" outlineLevel="1" x14ac:dyDescent="0.35">
      <c r="A122" s="534" t="s">
        <v>782</v>
      </c>
      <c r="B122" s="534" t="s">
        <v>783</v>
      </c>
      <c r="C122" s="535" t="s">
        <v>1156</v>
      </c>
      <c r="D122" s="536" t="s">
        <v>195</v>
      </c>
      <c r="E122" s="536" t="s">
        <v>835</v>
      </c>
      <c r="F122" s="536" t="s">
        <v>842</v>
      </c>
      <c r="G122" s="536" t="s">
        <v>1159</v>
      </c>
      <c r="H122" s="536" t="s">
        <v>1160</v>
      </c>
      <c r="I122" s="535" t="s">
        <v>1163</v>
      </c>
      <c r="J122" s="536" t="s">
        <v>463</v>
      </c>
      <c r="K122" s="536" t="s">
        <v>570</v>
      </c>
      <c r="L122" s="535" t="s">
        <v>794</v>
      </c>
      <c r="M122" s="536" t="s">
        <v>795</v>
      </c>
      <c r="N122" s="536"/>
      <c r="O122" s="535"/>
      <c r="P122" s="536"/>
      <c r="Q122" s="536"/>
      <c r="R122" s="540"/>
      <c r="S122" s="537"/>
      <c r="T122" s="537"/>
      <c r="U122" s="537"/>
      <c r="V122" s="537"/>
      <c r="W122" s="537"/>
      <c r="X122" s="537"/>
      <c r="Y122" s="537"/>
      <c r="Z122" s="537"/>
      <c r="AA122" s="537"/>
      <c r="AB122" s="537"/>
      <c r="AC122" s="537"/>
      <c r="AD122" s="537">
        <f t="shared" si="23"/>
        <v>0</v>
      </c>
      <c r="AF122" s="541"/>
      <c r="AG122" s="541"/>
      <c r="AH122" s="541"/>
      <c r="AI122" s="541"/>
      <c r="AJ122" s="541"/>
      <c r="AK122" s="541"/>
      <c r="AL122" s="541"/>
      <c r="AM122" s="541"/>
      <c r="AN122" s="541"/>
      <c r="AO122" s="541"/>
      <c r="AP122" s="541"/>
      <c r="AQ122" s="541"/>
      <c r="AR122" s="1284">
        <f t="shared" si="18"/>
        <v>0</v>
      </c>
      <c r="AS122" s="719">
        <f t="shared" si="15"/>
        <v>0</v>
      </c>
      <c r="AT122" s="718">
        <f t="shared" si="16"/>
        <v>0</v>
      </c>
    </row>
    <row r="123" spans="1:46" s="533" customFormat="1" ht="16.399999999999999" customHeight="1" outlineLevel="1" x14ac:dyDescent="0.35">
      <c r="A123" s="534" t="s">
        <v>782</v>
      </c>
      <c r="B123" s="534" t="s">
        <v>783</v>
      </c>
      <c r="C123" s="535" t="s">
        <v>1156</v>
      </c>
      <c r="D123" s="536" t="s">
        <v>195</v>
      </c>
      <c r="E123" s="536" t="s">
        <v>835</v>
      </c>
      <c r="F123" s="536" t="s">
        <v>843</v>
      </c>
      <c r="G123" s="536" t="s">
        <v>1159</v>
      </c>
      <c r="H123" s="536" t="s">
        <v>844</v>
      </c>
      <c r="I123" s="535" t="s">
        <v>1164</v>
      </c>
      <c r="J123" s="536" t="s">
        <v>1165</v>
      </c>
      <c r="K123" s="536" t="s">
        <v>574</v>
      </c>
      <c r="L123" s="535" t="s">
        <v>845</v>
      </c>
      <c r="M123" s="536" t="s">
        <v>846</v>
      </c>
      <c r="N123" s="536"/>
      <c r="O123" s="535"/>
      <c r="P123" s="536"/>
      <c r="Q123" s="536"/>
      <c r="R123" s="540"/>
      <c r="S123" s="537"/>
      <c r="T123" s="537"/>
      <c r="U123" s="537"/>
      <c r="V123" s="537"/>
      <c r="W123" s="537"/>
      <c r="X123" s="537"/>
      <c r="Y123" s="537"/>
      <c r="Z123" s="537"/>
      <c r="AA123" s="537"/>
      <c r="AB123" s="537"/>
      <c r="AC123" s="537"/>
      <c r="AD123" s="537">
        <f t="shared" si="23"/>
        <v>0</v>
      </c>
      <c r="AF123" s="541"/>
      <c r="AG123" s="541"/>
      <c r="AH123" s="541"/>
      <c r="AI123" s="541"/>
      <c r="AJ123" s="541"/>
      <c r="AK123" s="541"/>
      <c r="AL123" s="541"/>
      <c r="AM123" s="541"/>
      <c r="AN123" s="541"/>
      <c r="AO123" s="541"/>
      <c r="AP123" s="541"/>
      <c r="AQ123" s="541"/>
      <c r="AR123" s="1284">
        <f t="shared" si="18"/>
        <v>0</v>
      </c>
      <c r="AS123" s="719">
        <f t="shared" si="15"/>
        <v>0</v>
      </c>
      <c r="AT123" s="718">
        <f t="shared" si="16"/>
        <v>0</v>
      </c>
    </row>
    <row r="124" spans="1:46" s="533" customFormat="1" ht="16.399999999999999" customHeight="1" outlineLevel="1" x14ac:dyDescent="0.35">
      <c r="A124" s="534" t="s">
        <v>782</v>
      </c>
      <c r="B124" s="534" t="s">
        <v>783</v>
      </c>
      <c r="C124" s="535" t="s">
        <v>1156</v>
      </c>
      <c r="D124" s="536" t="s">
        <v>195</v>
      </c>
      <c r="E124" s="536" t="s">
        <v>835</v>
      </c>
      <c r="F124" s="536" t="s">
        <v>847</v>
      </c>
      <c r="G124" s="536" t="s">
        <v>1159</v>
      </c>
      <c r="H124" s="536" t="s">
        <v>848</v>
      </c>
      <c r="I124" s="535" t="s">
        <v>1166</v>
      </c>
      <c r="J124" s="536" t="s">
        <v>465</v>
      </c>
      <c r="K124" s="536" t="s">
        <v>570</v>
      </c>
      <c r="L124" s="535" t="s">
        <v>802</v>
      </c>
      <c r="M124" s="536" t="s">
        <v>803</v>
      </c>
      <c r="N124" s="536"/>
      <c r="O124" s="535"/>
      <c r="P124" s="536"/>
      <c r="Q124" s="536"/>
      <c r="R124" s="540"/>
      <c r="S124" s="537"/>
      <c r="T124" s="537"/>
      <c r="U124" s="537"/>
      <c r="V124" s="537"/>
      <c r="W124" s="537"/>
      <c r="X124" s="537"/>
      <c r="Y124" s="537"/>
      <c r="Z124" s="537"/>
      <c r="AA124" s="537"/>
      <c r="AB124" s="537"/>
      <c r="AC124" s="537"/>
      <c r="AD124" s="537">
        <f t="shared" si="23"/>
        <v>0</v>
      </c>
      <c r="AF124" s="541"/>
      <c r="AG124" s="541"/>
      <c r="AH124" s="541"/>
      <c r="AI124" s="541"/>
      <c r="AJ124" s="541"/>
      <c r="AK124" s="541"/>
      <c r="AL124" s="541"/>
      <c r="AM124" s="541"/>
      <c r="AN124" s="541"/>
      <c r="AO124" s="541"/>
      <c r="AP124" s="541"/>
      <c r="AQ124" s="541"/>
      <c r="AR124" s="1284">
        <f t="shared" si="18"/>
        <v>0</v>
      </c>
      <c r="AS124" s="719">
        <f t="shared" si="15"/>
        <v>0</v>
      </c>
      <c r="AT124" s="718">
        <f t="shared" si="16"/>
        <v>0</v>
      </c>
    </row>
    <row r="125" spans="1:46" s="533" customFormat="1" ht="16.399999999999999" customHeight="1" outlineLevel="1" x14ac:dyDescent="0.35">
      <c r="A125" s="534" t="s">
        <v>782</v>
      </c>
      <c r="B125" s="534" t="s">
        <v>783</v>
      </c>
      <c r="C125" s="535" t="s">
        <v>1156</v>
      </c>
      <c r="D125" s="536" t="s">
        <v>195</v>
      </c>
      <c r="E125" s="536" t="s">
        <v>835</v>
      </c>
      <c r="F125" s="536" t="s">
        <v>847</v>
      </c>
      <c r="G125" s="536" t="s">
        <v>1159</v>
      </c>
      <c r="H125" s="536" t="s">
        <v>848</v>
      </c>
      <c r="I125" s="535" t="s">
        <v>1167</v>
      </c>
      <c r="J125" s="536" t="s">
        <v>584</v>
      </c>
      <c r="K125" s="536" t="s">
        <v>574</v>
      </c>
      <c r="L125" s="535" t="s">
        <v>804</v>
      </c>
      <c r="M125" s="536"/>
      <c r="N125" s="536"/>
      <c r="O125" s="535"/>
      <c r="P125" s="536"/>
      <c r="Q125" s="536"/>
      <c r="R125" s="540"/>
      <c r="S125" s="537"/>
      <c r="T125" s="537"/>
      <c r="U125" s="537"/>
      <c r="V125" s="537"/>
      <c r="W125" s="537"/>
      <c r="X125" s="537"/>
      <c r="Y125" s="537"/>
      <c r="Z125" s="537"/>
      <c r="AA125" s="537"/>
      <c r="AB125" s="537"/>
      <c r="AC125" s="537"/>
      <c r="AD125" s="537">
        <f t="shared" si="23"/>
        <v>0</v>
      </c>
      <c r="AF125" s="541"/>
      <c r="AG125" s="541"/>
      <c r="AH125" s="541"/>
      <c r="AI125" s="541"/>
      <c r="AJ125" s="541"/>
      <c r="AK125" s="541"/>
      <c r="AL125" s="541"/>
      <c r="AM125" s="541"/>
      <c r="AN125" s="541"/>
      <c r="AO125" s="541"/>
      <c r="AP125" s="541"/>
      <c r="AQ125" s="541"/>
      <c r="AR125" s="1284">
        <f t="shared" si="18"/>
        <v>0</v>
      </c>
      <c r="AS125" s="719">
        <f t="shared" si="15"/>
        <v>0</v>
      </c>
      <c r="AT125" s="718">
        <f t="shared" si="16"/>
        <v>0</v>
      </c>
    </row>
    <row r="126" spans="1:46" s="533" customFormat="1" ht="16.399999999999999" customHeight="1" outlineLevel="1" x14ac:dyDescent="0.35">
      <c r="A126" s="534" t="s">
        <v>782</v>
      </c>
      <c r="B126" s="534" t="s">
        <v>783</v>
      </c>
      <c r="C126" s="535" t="s">
        <v>1156</v>
      </c>
      <c r="D126" s="536" t="s">
        <v>195</v>
      </c>
      <c r="E126" s="536" t="s">
        <v>835</v>
      </c>
      <c r="F126" s="536" t="s">
        <v>849</v>
      </c>
      <c r="G126" s="536" t="s">
        <v>1159</v>
      </c>
      <c r="H126" s="536" t="s">
        <v>850</v>
      </c>
      <c r="I126" s="535" t="s">
        <v>1168</v>
      </c>
      <c r="J126" s="536" t="s">
        <v>466</v>
      </c>
      <c r="K126" s="536" t="s">
        <v>574</v>
      </c>
      <c r="L126" s="535" t="s">
        <v>807</v>
      </c>
      <c r="M126" s="536" t="s">
        <v>808</v>
      </c>
      <c r="N126" s="536"/>
      <c r="O126" s="535"/>
      <c r="P126" s="536"/>
      <c r="Q126" s="536"/>
      <c r="R126" s="540"/>
      <c r="S126" s="537"/>
      <c r="T126" s="537"/>
      <c r="U126" s="537"/>
      <c r="V126" s="537"/>
      <c r="W126" s="537"/>
      <c r="X126" s="537"/>
      <c r="Y126" s="537"/>
      <c r="Z126" s="537"/>
      <c r="AA126" s="537"/>
      <c r="AB126" s="537"/>
      <c r="AC126" s="537"/>
      <c r="AD126" s="537">
        <f t="shared" si="23"/>
        <v>0</v>
      </c>
      <c r="AF126" s="541"/>
      <c r="AG126" s="541"/>
      <c r="AH126" s="541"/>
      <c r="AI126" s="541"/>
      <c r="AJ126" s="541"/>
      <c r="AK126" s="541"/>
      <c r="AL126" s="541"/>
      <c r="AM126" s="541"/>
      <c r="AN126" s="541"/>
      <c r="AO126" s="541"/>
      <c r="AP126" s="541"/>
      <c r="AQ126" s="541"/>
      <c r="AR126" s="1284">
        <f t="shared" si="18"/>
        <v>0</v>
      </c>
      <c r="AS126" s="719">
        <f t="shared" si="15"/>
        <v>0</v>
      </c>
      <c r="AT126" s="718">
        <f t="shared" si="16"/>
        <v>0</v>
      </c>
    </row>
    <row r="127" spans="1:46" s="533" customFormat="1" ht="16.399999999999999" customHeight="1" outlineLevel="1" x14ac:dyDescent="0.35">
      <c r="A127" s="534" t="s">
        <v>782</v>
      </c>
      <c r="B127" s="534" t="s">
        <v>783</v>
      </c>
      <c r="C127" s="535" t="s">
        <v>1156</v>
      </c>
      <c r="D127" s="536" t="s">
        <v>195</v>
      </c>
      <c r="E127" s="536" t="s">
        <v>835</v>
      </c>
      <c r="F127" s="536" t="s">
        <v>849</v>
      </c>
      <c r="G127" s="536" t="s">
        <v>1159</v>
      </c>
      <c r="H127" s="536" t="s">
        <v>850</v>
      </c>
      <c r="I127" s="535" t="s">
        <v>1169</v>
      </c>
      <c r="J127" s="536" t="s">
        <v>851</v>
      </c>
      <c r="K127" s="536" t="s">
        <v>574</v>
      </c>
      <c r="L127" s="535" t="s">
        <v>852</v>
      </c>
      <c r="M127" s="536" t="s">
        <v>853</v>
      </c>
      <c r="N127" s="536"/>
      <c r="O127" s="535"/>
      <c r="P127" s="536"/>
      <c r="Q127" s="536"/>
      <c r="R127" s="540"/>
      <c r="S127" s="537"/>
      <c r="T127" s="537"/>
      <c r="U127" s="537"/>
      <c r="V127" s="537"/>
      <c r="W127" s="537"/>
      <c r="X127" s="537"/>
      <c r="Y127" s="537"/>
      <c r="Z127" s="537"/>
      <c r="AA127" s="537"/>
      <c r="AB127" s="537"/>
      <c r="AC127" s="537"/>
      <c r="AD127" s="537">
        <f t="shared" si="23"/>
        <v>0</v>
      </c>
      <c r="AF127" s="541"/>
      <c r="AG127" s="541"/>
      <c r="AH127" s="541"/>
      <c r="AI127" s="541"/>
      <c r="AJ127" s="541"/>
      <c r="AK127" s="541"/>
      <c r="AL127" s="541"/>
      <c r="AM127" s="541"/>
      <c r="AN127" s="541"/>
      <c r="AO127" s="541"/>
      <c r="AP127" s="541"/>
      <c r="AQ127" s="541"/>
      <c r="AR127" s="1284">
        <f t="shared" si="18"/>
        <v>0</v>
      </c>
      <c r="AS127" s="719">
        <f t="shared" si="15"/>
        <v>0</v>
      </c>
      <c r="AT127" s="718">
        <f t="shared" si="16"/>
        <v>0</v>
      </c>
    </row>
    <row r="128" spans="1:46" s="533" customFormat="1" ht="16.399999999999999" customHeight="1" outlineLevel="1" x14ac:dyDescent="0.35">
      <c r="A128" s="534" t="s">
        <v>782</v>
      </c>
      <c r="B128" s="534" t="s">
        <v>783</v>
      </c>
      <c r="C128" s="535" t="s">
        <v>1156</v>
      </c>
      <c r="D128" s="536" t="s">
        <v>195</v>
      </c>
      <c r="E128" s="536" t="s">
        <v>835</v>
      </c>
      <c r="F128" s="536" t="s">
        <v>849</v>
      </c>
      <c r="G128" s="536" t="s">
        <v>1159</v>
      </c>
      <c r="H128" s="536" t="s">
        <v>850</v>
      </c>
      <c r="I128" s="535" t="s">
        <v>1170</v>
      </c>
      <c r="J128" s="536" t="s">
        <v>855</v>
      </c>
      <c r="K128" s="536" t="s">
        <v>811</v>
      </c>
      <c r="L128" s="535" t="s">
        <v>812</v>
      </c>
      <c r="M128" s="536" t="s">
        <v>813</v>
      </c>
      <c r="N128" s="536"/>
      <c r="O128" s="535"/>
      <c r="P128" s="536"/>
      <c r="Q128" s="536"/>
      <c r="R128" s="540"/>
      <c r="S128" s="537"/>
      <c r="T128" s="537"/>
      <c r="U128" s="537"/>
      <c r="V128" s="537"/>
      <c r="W128" s="537"/>
      <c r="X128" s="537"/>
      <c r="Y128" s="537"/>
      <c r="Z128" s="537"/>
      <c r="AA128" s="537"/>
      <c r="AB128" s="537"/>
      <c r="AC128" s="537"/>
      <c r="AD128" s="537">
        <f t="shared" si="23"/>
        <v>0</v>
      </c>
      <c r="AF128" s="541"/>
      <c r="AG128" s="541"/>
      <c r="AH128" s="541"/>
      <c r="AI128" s="541"/>
      <c r="AJ128" s="541"/>
      <c r="AK128" s="541"/>
      <c r="AL128" s="541"/>
      <c r="AM128" s="541"/>
      <c r="AN128" s="541"/>
      <c r="AO128" s="541"/>
      <c r="AP128" s="541"/>
      <c r="AQ128" s="541"/>
      <c r="AR128" s="1284">
        <f t="shared" si="18"/>
        <v>0</v>
      </c>
      <c r="AS128" s="719">
        <f t="shared" si="15"/>
        <v>0</v>
      </c>
      <c r="AT128" s="718">
        <f t="shared" si="16"/>
        <v>0</v>
      </c>
    </row>
    <row r="129" spans="1:46" s="533" customFormat="1" ht="16.399999999999999" customHeight="1" outlineLevel="1" x14ac:dyDescent="0.35">
      <c r="A129" s="534" t="s">
        <v>782</v>
      </c>
      <c r="B129" s="534" t="s">
        <v>783</v>
      </c>
      <c r="C129" s="535" t="s">
        <v>1156</v>
      </c>
      <c r="D129" s="536" t="s">
        <v>195</v>
      </c>
      <c r="E129" s="536" t="s">
        <v>835</v>
      </c>
      <c r="F129" s="536" t="s">
        <v>856</v>
      </c>
      <c r="G129" s="536" t="s">
        <v>1159</v>
      </c>
      <c r="H129" s="536" t="s">
        <v>1171</v>
      </c>
      <c r="I129" s="535" t="s">
        <v>1172</v>
      </c>
      <c r="J129" s="536" t="s">
        <v>467</v>
      </c>
      <c r="K129" s="536" t="s">
        <v>570</v>
      </c>
      <c r="L129" s="535" t="s">
        <v>858</v>
      </c>
      <c r="M129" s="536" t="s">
        <v>859</v>
      </c>
      <c r="N129" s="536"/>
      <c r="O129" s="535"/>
      <c r="P129" s="536"/>
      <c r="Q129" s="536"/>
      <c r="R129" s="540"/>
      <c r="S129" s="537"/>
      <c r="T129" s="537"/>
      <c r="U129" s="537"/>
      <c r="V129" s="537"/>
      <c r="W129" s="537"/>
      <c r="X129" s="537"/>
      <c r="Y129" s="537"/>
      <c r="Z129" s="537"/>
      <c r="AA129" s="537"/>
      <c r="AB129" s="537"/>
      <c r="AC129" s="537"/>
      <c r="AD129" s="537">
        <f t="shared" si="23"/>
        <v>0</v>
      </c>
      <c r="AF129" s="541"/>
      <c r="AG129" s="541"/>
      <c r="AH129" s="541"/>
      <c r="AI129" s="541"/>
      <c r="AJ129" s="541"/>
      <c r="AK129" s="541"/>
      <c r="AL129" s="541"/>
      <c r="AM129" s="541"/>
      <c r="AN129" s="541"/>
      <c r="AO129" s="541"/>
      <c r="AP129" s="541"/>
      <c r="AQ129" s="541"/>
      <c r="AR129" s="1284">
        <f t="shared" si="18"/>
        <v>0</v>
      </c>
      <c r="AS129" s="719">
        <f t="shared" si="15"/>
        <v>0</v>
      </c>
      <c r="AT129" s="718">
        <f t="shared" si="16"/>
        <v>0</v>
      </c>
    </row>
    <row r="130" spans="1:46" s="533" customFormat="1" ht="16.399999999999999" customHeight="1" outlineLevel="1" x14ac:dyDescent="0.35">
      <c r="A130" s="534" t="s">
        <v>782</v>
      </c>
      <c r="B130" s="534" t="s">
        <v>783</v>
      </c>
      <c r="C130" s="535" t="s">
        <v>1156</v>
      </c>
      <c r="D130" s="536" t="s">
        <v>817</v>
      </c>
      <c r="E130" s="536" t="s">
        <v>818</v>
      </c>
      <c r="F130" s="536" t="s">
        <v>860</v>
      </c>
      <c r="G130" s="536" t="s">
        <v>1173</v>
      </c>
      <c r="H130" s="536" t="s">
        <v>861</v>
      </c>
      <c r="I130" s="535" t="s">
        <v>1174</v>
      </c>
      <c r="J130" s="536" t="s">
        <v>863</v>
      </c>
      <c r="K130" s="536" t="s">
        <v>597</v>
      </c>
      <c r="L130" s="535" t="s">
        <v>864</v>
      </c>
      <c r="M130" s="536" t="s">
        <v>865</v>
      </c>
      <c r="N130" s="536"/>
      <c r="O130" s="535"/>
      <c r="P130" s="536"/>
      <c r="Q130" s="536"/>
      <c r="R130" s="540"/>
      <c r="S130" s="537"/>
      <c r="T130" s="537"/>
      <c r="U130" s="537"/>
      <c r="V130" s="537"/>
      <c r="W130" s="537"/>
      <c r="X130" s="537"/>
      <c r="Y130" s="537"/>
      <c r="Z130" s="537"/>
      <c r="AA130" s="537"/>
      <c r="AB130" s="537"/>
      <c r="AC130" s="537"/>
      <c r="AD130" s="537">
        <f t="shared" si="23"/>
        <v>0</v>
      </c>
      <c r="AF130" s="541"/>
      <c r="AG130" s="541"/>
      <c r="AH130" s="541"/>
      <c r="AI130" s="541"/>
      <c r="AJ130" s="541"/>
      <c r="AK130" s="541"/>
      <c r="AL130" s="541"/>
      <c r="AM130" s="541"/>
      <c r="AN130" s="541"/>
      <c r="AO130" s="541"/>
      <c r="AP130" s="541"/>
      <c r="AQ130" s="541"/>
      <c r="AR130" s="1284">
        <f t="shared" si="18"/>
        <v>0</v>
      </c>
      <c r="AS130" s="719">
        <f t="shared" si="15"/>
        <v>0</v>
      </c>
      <c r="AT130" s="718">
        <f t="shared" si="16"/>
        <v>0</v>
      </c>
    </row>
    <row r="131" spans="1:46" s="533" customFormat="1" ht="16.399999999999999" customHeight="1" outlineLevel="1" x14ac:dyDescent="0.35">
      <c r="A131" s="534" t="s">
        <v>782</v>
      </c>
      <c r="B131" s="534" t="s">
        <v>783</v>
      </c>
      <c r="C131" s="535" t="s">
        <v>1156</v>
      </c>
      <c r="D131" s="536" t="s">
        <v>817</v>
      </c>
      <c r="E131" s="536" t="s">
        <v>818</v>
      </c>
      <c r="F131" s="536" t="s">
        <v>819</v>
      </c>
      <c r="G131" s="536" t="s">
        <v>1173</v>
      </c>
      <c r="H131" s="536" t="s">
        <v>821</v>
      </c>
      <c r="I131" s="535" t="s">
        <v>1175</v>
      </c>
      <c r="J131" s="536" t="s">
        <v>430</v>
      </c>
      <c r="K131" s="536" t="s">
        <v>570</v>
      </c>
      <c r="L131" s="535" t="s">
        <v>822</v>
      </c>
      <c r="M131" s="536" t="s">
        <v>823</v>
      </c>
      <c r="N131" s="536"/>
      <c r="O131" s="535"/>
      <c r="P131" s="536"/>
      <c r="Q131" s="536"/>
      <c r="R131" s="540"/>
      <c r="S131" s="537"/>
      <c r="T131" s="537"/>
      <c r="U131" s="537"/>
      <c r="V131" s="537"/>
      <c r="W131" s="537"/>
      <c r="X131" s="537"/>
      <c r="Y131" s="537"/>
      <c r="Z131" s="537"/>
      <c r="AA131" s="537"/>
      <c r="AB131" s="537"/>
      <c r="AC131" s="537"/>
      <c r="AD131" s="537">
        <f t="shared" si="23"/>
        <v>0</v>
      </c>
      <c r="AF131" s="541"/>
      <c r="AG131" s="541"/>
      <c r="AH131" s="541"/>
      <c r="AI131" s="541"/>
      <c r="AJ131" s="541"/>
      <c r="AK131" s="541"/>
      <c r="AL131" s="541"/>
      <c r="AM131" s="541"/>
      <c r="AN131" s="541"/>
      <c r="AO131" s="541"/>
      <c r="AP131" s="541"/>
      <c r="AQ131" s="541"/>
      <c r="AR131" s="1284">
        <f t="shared" si="18"/>
        <v>0</v>
      </c>
      <c r="AS131" s="719">
        <f t="shared" si="15"/>
        <v>0</v>
      </c>
      <c r="AT131" s="718">
        <f t="shared" si="16"/>
        <v>0</v>
      </c>
    </row>
    <row r="132" spans="1:46" s="533" customFormat="1" ht="16.399999999999999" customHeight="1" outlineLevel="1" x14ac:dyDescent="0.35">
      <c r="A132" s="534" t="s">
        <v>782</v>
      </c>
      <c r="B132" s="534" t="s">
        <v>783</v>
      </c>
      <c r="C132" s="535" t="s">
        <v>1156</v>
      </c>
      <c r="D132" s="536" t="s">
        <v>817</v>
      </c>
      <c r="E132" s="536" t="s">
        <v>818</v>
      </c>
      <c r="F132" s="536" t="s">
        <v>824</v>
      </c>
      <c r="G132" s="536" t="s">
        <v>1173</v>
      </c>
      <c r="H132" s="536" t="s">
        <v>848</v>
      </c>
      <c r="I132" s="535" t="s">
        <v>1176</v>
      </c>
      <c r="J132" s="536" t="s">
        <v>431</v>
      </c>
      <c r="K132" s="536" t="s">
        <v>570</v>
      </c>
      <c r="L132" s="535" t="s">
        <v>825</v>
      </c>
      <c r="M132" s="536" t="s">
        <v>826</v>
      </c>
      <c r="N132" s="536"/>
      <c r="O132" s="535"/>
      <c r="P132" s="536"/>
      <c r="Q132" s="536"/>
      <c r="R132" s="540"/>
      <c r="S132" s="537"/>
      <c r="T132" s="537"/>
      <c r="U132" s="537"/>
      <c r="V132" s="537"/>
      <c r="W132" s="537"/>
      <c r="X132" s="537"/>
      <c r="Y132" s="537"/>
      <c r="Z132" s="537"/>
      <c r="AA132" s="537"/>
      <c r="AB132" s="537"/>
      <c r="AC132" s="537"/>
      <c r="AD132" s="537">
        <f t="shared" si="23"/>
        <v>0</v>
      </c>
      <c r="AF132" s="541"/>
      <c r="AG132" s="541"/>
      <c r="AH132" s="541"/>
      <c r="AI132" s="541"/>
      <c r="AJ132" s="541"/>
      <c r="AK132" s="541"/>
      <c r="AL132" s="541"/>
      <c r="AM132" s="541"/>
      <c r="AN132" s="541"/>
      <c r="AO132" s="541"/>
      <c r="AP132" s="541"/>
      <c r="AQ132" s="541"/>
      <c r="AR132" s="1284">
        <f t="shared" si="18"/>
        <v>0</v>
      </c>
      <c r="AS132" s="719">
        <f t="shared" si="15"/>
        <v>0</v>
      </c>
      <c r="AT132" s="718">
        <f t="shared" si="16"/>
        <v>0</v>
      </c>
    </row>
    <row r="133" spans="1:46" s="533" customFormat="1" ht="16.399999999999999" customHeight="1" x14ac:dyDescent="0.35">
      <c r="A133" s="546" t="s">
        <v>782</v>
      </c>
      <c r="B133" s="546" t="s">
        <v>783</v>
      </c>
      <c r="C133" s="547" t="s">
        <v>1156</v>
      </c>
      <c r="D133" s="548"/>
      <c r="E133" s="548"/>
      <c r="F133" s="548"/>
      <c r="G133" s="548"/>
      <c r="H133" s="530" t="s">
        <v>1177</v>
      </c>
      <c r="I133" s="530" t="s">
        <v>1178</v>
      </c>
      <c r="J133" s="549"/>
      <c r="K133" s="548"/>
      <c r="L133" s="548"/>
      <c r="M133" s="548"/>
      <c r="N133" s="549"/>
      <c r="O133" s="530" t="s">
        <v>1178</v>
      </c>
      <c r="P133" s="549"/>
      <c r="Q133" s="549"/>
      <c r="R133" s="532">
        <f t="shared" ref="R133:AC133" ca="1" si="26">SUM(R134:R150)</f>
        <v>114364285.71428572</v>
      </c>
      <c r="S133" s="532">
        <f t="shared" ca="1" si="26"/>
        <v>85773214.285714284</v>
      </c>
      <c r="T133" s="532">
        <f t="shared" ca="1" si="26"/>
        <v>123894642.85714285</v>
      </c>
      <c r="U133" s="532">
        <f t="shared" ca="1" si="26"/>
        <v>133425000</v>
      </c>
      <c r="V133" s="532">
        <f t="shared" ca="1" si="26"/>
        <v>133425000</v>
      </c>
      <c r="W133" s="532">
        <f t="shared" ca="1" si="26"/>
        <v>133425000</v>
      </c>
      <c r="X133" s="532">
        <f t="shared" ca="1" si="26"/>
        <v>133425000</v>
      </c>
      <c r="Y133" s="532">
        <f t="shared" ca="1" si="26"/>
        <v>133425000</v>
      </c>
      <c r="Z133" s="532">
        <f t="shared" ca="1" si="26"/>
        <v>133425000</v>
      </c>
      <c r="AA133" s="532">
        <f t="shared" ca="1" si="26"/>
        <v>133425000</v>
      </c>
      <c r="AB133" s="532">
        <f t="shared" ca="1" si="26"/>
        <v>133425000</v>
      </c>
      <c r="AC133" s="532">
        <f t="shared" ca="1" si="26"/>
        <v>133425000</v>
      </c>
      <c r="AD133" s="532">
        <f t="shared" ca="1" si="23"/>
        <v>1524857142.8571429</v>
      </c>
      <c r="AF133" s="532">
        <f t="shared" ref="AF133:AQ133" ca="1" si="27">SUM(AF134:AF150)</f>
        <v>37500000</v>
      </c>
      <c r="AG133" s="532">
        <f t="shared" ca="1" si="27"/>
        <v>70500000</v>
      </c>
      <c r="AH133" s="532">
        <f t="shared" ca="1" si="27"/>
        <v>103500000</v>
      </c>
      <c r="AI133" s="532">
        <f t="shared" ca="1" si="27"/>
        <v>129000000</v>
      </c>
      <c r="AJ133" s="532">
        <f t="shared" ca="1" si="27"/>
        <v>111000000</v>
      </c>
      <c r="AK133" s="532">
        <f t="shared" ca="1" si="27"/>
        <v>116500000</v>
      </c>
      <c r="AL133" s="532">
        <f t="shared" ca="1" si="27"/>
        <v>172500000</v>
      </c>
      <c r="AM133" s="532">
        <f t="shared" ca="1" si="27"/>
        <v>164700000</v>
      </c>
      <c r="AN133" s="532">
        <f t="shared" ca="1" si="27"/>
        <v>127600000</v>
      </c>
      <c r="AO133" s="532">
        <f t="shared" ca="1" si="27"/>
        <v>94607142.857142851</v>
      </c>
      <c r="AP133" s="532">
        <f t="shared" ca="1" si="27"/>
        <v>94607142.857142851</v>
      </c>
      <c r="AQ133" s="532">
        <f t="shared" ca="1" si="27"/>
        <v>94607142.857142851</v>
      </c>
      <c r="AR133" s="1283">
        <f ca="1">SUM(AR134:AR150)</f>
        <v>1316621428.5714288</v>
      </c>
      <c r="AS133" s="1283">
        <f t="shared" ca="1" si="15"/>
        <v>208235714.28571415</v>
      </c>
      <c r="AT133" s="1298">
        <f t="shared" ca="1" si="16"/>
        <v>0.15815914109164678</v>
      </c>
    </row>
    <row r="134" spans="1:46" s="533" customFormat="1" ht="16.399999999999999" customHeight="1" outlineLevel="1" x14ac:dyDescent="0.35">
      <c r="A134" s="534" t="s">
        <v>782</v>
      </c>
      <c r="B134" s="534" t="s">
        <v>783</v>
      </c>
      <c r="C134" s="535" t="s">
        <v>1156</v>
      </c>
      <c r="D134" s="536" t="s">
        <v>828</v>
      </c>
      <c r="E134" s="536" t="s">
        <v>818</v>
      </c>
      <c r="F134" s="536" t="s">
        <v>1179</v>
      </c>
      <c r="G134" s="536" t="s">
        <v>1173</v>
      </c>
      <c r="H134" s="536" t="s">
        <v>1180</v>
      </c>
      <c r="I134" s="535" t="s">
        <v>1181</v>
      </c>
      <c r="J134" s="536" t="s">
        <v>1182</v>
      </c>
      <c r="K134" s="536" t="s">
        <v>582</v>
      </c>
      <c r="L134" s="535" t="s">
        <v>1183</v>
      </c>
      <c r="M134" s="536" t="s">
        <v>1184</v>
      </c>
      <c r="N134" s="536"/>
      <c r="O134" s="535"/>
      <c r="P134" s="536"/>
      <c r="Q134" s="536"/>
      <c r="R134" s="540"/>
      <c r="S134" s="537"/>
      <c r="T134" s="537"/>
      <c r="U134" s="537"/>
      <c r="V134" s="537"/>
      <c r="W134" s="537"/>
      <c r="X134" s="537"/>
      <c r="Y134" s="537"/>
      <c r="Z134" s="537"/>
      <c r="AA134" s="537"/>
      <c r="AB134" s="537"/>
      <c r="AC134" s="537"/>
      <c r="AD134" s="537">
        <f t="shared" si="23"/>
        <v>0</v>
      </c>
      <c r="AF134" s="541"/>
      <c r="AG134" s="541"/>
      <c r="AH134" s="541"/>
      <c r="AI134" s="541"/>
      <c r="AJ134" s="541"/>
      <c r="AK134" s="541"/>
      <c r="AL134" s="541"/>
      <c r="AM134" s="541"/>
      <c r="AN134" s="541"/>
      <c r="AO134" s="541"/>
      <c r="AP134" s="541"/>
      <c r="AQ134" s="541"/>
      <c r="AR134" s="1284">
        <f t="shared" si="18"/>
        <v>0</v>
      </c>
      <c r="AS134" s="719">
        <f t="shared" si="15"/>
        <v>0</v>
      </c>
      <c r="AT134" s="718">
        <f t="shared" si="16"/>
        <v>0</v>
      </c>
    </row>
    <row r="135" spans="1:46" s="533" customFormat="1" ht="16.399999999999999" customHeight="1" outlineLevel="1" x14ac:dyDescent="0.35">
      <c r="A135" s="534" t="s">
        <v>782</v>
      </c>
      <c r="B135" s="534" t="s">
        <v>783</v>
      </c>
      <c r="C135" s="535" t="s">
        <v>1156</v>
      </c>
      <c r="D135" s="536" t="s">
        <v>828</v>
      </c>
      <c r="E135" s="536" t="s">
        <v>818</v>
      </c>
      <c r="F135" s="536" t="s">
        <v>1179</v>
      </c>
      <c r="G135" s="536" t="s">
        <v>1173</v>
      </c>
      <c r="H135" s="536" t="s">
        <v>1180</v>
      </c>
      <c r="I135" s="535" t="s">
        <v>583</v>
      </c>
      <c r="J135" s="536" t="s">
        <v>581</v>
      </c>
      <c r="K135" s="536" t="s">
        <v>582</v>
      </c>
      <c r="L135" s="535" t="s">
        <v>1185</v>
      </c>
      <c r="M135" s="536" t="s">
        <v>1186</v>
      </c>
      <c r="N135" s="536"/>
      <c r="O135" s="535"/>
      <c r="P135" s="536"/>
      <c r="Q135" s="536"/>
      <c r="R135" s="540">
        <f ca="1">SUMIF(CPBH!$D$5:$W$7,'FORM OH'!$I$135,CPBH!K5:K7)</f>
        <v>114364285.71428572</v>
      </c>
      <c r="S135" s="540">
        <f ca="1">SUMIF(CPBH!$D$5:$W$7,'FORM OH'!$I$135,CPBH!L5:L7)</f>
        <v>85773214.285714284</v>
      </c>
      <c r="T135" s="540">
        <f ca="1">SUMIF(CPBH!$D$5:$W$7,'FORM OH'!$I$135,CPBH!M5:M7)</f>
        <v>123894642.85714285</v>
      </c>
      <c r="U135" s="540">
        <f ca="1">SUMIF(CPBH!$D$5:$W$7,'FORM OH'!$I$135,CPBH!N5:N7)</f>
        <v>133425000</v>
      </c>
      <c r="V135" s="540">
        <f ca="1">SUMIF(CPBH!$D$5:$W$7,'FORM OH'!$I$135,CPBH!O5:O7)</f>
        <v>133425000</v>
      </c>
      <c r="W135" s="540">
        <f ca="1">SUMIF(CPBH!$D$5:$W$7,'FORM OH'!$I$135,CPBH!P5:P7)</f>
        <v>133425000</v>
      </c>
      <c r="X135" s="540">
        <f ca="1">SUMIF(CPBH!$D$5:$W$7,'FORM OH'!$I$135,CPBH!Q5:Q7)</f>
        <v>133425000</v>
      </c>
      <c r="Y135" s="540">
        <f ca="1">SUMIF(CPBH!$D$5:$W$7,'FORM OH'!$I$135,CPBH!R5:R7)</f>
        <v>133425000</v>
      </c>
      <c r="Z135" s="540">
        <f ca="1">SUMIF(CPBH!$D$5:$W$7,'FORM OH'!$I$135,CPBH!S5:S7)</f>
        <v>133425000</v>
      </c>
      <c r="AA135" s="540">
        <f ca="1">SUMIF(CPBH!$D$5:$W$7,'FORM OH'!$I$135,CPBH!T5:T7)</f>
        <v>133425000</v>
      </c>
      <c r="AB135" s="540">
        <f ca="1">SUMIF(CPBH!$D$5:$W$7,'FORM OH'!$I$135,CPBH!U5:U7)</f>
        <v>133425000</v>
      </c>
      <c r="AC135" s="540">
        <f ca="1">SUMIF(CPBH!$D$5:$W$7,'FORM OH'!$I$135,CPBH!V5:V7)</f>
        <v>133425000</v>
      </c>
      <c r="AD135" s="537">
        <f t="shared" ca="1" si="23"/>
        <v>1524857142.8571429</v>
      </c>
      <c r="AF135" s="540">
        <f ca="1">SUMIF(CPBH!$D$5:$W$7,'FORM OH'!$I$135,CPBH!Y5:Y7)</f>
        <v>37500000</v>
      </c>
      <c r="AG135" s="540">
        <f ca="1">SUMIF(CPBH!$D$5:$W$7,'FORM OH'!$I$135,CPBH!Z5:Z7)</f>
        <v>70500000</v>
      </c>
      <c r="AH135" s="540">
        <f ca="1">SUMIF(CPBH!$D$5:$W$7,'FORM OH'!$I$135,CPBH!AA5:AA7)</f>
        <v>103500000</v>
      </c>
      <c r="AI135" s="540">
        <f ca="1">SUMIF(CPBH!$D$5:$W$7,'FORM OH'!$I$135,CPBH!AB5:AB7)</f>
        <v>129000000</v>
      </c>
      <c r="AJ135" s="540">
        <f ca="1">SUMIF(CPBH!$D$5:$W$7,'FORM OH'!$I$135,CPBH!AC5:AC7)</f>
        <v>111000000</v>
      </c>
      <c r="AK135" s="540">
        <f ca="1">SUMIF(CPBH!$D$5:$W$7,'FORM OH'!$I$135,CPBH!AD5:AD7)</f>
        <v>116500000</v>
      </c>
      <c r="AL135" s="540">
        <f ca="1">SUMIF(CPBH!$D$5:$W$7,'FORM OH'!$I$135,CPBH!AE5:AE7)</f>
        <v>172500000</v>
      </c>
      <c r="AM135" s="540">
        <f ca="1">SUMIF(CPBH!$D$5:$W$7,'FORM OH'!$I$135,CPBH!AF5:AF7)</f>
        <v>164700000</v>
      </c>
      <c r="AN135" s="540">
        <f ca="1">SUMIF(CPBH!$D$5:$W$7,'FORM OH'!$I$135,CPBH!AG5:AG7)</f>
        <v>127600000</v>
      </c>
      <c r="AO135" s="540">
        <f ca="1">SUMIF(CPBH!$D$5:$W$7,'FORM OH'!$I$135,CPBH!AH5:AH7)</f>
        <v>94607142.857142851</v>
      </c>
      <c r="AP135" s="540">
        <f ca="1">SUMIF(CPBH!$D$5:$W$7,'FORM OH'!$I$135,CPBH!AI5:AI7)</f>
        <v>94607142.857142851</v>
      </c>
      <c r="AQ135" s="540">
        <f ca="1">SUMIF(CPBH!$D$5:$W$7,'FORM OH'!$I$135,CPBH!AJ5:AJ7)</f>
        <v>94607142.857142851</v>
      </c>
      <c r="AR135" s="1284">
        <f t="shared" ca="1" si="18"/>
        <v>1316621428.5714288</v>
      </c>
      <c r="AS135" s="719">
        <f t="shared" ca="1" si="15"/>
        <v>208235714.28571415</v>
      </c>
      <c r="AT135" s="718">
        <f t="shared" ca="1" si="16"/>
        <v>0.15815914109164678</v>
      </c>
    </row>
    <row r="136" spans="1:46" s="533" customFormat="1" ht="16.399999999999999" customHeight="1" outlineLevel="1" x14ac:dyDescent="0.35">
      <c r="A136" s="534" t="s">
        <v>782</v>
      </c>
      <c r="B136" s="534" t="s">
        <v>783</v>
      </c>
      <c r="C136" s="535" t="s">
        <v>1156</v>
      </c>
      <c r="D136" s="536" t="s">
        <v>828</v>
      </c>
      <c r="E136" s="536" t="s">
        <v>818</v>
      </c>
      <c r="F136" s="536" t="s">
        <v>1187</v>
      </c>
      <c r="G136" s="536" t="s">
        <v>1173</v>
      </c>
      <c r="H136" s="536" t="s">
        <v>1188</v>
      </c>
      <c r="I136" s="535" t="s">
        <v>1189</v>
      </c>
      <c r="J136" s="536" t="s">
        <v>1190</v>
      </c>
      <c r="K136" s="536" t="s">
        <v>1191</v>
      </c>
      <c r="L136" s="535" t="s">
        <v>1192</v>
      </c>
      <c r="M136" s="536" t="s">
        <v>1188</v>
      </c>
      <c r="N136" s="536"/>
      <c r="O136" s="535"/>
      <c r="P136" s="536"/>
      <c r="Q136" s="536"/>
      <c r="R136" s="540"/>
      <c r="S136" s="537"/>
      <c r="T136" s="537"/>
      <c r="U136" s="537"/>
      <c r="V136" s="537"/>
      <c r="W136" s="537"/>
      <c r="X136" s="537"/>
      <c r="Y136" s="537"/>
      <c r="Z136" s="537"/>
      <c r="AA136" s="537"/>
      <c r="AB136" s="537"/>
      <c r="AC136" s="537"/>
      <c r="AD136" s="537">
        <f t="shared" si="23"/>
        <v>0</v>
      </c>
      <c r="AF136" s="541"/>
      <c r="AG136" s="541"/>
      <c r="AH136" s="541"/>
      <c r="AI136" s="541"/>
      <c r="AJ136" s="541"/>
      <c r="AK136" s="541"/>
      <c r="AL136" s="541"/>
      <c r="AM136" s="541"/>
      <c r="AN136" s="541"/>
      <c r="AO136" s="541"/>
      <c r="AP136" s="541"/>
      <c r="AQ136" s="541"/>
      <c r="AR136" s="1284">
        <f t="shared" si="18"/>
        <v>0</v>
      </c>
      <c r="AS136" s="719">
        <f t="shared" si="15"/>
        <v>0</v>
      </c>
      <c r="AT136" s="718">
        <f t="shared" si="16"/>
        <v>0</v>
      </c>
    </row>
    <row r="137" spans="1:46" s="533" customFormat="1" ht="16.399999999999999" customHeight="1" outlineLevel="1" x14ac:dyDescent="0.35">
      <c r="A137" s="534" t="s">
        <v>782</v>
      </c>
      <c r="B137" s="534" t="s">
        <v>783</v>
      </c>
      <c r="C137" s="535" t="s">
        <v>1156</v>
      </c>
      <c r="D137" s="536" t="s">
        <v>828</v>
      </c>
      <c r="E137" s="536" t="s">
        <v>818</v>
      </c>
      <c r="F137" s="536" t="s">
        <v>1187</v>
      </c>
      <c r="G137" s="536" t="s">
        <v>1173</v>
      </c>
      <c r="H137" s="536" t="s">
        <v>1188</v>
      </c>
      <c r="I137" s="535" t="s">
        <v>1193</v>
      </c>
      <c r="J137" s="536" t="s">
        <v>1190</v>
      </c>
      <c r="K137" s="536" t="s">
        <v>1191</v>
      </c>
      <c r="L137" s="535" t="s">
        <v>1192</v>
      </c>
      <c r="M137" s="536" t="s">
        <v>1188</v>
      </c>
      <c r="N137" s="536"/>
      <c r="O137" s="535"/>
      <c r="P137" s="536"/>
      <c r="Q137" s="536"/>
      <c r="R137" s="540"/>
      <c r="S137" s="537"/>
      <c r="T137" s="537"/>
      <c r="U137" s="537"/>
      <c r="V137" s="537"/>
      <c r="W137" s="537"/>
      <c r="X137" s="537"/>
      <c r="Y137" s="537"/>
      <c r="Z137" s="537"/>
      <c r="AA137" s="537"/>
      <c r="AB137" s="537"/>
      <c r="AC137" s="537"/>
      <c r="AD137" s="537">
        <f t="shared" si="23"/>
        <v>0</v>
      </c>
      <c r="AF137" s="541"/>
      <c r="AG137" s="541"/>
      <c r="AH137" s="541"/>
      <c r="AI137" s="541"/>
      <c r="AJ137" s="541"/>
      <c r="AK137" s="541"/>
      <c r="AL137" s="541"/>
      <c r="AM137" s="541"/>
      <c r="AN137" s="541"/>
      <c r="AO137" s="541"/>
      <c r="AP137" s="541"/>
      <c r="AQ137" s="541"/>
      <c r="AR137" s="1284">
        <f t="shared" si="18"/>
        <v>0</v>
      </c>
      <c r="AS137" s="719">
        <f t="shared" si="15"/>
        <v>0</v>
      </c>
      <c r="AT137" s="718">
        <f t="shared" si="16"/>
        <v>0</v>
      </c>
    </row>
    <row r="138" spans="1:46" s="533" customFormat="1" ht="16.399999999999999" customHeight="1" outlineLevel="1" x14ac:dyDescent="0.35">
      <c r="A138" s="534" t="s">
        <v>782</v>
      </c>
      <c r="B138" s="534" t="s">
        <v>783</v>
      </c>
      <c r="C138" s="535" t="s">
        <v>1156</v>
      </c>
      <c r="D138" s="536" t="s">
        <v>828</v>
      </c>
      <c r="E138" s="536" t="s">
        <v>818</v>
      </c>
      <c r="F138" s="536" t="s">
        <v>1194</v>
      </c>
      <c r="G138" s="536" t="s">
        <v>1173</v>
      </c>
      <c r="H138" s="536" t="s">
        <v>1195</v>
      </c>
      <c r="I138" s="535" t="s">
        <v>1196</v>
      </c>
      <c r="J138" s="536" t="s">
        <v>1197</v>
      </c>
      <c r="K138" s="536" t="s">
        <v>1198</v>
      </c>
      <c r="L138" s="535" t="s">
        <v>1199</v>
      </c>
      <c r="M138" s="536" t="s">
        <v>1200</v>
      </c>
      <c r="N138" s="536"/>
      <c r="O138" s="535"/>
      <c r="P138" s="536"/>
      <c r="Q138" s="536"/>
      <c r="R138" s="540"/>
      <c r="S138" s="537"/>
      <c r="T138" s="537"/>
      <c r="U138" s="537"/>
      <c r="V138" s="537"/>
      <c r="W138" s="537"/>
      <c r="X138" s="537"/>
      <c r="Y138" s="537"/>
      <c r="Z138" s="537"/>
      <c r="AA138" s="537"/>
      <c r="AB138" s="537"/>
      <c r="AC138" s="537"/>
      <c r="AD138" s="537">
        <f t="shared" si="23"/>
        <v>0</v>
      </c>
      <c r="AF138" s="541"/>
      <c r="AG138" s="541"/>
      <c r="AH138" s="541"/>
      <c r="AI138" s="541"/>
      <c r="AJ138" s="541"/>
      <c r="AK138" s="541"/>
      <c r="AL138" s="541"/>
      <c r="AM138" s="541"/>
      <c r="AN138" s="541"/>
      <c r="AO138" s="541"/>
      <c r="AP138" s="541"/>
      <c r="AQ138" s="541"/>
      <c r="AR138" s="1284">
        <f t="shared" si="18"/>
        <v>0</v>
      </c>
      <c r="AS138" s="719">
        <f t="shared" si="15"/>
        <v>0</v>
      </c>
      <c r="AT138" s="718">
        <f t="shared" si="16"/>
        <v>0</v>
      </c>
    </row>
    <row r="139" spans="1:46" s="533" customFormat="1" ht="16.399999999999999" customHeight="1" outlineLevel="1" x14ac:dyDescent="0.35">
      <c r="A139" s="534" t="s">
        <v>782</v>
      </c>
      <c r="B139" s="534" t="s">
        <v>783</v>
      </c>
      <c r="C139" s="535" t="s">
        <v>1156</v>
      </c>
      <c r="D139" s="536" t="s">
        <v>828</v>
      </c>
      <c r="E139" s="536" t="s">
        <v>818</v>
      </c>
      <c r="F139" s="536" t="s">
        <v>1194</v>
      </c>
      <c r="G139" s="536" t="s">
        <v>1173</v>
      </c>
      <c r="H139" s="536" t="s">
        <v>1195</v>
      </c>
      <c r="I139" s="535" t="s">
        <v>1201</v>
      </c>
      <c r="J139" s="536" t="s">
        <v>1202</v>
      </c>
      <c r="K139" s="536" t="s">
        <v>1203</v>
      </c>
      <c r="L139" s="535" t="s">
        <v>1204</v>
      </c>
      <c r="M139" s="536" t="s">
        <v>1205</v>
      </c>
      <c r="N139" s="536"/>
      <c r="O139" s="535"/>
      <c r="P139" s="536"/>
      <c r="Q139" s="536"/>
      <c r="R139" s="540"/>
      <c r="S139" s="537"/>
      <c r="T139" s="537"/>
      <c r="U139" s="537"/>
      <c r="V139" s="537"/>
      <c r="W139" s="537"/>
      <c r="X139" s="537"/>
      <c r="Y139" s="537"/>
      <c r="Z139" s="537"/>
      <c r="AA139" s="537"/>
      <c r="AB139" s="537"/>
      <c r="AC139" s="537"/>
      <c r="AD139" s="537">
        <f t="shared" si="23"/>
        <v>0</v>
      </c>
      <c r="AF139" s="541"/>
      <c r="AG139" s="541"/>
      <c r="AH139" s="541"/>
      <c r="AI139" s="541"/>
      <c r="AJ139" s="541"/>
      <c r="AK139" s="541"/>
      <c r="AL139" s="541"/>
      <c r="AM139" s="541"/>
      <c r="AN139" s="541"/>
      <c r="AO139" s="541"/>
      <c r="AP139" s="541"/>
      <c r="AQ139" s="541"/>
      <c r="AR139" s="1284">
        <f t="shared" si="18"/>
        <v>0</v>
      </c>
      <c r="AS139" s="719">
        <f t="shared" ref="AS139:AS202" si="28">AD139-AR139</f>
        <v>0</v>
      </c>
      <c r="AT139" s="718">
        <f t="shared" ref="AT139:AT202" si="29">IFERROR(AS139/AR139,0)</f>
        <v>0</v>
      </c>
    </row>
    <row r="140" spans="1:46" s="533" customFormat="1" ht="16.399999999999999" customHeight="1" outlineLevel="1" x14ac:dyDescent="0.35">
      <c r="A140" s="534" t="s">
        <v>782</v>
      </c>
      <c r="B140" s="534" t="s">
        <v>783</v>
      </c>
      <c r="C140" s="535" t="s">
        <v>1156</v>
      </c>
      <c r="D140" s="536" t="s">
        <v>828</v>
      </c>
      <c r="E140" s="536" t="s">
        <v>818</v>
      </c>
      <c r="F140" s="536" t="s">
        <v>1194</v>
      </c>
      <c r="G140" s="536" t="s">
        <v>1173</v>
      </c>
      <c r="H140" s="536" t="s">
        <v>1195</v>
      </c>
      <c r="I140" s="535" t="s">
        <v>1206</v>
      </c>
      <c r="J140" s="536" t="s">
        <v>1207</v>
      </c>
      <c r="K140" s="536" t="s">
        <v>1203</v>
      </c>
      <c r="L140" s="535" t="s">
        <v>1208</v>
      </c>
      <c r="M140" s="536" t="s">
        <v>1209</v>
      </c>
      <c r="N140" s="536"/>
      <c r="O140" s="535"/>
      <c r="P140" s="536"/>
      <c r="Q140" s="536"/>
      <c r="R140" s="540"/>
      <c r="S140" s="537"/>
      <c r="T140" s="537"/>
      <c r="U140" s="537"/>
      <c r="V140" s="537"/>
      <c r="W140" s="537"/>
      <c r="X140" s="537"/>
      <c r="Y140" s="537"/>
      <c r="Z140" s="537"/>
      <c r="AA140" s="537"/>
      <c r="AB140" s="537"/>
      <c r="AC140" s="537"/>
      <c r="AD140" s="537">
        <f t="shared" si="23"/>
        <v>0</v>
      </c>
      <c r="AF140" s="541"/>
      <c r="AG140" s="541"/>
      <c r="AH140" s="541"/>
      <c r="AI140" s="541"/>
      <c r="AJ140" s="541"/>
      <c r="AK140" s="541"/>
      <c r="AL140" s="541"/>
      <c r="AM140" s="541"/>
      <c r="AN140" s="541"/>
      <c r="AO140" s="541"/>
      <c r="AP140" s="541"/>
      <c r="AQ140" s="541"/>
      <c r="AR140" s="1284">
        <f t="shared" si="18"/>
        <v>0</v>
      </c>
      <c r="AS140" s="719">
        <f t="shared" si="28"/>
        <v>0</v>
      </c>
      <c r="AT140" s="718">
        <f t="shared" si="29"/>
        <v>0</v>
      </c>
    </row>
    <row r="141" spans="1:46" s="533" customFormat="1" ht="16.399999999999999" customHeight="1" outlineLevel="1" x14ac:dyDescent="0.35">
      <c r="A141" s="534" t="s">
        <v>782</v>
      </c>
      <c r="B141" s="534" t="s">
        <v>783</v>
      </c>
      <c r="C141" s="535" t="s">
        <v>1156</v>
      </c>
      <c r="D141" s="536" t="s">
        <v>828</v>
      </c>
      <c r="E141" s="536" t="s">
        <v>818</v>
      </c>
      <c r="F141" s="536" t="s">
        <v>1194</v>
      </c>
      <c r="G141" s="536" t="s">
        <v>1173</v>
      </c>
      <c r="H141" s="536" t="s">
        <v>1195</v>
      </c>
      <c r="I141" s="535" t="s">
        <v>1210</v>
      </c>
      <c r="J141" s="536" t="s">
        <v>1207</v>
      </c>
      <c r="K141" s="536" t="s">
        <v>1203</v>
      </c>
      <c r="L141" s="535" t="s">
        <v>1208</v>
      </c>
      <c r="M141" s="536" t="s">
        <v>1209</v>
      </c>
      <c r="N141" s="536"/>
      <c r="O141" s="535"/>
      <c r="P141" s="536"/>
      <c r="Q141" s="536"/>
      <c r="R141" s="540"/>
      <c r="S141" s="537"/>
      <c r="T141" s="537"/>
      <c r="U141" s="537"/>
      <c r="V141" s="537"/>
      <c r="W141" s="537"/>
      <c r="X141" s="537"/>
      <c r="Y141" s="537"/>
      <c r="Z141" s="537"/>
      <c r="AA141" s="537"/>
      <c r="AB141" s="537"/>
      <c r="AC141" s="537"/>
      <c r="AD141" s="537">
        <f t="shared" si="23"/>
        <v>0</v>
      </c>
      <c r="AF141" s="541"/>
      <c r="AG141" s="541"/>
      <c r="AH141" s="541"/>
      <c r="AI141" s="541"/>
      <c r="AJ141" s="541"/>
      <c r="AK141" s="541"/>
      <c r="AL141" s="541"/>
      <c r="AM141" s="541"/>
      <c r="AN141" s="541"/>
      <c r="AO141" s="541"/>
      <c r="AP141" s="541"/>
      <c r="AQ141" s="541"/>
      <c r="AR141" s="1284">
        <f t="shared" si="18"/>
        <v>0</v>
      </c>
      <c r="AS141" s="719">
        <f t="shared" si="28"/>
        <v>0</v>
      </c>
      <c r="AT141" s="718">
        <f t="shared" si="29"/>
        <v>0</v>
      </c>
    </row>
    <row r="142" spans="1:46" s="533" customFormat="1" ht="16.399999999999999" customHeight="1" outlineLevel="1" x14ac:dyDescent="0.35">
      <c r="A142" s="534" t="s">
        <v>782</v>
      </c>
      <c r="B142" s="534" t="s">
        <v>783</v>
      </c>
      <c r="C142" s="535" t="s">
        <v>1156</v>
      </c>
      <c r="D142" s="536" t="s">
        <v>828</v>
      </c>
      <c r="E142" s="536" t="s">
        <v>818</v>
      </c>
      <c r="F142" s="536" t="s">
        <v>1194</v>
      </c>
      <c r="G142" s="536" t="s">
        <v>1173</v>
      </c>
      <c r="H142" s="536" t="s">
        <v>1195</v>
      </c>
      <c r="I142" s="535" t="s">
        <v>1211</v>
      </c>
      <c r="J142" s="536" t="s">
        <v>1212</v>
      </c>
      <c r="K142" s="536" t="s">
        <v>1203</v>
      </c>
      <c r="L142" s="535" t="s">
        <v>1213</v>
      </c>
      <c r="M142" s="536" t="s">
        <v>1214</v>
      </c>
      <c r="N142" s="536"/>
      <c r="O142" s="535"/>
      <c r="P142" s="536"/>
      <c r="Q142" s="536"/>
      <c r="R142" s="540"/>
      <c r="S142" s="537"/>
      <c r="T142" s="537"/>
      <c r="U142" s="537"/>
      <c r="V142" s="537"/>
      <c r="W142" s="537"/>
      <c r="X142" s="537"/>
      <c r="Y142" s="537"/>
      <c r="Z142" s="537"/>
      <c r="AA142" s="537"/>
      <c r="AB142" s="537"/>
      <c r="AC142" s="537"/>
      <c r="AD142" s="537">
        <f t="shared" si="23"/>
        <v>0</v>
      </c>
      <c r="AF142" s="541"/>
      <c r="AG142" s="541"/>
      <c r="AH142" s="541"/>
      <c r="AI142" s="541"/>
      <c r="AJ142" s="541"/>
      <c r="AK142" s="541"/>
      <c r="AL142" s="541"/>
      <c r="AM142" s="541"/>
      <c r="AN142" s="541"/>
      <c r="AO142" s="541"/>
      <c r="AP142" s="541"/>
      <c r="AQ142" s="541"/>
      <c r="AR142" s="1284">
        <f t="shared" si="18"/>
        <v>0</v>
      </c>
      <c r="AS142" s="719">
        <f t="shared" si="28"/>
        <v>0</v>
      </c>
      <c r="AT142" s="718">
        <f t="shared" si="29"/>
        <v>0</v>
      </c>
    </row>
    <row r="143" spans="1:46" s="533" customFormat="1" ht="16.399999999999999" customHeight="1" outlineLevel="1" x14ac:dyDescent="0.35">
      <c r="A143" s="534" t="s">
        <v>782</v>
      </c>
      <c r="B143" s="534" t="s">
        <v>783</v>
      </c>
      <c r="C143" s="535" t="s">
        <v>1156</v>
      </c>
      <c r="D143" s="536" t="s">
        <v>828</v>
      </c>
      <c r="E143" s="536" t="s">
        <v>818</v>
      </c>
      <c r="F143" s="536" t="s">
        <v>1194</v>
      </c>
      <c r="G143" s="536" t="s">
        <v>1173</v>
      </c>
      <c r="H143" s="536" t="s">
        <v>1195</v>
      </c>
      <c r="I143" s="535" t="s">
        <v>1215</v>
      </c>
      <c r="J143" s="536" t="s">
        <v>1216</v>
      </c>
      <c r="K143" s="536" t="s">
        <v>1203</v>
      </c>
      <c r="L143" s="535" t="s">
        <v>1217</v>
      </c>
      <c r="M143" s="536" t="s">
        <v>1218</v>
      </c>
      <c r="N143" s="536"/>
      <c r="O143" s="535"/>
      <c r="P143" s="536"/>
      <c r="Q143" s="536"/>
      <c r="R143" s="540"/>
      <c r="S143" s="537"/>
      <c r="T143" s="537"/>
      <c r="U143" s="537"/>
      <c r="V143" s="537"/>
      <c r="W143" s="537"/>
      <c r="X143" s="537"/>
      <c r="Y143" s="537"/>
      <c r="Z143" s="537"/>
      <c r="AA143" s="537"/>
      <c r="AB143" s="537"/>
      <c r="AC143" s="537"/>
      <c r="AD143" s="537">
        <f t="shared" si="23"/>
        <v>0</v>
      </c>
      <c r="AF143" s="541"/>
      <c r="AG143" s="541"/>
      <c r="AH143" s="541"/>
      <c r="AI143" s="541"/>
      <c r="AJ143" s="541"/>
      <c r="AK143" s="541"/>
      <c r="AL143" s="541"/>
      <c r="AM143" s="541"/>
      <c r="AN143" s="541"/>
      <c r="AO143" s="541"/>
      <c r="AP143" s="541"/>
      <c r="AQ143" s="541"/>
      <c r="AR143" s="1284">
        <f t="shared" si="18"/>
        <v>0</v>
      </c>
      <c r="AS143" s="719">
        <f t="shared" si="28"/>
        <v>0</v>
      </c>
      <c r="AT143" s="718">
        <f t="shared" si="29"/>
        <v>0</v>
      </c>
    </row>
    <row r="144" spans="1:46" s="533" customFormat="1" ht="16.399999999999999" customHeight="1" outlineLevel="1" x14ac:dyDescent="0.35">
      <c r="A144" s="534" t="s">
        <v>782</v>
      </c>
      <c r="B144" s="534" t="s">
        <v>783</v>
      </c>
      <c r="C144" s="535" t="s">
        <v>1156</v>
      </c>
      <c r="D144" s="536" t="s">
        <v>828</v>
      </c>
      <c r="E144" s="536" t="s">
        <v>818</v>
      </c>
      <c r="F144" s="536" t="s">
        <v>1194</v>
      </c>
      <c r="G144" s="536" t="s">
        <v>1173</v>
      </c>
      <c r="H144" s="536" t="s">
        <v>1195</v>
      </c>
      <c r="I144" s="535" t="s">
        <v>1219</v>
      </c>
      <c r="J144" s="536" t="s">
        <v>1216</v>
      </c>
      <c r="K144" s="536" t="s">
        <v>1203</v>
      </c>
      <c r="L144" s="535" t="s">
        <v>1217</v>
      </c>
      <c r="M144" s="536" t="s">
        <v>1218</v>
      </c>
      <c r="N144" s="536"/>
      <c r="O144" s="535"/>
      <c r="P144" s="536"/>
      <c r="Q144" s="536"/>
      <c r="R144" s="540"/>
      <c r="S144" s="537"/>
      <c r="T144" s="537"/>
      <c r="U144" s="537"/>
      <c r="V144" s="537"/>
      <c r="W144" s="537"/>
      <c r="X144" s="537"/>
      <c r="Y144" s="537"/>
      <c r="Z144" s="537"/>
      <c r="AA144" s="537"/>
      <c r="AB144" s="537"/>
      <c r="AC144" s="537"/>
      <c r="AD144" s="537">
        <f t="shared" si="23"/>
        <v>0</v>
      </c>
      <c r="AF144" s="541"/>
      <c r="AG144" s="541"/>
      <c r="AH144" s="541"/>
      <c r="AI144" s="541"/>
      <c r="AJ144" s="541"/>
      <c r="AK144" s="541"/>
      <c r="AL144" s="541"/>
      <c r="AM144" s="541"/>
      <c r="AN144" s="541"/>
      <c r="AO144" s="541"/>
      <c r="AP144" s="541"/>
      <c r="AQ144" s="541"/>
      <c r="AR144" s="1284">
        <f t="shared" si="18"/>
        <v>0</v>
      </c>
      <c r="AS144" s="719">
        <f t="shared" si="28"/>
        <v>0</v>
      </c>
      <c r="AT144" s="718">
        <f t="shared" si="29"/>
        <v>0</v>
      </c>
    </row>
    <row r="145" spans="1:46" s="533" customFormat="1" ht="16.399999999999999" customHeight="1" outlineLevel="1" x14ac:dyDescent="0.35">
      <c r="A145" s="534" t="s">
        <v>782</v>
      </c>
      <c r="B145" s="534" t="s">
        <v>783</v>
      </c>
      <c r="C145" s="535" t="s">
        <v>1156</v>
      </c>
      <c r="D145" s="536" t="s">
        <v>828</v>
      </c>
      <c r="E145" s="536" t="s">
        <v>818</v>
      </c>
      <c r="F145" s="536" t="s">
        <v>1220</v>
      </c>
      <c r="G145" s="536" t="s">
        <v>1173</v>
      </c>
      <c r="H145" s="536" t="s">
        <v>1221</v>
      </c>
      <c r="I145" s="535" t="s">
        <v>1222</v>
      </c>
      <c r="J145" s="536" t="s">
        <v>1223</v>
      </c>
      <c r="K145" s="536" t="s">
        <v>582</v>
      </c>
      <c r="L145" s="535" t="s">
        <v>1224</v>
      </c>
      <c r="M145" s="536" t="s">
        <v>1221</v>
      </c>
      <c r="N145" s="536"/>
      <c r="O145" s="535"/>
      <c r="P145" s="536"/>
      <c r="Q145" s="536"/>
      <c r="R145" s="540"/>
      <c r="S145" s="537"/>
      <c r="T145" s="537"/>
      <c r="U145" s="537"/>
      <c r="V145" s="537"/>
      <c r="W145" s="537"/>
      <c r="X145" s="537"/>
      <c r="Y145" s="537"/>
      <c r="Z145" s="537"/>
      <c r="AA145" s="537"/>
      <c r="AB145" s="537"/>
      <c r="AC145" s="537"/>
      <c r="AD145" s="537">
        <f t="shared" si="23"/>
        <v>0</v>
      </c>
      <c r="AF145" s="541"/>
      <c r="AG145" s="541"/>
      <c r="AH145" s="541"/>
      <c r="AI145" s="541"/>
      <c r="AJ145" s="541"/>
      <c r="AK145" s="541"/>
      <c r="AL145" s="541"/>
      <c r="AM145" s="541"/>
      <c r="AN145" s="541"/>
      <c r="AO145" s="541"/>
      <c r="AP145" s="541"/>
      <c r="AQ145" s="541"/>
      <c r="AR145" s="1284">
        <f t="shared" si="18"/>
        <v>0</v>
      </c>
      <c r="AS145" s="719">
        <f t="shared" si="28"/>
        <v>0</v>
      </c>
      <c r="AT145" s="718">
        <f t="shared" si="29"/>
        <v>0</v>
      </c>
    </row>
    <row r="146" spans="1:46" s="533" customFormat="1" ht="16.399999999999999" customHeight="1" outlineLevel="1" x14ac:dyDescent="0.35">
      <c r="A146" s="534" t="s">
        <v>782</v>
      </c>
      <c r="B146" s="534" t="s">
        <v>783</v>
      </c>
      <c r="C146" s="535" t="s">
        <v>1156</v>
      </c>
      <c r="D146" s="536" t="s">
        <v>828</v>
      </c>
      <c r="E146" s="536" t="s">
        <v>818</v>
      </c>
      <c r="F146" s="536" t="s">
        <v>1225</v>
      </c>
      <c r="G146" s="536" t="s">
        <v>1173</v>
      </c>
      <c r="H146" s="536" t="s">
        <v>1226</v>
      </c>
      <c r="I146" s="535" t="s">
        <v>1227</v>
      </c>
      <c r="J146" s="536" t="s">
        <v>1228</v>
      </c>
      <c r="K146" s="536" t="s">
        <v>582</v>
      </c>
      <c r="L146" s="535" t="s">
        <v>1229</v>
      </c>
      <c r="M146" s="536" t="s">
        <v>1226</v>
      </c>
      <c r="N146" s="536"/>
      <c r="O146" s="535"/>
      <c r="P146" s="536"/>
      <c r="Q146" s="536"/>
      <c r="R146" s="540"/>
      <c r="S146" s="537"/>
      <c r="T146" s="537"/>
      <c r="U146" s="537"/>
      <c r="V146" s="537"/>
      <c r="W146" s="537"/>
      <c r="X146" s="537"/>
      <c r="Y146" s="537"/>
      <c r="Z146" s="537"/>
      <c r="AA146" s="537"/>
      <c r="AB146" s="537"/>
      <c r="AC146" s="537"/>
      <c r="AD146" s="537">
        <f t="shared" si="23"/>
        <v>0</v>
      </c>
      <c r="AF146" s="541"/>
      <c r="AG146" s="541"/>
      <c r="AH146" s="541"/>
      <c r="AI146" s="541"/>
      <c r="AJ146" s="541"/>
      <c r="AK146" s="541"/>
      <c r="AL146" s="541"/>
      <c r="AM146" s="541"/>
      <c r="AN146" s="541"/>
      <c r="AO146" s="541"/>
      <c r="AP146" s="541"/>
      <c r="AQ146" s="541"/>
      <c r="AR146" s="1284">
        <f t="shared" si="18"/>
        <v>0</v>
      </c>
      <c r="AS146" s="719">
        <f t="shared" si="28"/>
        <v>0</v>
      </c>
      <c r="AT146" s="718">
        <f t="shared" si="29"/>
        <v>0</v>
      </c>
    </row>
    <row r="147" spans="1:46" s="533" customFormat="1" ht="16.399999999999999" customHeight="1" outlineLevel="1" x14ac:dyDescent="0.35">
      <c r="A147" s="534" t="s">
        <v>782</v>
      </c>
      <c r="B147" s="534" t="s">
        <v>783</v>
      </c>
      <c r="C147" s="535" t="s">
        <v>1156</v>
      </c>
      <c r="D147" s="536" t="s">
        <v>828</v>
      </c>
      <c r="E147" s="536" t="s">
        <v>818</v>
      </c>
      <c r="F147" s="536" t="s">
        <v>1230</v>
      </c>
      <c r="G147" s="536" t="s">
        <v>1173</v>
      </c>
      <c r="H147" s="536" t="s">
        <v>1231</v>
      </c>
      <c r="I147" s="535" t="s">
        <v>1232</v>
      </c>
      <c r="J147" s="536" t="s">
        <v>1233</v>
      </c>
      <c r="K147" s="536" t="s">
        <v>921</v>
      </c>
      <c r="L147" s="535" t="s">
        <v>1234</v>
      </c>
      <c r="M147" s="536" t="s">
        <v>1235</v>
      </c>
      <c r="N147" s="536"/>
      <c r="O147" s="535"/>
      <c r="P147" s="536"/>
      <c r="Q147" s="536"/>
      <c r="R147" s="540"/>
      <c r="S147" s="537"/>
      <c r="T147" s="537"/>
      <c r="U147" s="537"/>
      <c r="V147" s="537"/>
      <c r="W147" s="537"/>
      <c r="X147" s="537"/>
      <c r="Y147" s="537"/>
      <c r="Z147" s="537"/>
      <c r="AA147" s="537"/>
      <c r="AB147" s="537"/>
      <c r="AC147" s="537"/>
      <c r="AD147" s="537">
        <f t="shared" si="23"/>
        <v>0</v>
      </c>
      <c r="AF147" s="541"/>
      <c r="AG147" s="541"/>
      <c r="AH147" s="541"/>
      <c r="AI147" s="541"/>
      <c r="AJ147" s="541"/>
      <c r="AK147" s="541"/>
      <c r="AL147" s="541"/>
      <c r="AM147" s="541"/>
      <c r="AN147" s="541"/>
      <c r="AO147" s="541"/>
      <c r="AP147" s="541"/>
      <c r="AQ147" s="541"/>
      <c r="AR147" s="1284">
        <f t="shared" si="18"/>
        <v>0</v>
      </c>
      <c r="AS147" s="719">
        <f t="shared" si="28"/>
        <v>0</v>
      </c>
      <c r="AT147" s="718">
        <f t="shared" si="29"/>
        <v>0</v>
      </c>
    </row>
    <row r="148" spans="1:46" s="533" customFormat="1" ht="16.399999999999999" customHeight="1" outlineLevel="1" x14ac:dyDescent="0.35">
      <c r="A148" s="534" t="s">
        <v>782</v>
      </c>
      <c r="B148" s="534" t="s">
        <v>783</v>
      </c>
      <c r="C148" s="535" t="s">
        <v>1156</v>
      </c>
      <c r="D148" s="536" t="s">
        <v>828</v>
      </c>
      <c r="E148" s="536" t="s">
        <v>818</v>
      </c>
      <c r="F148" s="536" t="s">
        <v>1230</v>
      </c>
      <c r="G148" s="536" t="s">
        <v>1173</v>
      </c>
      <c r="H148" s="536" t="s">
        <v>1231</v>
      </c>
      <c r="I148" s="535" t="s">
        <v>1236</v>
      </c>
      <c r="J148" s="536" t="s">
        <v>1237</v>
      </c>
      <c r="K148" s="536" t="s">
        <v>921</v>
      </c>
      <c r="L148" s="535" t="s">
        <v>1238</v>
      </c>
      <c r="M148" s="536" t="s">
        <v>1231</v>
      </c>
      <c r="N148" s="536"/>
      <c r="O148" s="535"/>
      <c r="P148" s="536"/>
      <c r="Q148" s="536"/>
      <c r="R148" s="540"/>
      <c r="S148" s="537"/>
      <c r="T148" s="537"/>
      <c r="U148" s="537"/>
      <c r="V148" s="537"/>
      <c r="W148" s="537"/>
      <c r="X148" s="537"/>
      <c r="Y148" s="537"/>
      <c r="Z148" s="537"/>
      <c r="AA148" s="537"/>
      <c r="AB148" s="537"/>
      <c r="AC148" s="537"/>
      <c r="AD148" s="537">
        <f t="shared" si="23"/>
        <v>0</v>
      </c>
      <c r="AF148" s="541"/>
      <c r="AG148" s="541"/>
      <c r="AH148" s="541"/>
      <c r="AI148" s="541"/>
      <c r="AJ148" s="541"/>
      <c r="AK148" s="541"/>
      <c r="AL148" s="541"/>
      <c r="AM148" s="541"/>
      <c r="AN148" s="541"/>
      <c r="AO148" s="541"/>
      <c r="AP148" s="541"/>
      <c r="AQ148" s="541"/>
      <c r="AR148" s="1284">
        <f t="shared" si="18"/>
        <v>0</v>
      </c>
      <c r="AS148" s="719">
        <f t="shared" si="28"/>
        <v>0</v>
      </c>
      <c r="AT148" s="718">
        <f t="shared" si="29"/>
        <v>0</v>
      </c>
    </row>
    <row r="149" spans="1:46" s="533" customFormat="1" ht="16.399999999999999" customHeight="1" outlineLevel="1" x14ac:dyDescent="0.35">
      <c r="A149" s="534" t="s">
        <v>782</v>
      </c>
      <c r="B149" s="534" t="s">
        <v>783</v>
      </c>
      <c r="C149" s="535" t="s">
        <v>1156</v>
      </c>
      <c r="D149" s="536" t="s">
        <v>828</v>
      </c>
      <c r="E149" s="536" t="s">
        <v>818</v>
      </c>
      <c r="F149" s="536" t="s">
        <v>1230</v>
      </c>
      <c r="G149" s="536" t="s">
        <v>1173</v>
      </c>
      <c r="H149" s="536" t="s">
        <v>1231</v>
      </c>
      <c r="I149" s="535" t="s">
        <v>1239</v>
      </c>
      <c r="J149" s="536" t="s">
        <v>1237</v>
      </c>
      <c r="K149" s="536" t="s">
        <v>921</v>
      </c>
      <c r="L149" s="535" t="s">
        <v>1238</v>
      </c>
      <c r="M149" s="536" t="s">
        <v>1231</v>
      </c>
      <c r="N149" s="536"/>
      <c r="O149" s="535"/>
      <c r="P149" s="536"/>
      <c r="Q149" s="536"/>
      <c r="R149" s="540"/>
      <c r="S149" s="537"/>
      <c r="T149" s="537"/>
      <c r="U149" s="537"/>
      <c r="V149" s="537"/>
      <c r="W149" s="537"/>
      <c r="X149" s="537"/>
      <c r="Y149" s="537"/>
      <c r="Z149" s="537"/>
      <c r="AA149" s="537"/>
      <c r="AB149" s="537"/>
      <c r="AC149" s="537"/>
      <c r="AD149" s="537">
        <f t="shared" si="23"/>
        <v>0</v>
      </c>
      <c r="AF149" s="541"/>
      <c r="AG149" s="541"/>
      <c r="AH149" s="541"/>
      <c r="AI149" s="541"/>
      <c r="AJ149" s="541"/>
      <c r="AK149" s="541"/>
      <c r="AL149" s="541"/>
      <c r="AM149" s="541"/>
      <c r="AN149" s="541"/>
      <c r="AO149" s="541"/>
      <c r="AP149" s="541"/>
      <c r="AQ149" s="541"/>
      <c r="AR149" s="1284">
        <f t="shared" si="18"/>
        <v>0</v>
      </c>
      <c r="AS149" s="719">
        <f t="shared" si="28"/>
        <v>0</v>
      </c>
      <c r="AT149" s="718">
        <f t="shared" si="29"/>
        <v>0</v>
      </c>
    </row>
    <row r="150" spans="1:46" s="533" customFormat="1" ht="16.399999999999999" customHeight="1" outlineLevel="1" x14ac:dyDescent="0.35">
      <c r="A150" s="534" t="s">
        <v>782</v>
      </c>
      <c r="B150" s="534" t="s">
        <v>783</v>
      </c>
      <c r="C150" s="535" t="s">
        <v>1156</v>
      </c>
      <c r="D150" s="536" t="s">
        <v>828</v>
      </c>
      <c r="E150" s="536" t="s">
        <v>818</v>
      </c>
      <c r="F150" s="536" t="s">
        <v>1230</v>
      </c>
      <c r="G150" s="536" t="s">
        <v>1173</v>
      </c>
      <c r="H150" s="536" t="s">
        <v>1231</v>
      </c>
      <c r="I150" s="535" t="s">
        <v>1240</v>
      </c>
      <c r="J150" s="536" t="s">
        <v>1237</v>
      </c>
      <c r="K150" s="536" t="s">
        <v>921</v>
      </c>
      <c r="L150" s="535" t="s">
        <v>1238</v>
      </c>
      <c r="M150" s="536" t="s">
        <v>1231</v>
      </c>
      <c r="N150" s="536"/>
      <c r="O150" s="535"/>
      <c r="P150" s="536"/>
      <c r="Q150" s="536"/>
      <c r="R150" s="540"/>
      <c r="S150" s="537"/>
      <c r="T150" s="537"/>
      <c r="U150" s="537"/>
      <c r="V150" s="537"/>
      <c r="W150" s="537"/>
      <c r="X150" s="537"/>
      <c r="Y150" s="537"/>
      <c r="Z150" s="537"/>
      <c r="AA150" s="537"/>
      <c r="AB150" s="537"/>
      <c r="AC150" s="537"/>
      <c r="AD150" s="537">
        <f t="shared" si="23"/>
        <v>0</v>
      </c>
      <c r="AF150" s="541"/>
      <c r="AG150" s="541"/>
      <c r="AH150" s="541"/>
      <c r="AI150" s="541"/>
      <c r="AJ150" s="541"/>
      <c r="AK150" s="541"/>
      <c r="AL150" s="541"/>
      <c r="AM150" s="541"/>
      <c r="AN150" s="541"/>
      <c r="AO150" s="541"/>
      <c r="AP150" s="541"/>
      <c r="AQ150" s="541"/>
      <c r="AR150" s="1284">
        <f t="shared" si="18"/>
        <v>0</v>
      </c>
      <c r="AS150" s="719">
        <f t="shared" si="28"/>
        <v>0</v>
      </c>
      <c r="AT150" s="718">
        <f t="shared" si="29"/>
        <v>0</v>
      </c>
    </row>
    <row r="151" spans="1:46" s="533" customFormat="1" ht="16.399999999999999" customHeight="1" x14ac:dyDescent="0.35">
      <c r="A151" s="528" t="s">
        <v>782</v>
      </c>
      <c r="B151" s="528" t="s">
        <v>783</v>
      </c>
      <c r="C151" s="529" t="s">
        <v>1156</v>
      </c>
      <c r="D151" s="529"/>
      <c r="E151" s="529"/>
      <c r="F151" s="529"/>
      <c r="G151" s="529"/>
      <c r="H151" s="530" t="s">
        <v>1241</v>
      </c>
      <c r="I151" s="530" t="s">
        <v>1242</v>
      </c>
      <c r="J151" s="542"/>
      <c r="K151" s="529"/>
      <c r="L151" s="529"/>
      <c r="M151" s="529"/>
      <c r="N151" s="542"/>
      <c r="O151" s="530" t="s">
        <v>1242</v>
      </c>
      <c r="P151" s="542"/>
      <c r="Q151" s="542"/>
      <c r="R151" s="532">
        <f t="shared" ref="R151:AC151" si="30">SUM(R152:R228)</f>
        <v>0</v>
      </c>
      <c r="S151" s="532">
        <f t="shared" si="30"/>
        <v>0</v>
      </c>
      <c r="T151" s="532">
        <f t="shared" si="30"/>
        <v>0</v>
      </c>
      <c r="U151" s="532">
        <f t="shared" si="30"/>
        <v>0</v>
      </c>
      <c r="V151" s="532">
        <f t="shared" si="30"/>
        <v>0</v>
      </c>
      <c r="W151" s="532">
        <f t="shared" si="30"/>
        <v>0</v>
      </c>
      <c r="X151" s="532">
        <f t="shared" si="30"/>
        <v>0</v>
      </c>
      <c r="Y151" s="532">
        <f t="shared" si="30"/>
        <v>0</v>
      </c>
      <c r="Z151" s="532">
        <f t="shared" si="30"/>
        <v>0</v>
      </c>
      <c r="AA151" s="532">
        <f t="shared" si="30"/>
        <v>0</v>
      </c>
      <c r="AB151" s="532">
        <f t="shared" si="30"/>
        <v>0</v>
      </c>
      <c r="AC151" s="532">
        <f t="shared" si="30"/>
        <v>0</v>
      </c>
      <c r="AD151" s="532">
        <f t="shared" ref="AD151:AD204" si="31">SUM(R151:AC151)</f>
        <v>0</v>
      </c>
      <c r="AF151" s="532">
        <f t="shared" ref="AF151:AR151" si="32">SUM(AF152:AF228)</f>
        <v>0</v>
      </c>
      <c r="AG151" s="532">
        <f t="shared" si="32"/>
        <v>0</v>
      </c>
      <c r="AH151" s="532">
        <f t="shared" si="32"/>
        <v>0</v>
      </c>
      <c r="AI151" s="532">
        <f t="shared" si="32"/>
        <v>0</v>
      </c>
      <c r="AJ151" s="532">
        <f t="shared" si="32"/>
        <v>0</v>
      </c>
      <c r="AK151" s="532">
        <f t="shared" si="32"/>
        <v>0</v>
      </c>
      <c r="AL151" s="532">
        <f t="shared" si="32"/>
        <v>0</v>
      </c>
      <c r="AM151" s="532">
        <f t="shared" si="32"/>
        <v>0</v>
      </c>
      <c r="AN151" s="532">
        <f t="shared" si="32"/>
        <v>0</v>
      </c>
      <c r="AO151" s="532">
        <f t="shared" si="32"/>
        <v>0</v>
      </c>
      <c r="AP151" s="532">
        <f t="shared" si="32"/>
        <v>0</v>
      </c>
      <c r="AQ151" s="532">
        <f t="shared" si="32"/>
        <v>0</v>
      </c>
      <c r="AR151" s="1283">
        <f t="shared" si="32"/>
        <v>0</v>
      </c>
      <c r="AS151" s="1283">
        <f t="shared" si="28"/>
        <v>0</v>
      </c>
      <c r="AT151" s="1298">
        <f t="shared" si="29"/>
        <v>0</v>
      </c>
    </row>
    <row r="152" spans="1:46" s="533" customFormat="1" ht="16.399999999999999" customHeight="1" outlineLevel="1" x14ac:dyDescent="0.35">
      <c r="A152" s="534" t="s">
        <v>782</v>
      </c>
      <c r="B152" s="534" t="s">
        <v>783</v>
      </c>
      <c r="C152" s="535" t="s">
        <v>1156</v>
      </c>
      <c r="D152" s="536" t="s">
        <v>817</v>
      </c>
      <c r="E152" s="536" t="s">
        <v>818</v>
      </c>
      <c r="F152" s="536" t="s">
        <v>871</v>
      </c>
      <c r="G152" s="536" t="s">
        <v>1173</v>
      </c>
      <c r="H152" s="536" t="s">
        <v>850</v>
      </c>
      <c r="I152" s="535" t="s">
        <v>1243</v>
      </c>
      <c r="J152" s="536" t="s">
        <v>877</v>
      </c>
      <c r="K152" s="536" t="s">
        <v>570</v>
      </c>
      <c r="L152" s="535" t="s">
        <v>874</v>
      </c>
      <c r="M152" s="536" t="s">
        <v>875</v>
      </c>
      <c r="N152" s="536"/>
      <c r="O152" s="535"/>
      <c r="P152" s="536"/>
      <c r="Q152" s="536"/>
      <c r="R152" s="540"/>
      <c r="S152" s="537"/>
      <c r="T152" s="537"/>
      <c r="U152" s="537"/>
      <c r="V152" s="537"/>
      <c r="W152" s="537"/>
      <c r="X152" s="537"/>
      <c r="Y152" s="537"/>
      <c r="Z152" s="537"/>
      <c r="AA152" s="537"/>
      <c r="AB152" s="537"/>
      <c r="AC152" s="537"/>
      <c r="AD152" s="537">
        <f t="shared" si="31"/>
        <v>0</v>
      </c>
      <c r="AF152" s="541"/>
      <c r="AG152" s="541"/>
      <c r="AH152" s="541"/>
      <c r="AI152" s="541"/>
      <c r="AJ152" s="541"/>
      <c r="AK152" s="541"/>
      <c r="AL152" s="541"/>
      <c r="AM152" s="541"/>
      <c r="AN152" s="541"/>
      <c r="AO152" s="541"/>
      <c r="AP152" s="541"/>
      <c r="AQ152" s="541"/>
      <c r="AR152" s="1284">
        <f t="shared" si="18"/>
        <v>0</v>
      </c>
      <c r="AS152" s="719">
        <f t="shared" si="28"/>
        <v>0</v>
      </c>
      <c r="AT152" s="718">
        <f t="shared" si="29"/>
        <v>0</v>
      </c>
    </row>
    <row r="153" spans="1:46" s="533" customFormat="1" ht="16.399999999999999" customHeight="1" outlineLevel="1" x14ac:dyDescent="0.35">
      <c r="A153" s="534" t="s">
        <v>782</v>
      </c>
      <c r="B153" s="534" t="s">
        <v>783</v>
      </c>
      <c r="C153" s="535" t="s">
        <v>1156</v>
      </c>
      <c r="D153" s="536" t="s">
        <v>817</v>
      </c>
      <c r="E153" s="536" t="s">
        <v>818</v>
      </c>
      <c r="F153" s="536" t="s">
        <v>923</v>
      </c>
      <c r="G153" s="536" t="s">
        <v>1173</v>
      </c>
      <c r="H153" s="536" t="s">
        <v>924</v>
      </c>
      <c r="I153" s="535" t="s">
        <v>1244</v>
      </c>
      <c r="J153" s="536" t="s">
        <v>433</v>
      </c>
      <c r="K153" s="536" t="s">
        <v>578</v>
      </c>
      <c r="L153" s="535" t="s">
        <v>926</v>
      </c>
      <c r="M153" s="536" t="s">
        <v>924</v>
      </c>
      <c r="N153" s="536"/>
      <c r="O153" s="535"/>
      <c r="P153" s="536"/>
      <c r="Q153" s="536"/>
      <c r="R153" s="540"/>
      <c r="S153" s="537"/>
      <c r="T153" s="537"/>
      <c r="U153" s="537"/>
      <c r="V153" s="537"/>
      <c r="W153" s="537"/>
      <c r="X153" s="537"/>
      <c r="Y153" s="537"/>
      <c r="Z153" s="537"/>
      <c r="AA153" s="537"/>
      <c r="AB153" s="537"/>
      <c r="AC153" s="537"/>
      <c r="AD153" s="537">
        <f t="shared" si="31"/>
        <v>0</v>
      </c>
      <c r="AF153" s="541"/>
      <c r="AG153" s="541"/>
      <c r="AH153" s="541"/>
      <c r="AI153" s="541"/>
      <c r="AJ153" s="541"/>
      <c r="AK153" s="541"/>
      <c r="AL153" s="541"/>
      <c r="AM153" s="541"/>
      <c r="AN153" s="541"/>
      <c r="AO153" s="541"/>
      <c r="AP153" s="541"/>
      <c r="AQ153" s="541"/>
      <c r="AR153" s="1284">
        <f t="shared" si="18"/>
        <v>0</v>
      </c>
      <c r="AS153" s="719">
        <f t="shared" si="28"/>
        <v>0</v>
      </c>
      <c r="AT153" s="718">
        <f t="shared" si="29"/>
        <v>0</v>
      </c>
    </row>
    <row r="154" spans="1:46" s="533" customFormat="1" ht="16.399999999999999" customHeight="1" outlineLevel="1" x14ac:dyDescent="0.35">
      <c r="A154" s="534" t="s">
        <v>782</v>
      </c>
      <c r="B154" s="534" t="s">
        <v>783</v>
      </c>
      <c r="C154" s="535" t="s">
        <v>1156</v>
      </c>
      <c r="D154" s="536" t="s">
        <v>817</v>
      </c>
      <c r="E154" s="536" t="s">
        <v>818</v>
      </c>
      <c r="F154" s="536" t="s">
        <v>927</v>
      </c>
      <c r="G154" s="536" t="s">
        <v>1173</v>
      </c>
      <c r="H154" s="536" t="s">
        <v>469</v>
      </c>
      <c r="I154" s="535" t="s">
        <v>1245</v>
      </c>
      <c r="J154" s="536" t="s">
        <v>473</v>
      </c>
      <c r="K154" s="536" t="s">
        <v>579</v>
      </c>
      <c r="L154" s="535" t="s">
        <v>930</v>
      </c>
      <c r="M154" s="536" t="s">
        <v>469</v>
      </c>
      <c r="N154" s="536"/>
      <c r="O154" s="535"/>
      <c r="P154" s="536"/>
      <c r="Q154" s="536"/>
      <c r="R154" s="540"/>
      <c r="S154" s="537"/>
      <c r="T154" s="537"/>
      <c r="U154" s="537"/>
      <c r="V154" s="537"/>
      <c r="W154" s="537"/>
      <c r="X154" s="537"/>
      <c r="Y154" s="537"/>
      <c r="Z154" s="537"/>
      <c r="AA154" s="537"/>
      <c r="AB154" s="537"/>
      <c r="AC154" s="537"/>
      <c r="AD154" s="537">
        <f t="shared" si="31"/>
        <v>0</v>
      </c>
      <c r="AF154" s="541"/>
      <c r="AG154" s="541"/>
      <c r="AH154" s="541"/>
      <c r="AI154" s="541"/>
      <c r="AJ154" s="541"/>
      <c r="AK154" s="541"/>
      <c r="AL154" s="541"/>
      <c r="AM154" s="541"/>
      <c r="AN154" s="541"/>
      <c r="AO154" s="541"/>
      <c r="AP154" s="541"/>
      <c r="AQ154" s="541"/>
      <c r="AR154" s="1284">
        <f t="shared" si="18"/>
        <v>0</v>
      </c>
      <c r="AS154" s="719">
        <f t="shared" si="28"/>
        <v>0</v>
      </c>
      <c r="AT154" s="718">
        <f t="shared" si="29"/>
        <v>0</v>
      </c>
    </row>
    <row r="155" spans="1:46" s="533" customFormat="1" ht="16.399999999999999" customHeight="1" outlineLevel="1" x14ac:dyDescent="0.35">
      <c r="A155" s="534" t="s">
        <v>782</v>
      </c>
      <c r="B155" s="534" t="s">
        <v>783</v>
      </c>
      <c r="C155" s="535" t="s">
        <v>1156</v>
      </c>
      <c r="D155" s="536" t="s">
        <v>817</v>
      </c>
      <c r="E155" s="536" t="s">
        <v>818</v>
      </c>
      <c r="F155" s="536" t="s">
        <v>927</v>
      </c>
      <c r="G155" s="536" t="s">
        <v>1173</v>
      </c>
      <c r="H155" s="536" t="s">
        <v>469</v>
      </c>
      <c r="I155" s="535" t="s">
        <v>1246</v>
      </c>
      <c r="J155" s="536" t="s">
        <v>473</v>
      </c>
      <c r="K155" s="536" t="s">
        <v>579</v>
      </c>
      <c r="L155" s="535" t="s">
        <v>930</v>
      </c>
      <c r="M155" s="536" t="s">
        <v>469</v>
      </c>
      <c r="N155" s="536"/>
      <c r="O155" s="535"/>
      <c r="P155" s="536"/>
      <c r="Q155" s="536"/>
      <c r="R155" s="540"/>
      <c r="S155" s="537"/>
      <c r="T155" s="537"/>
      <c r="U155" s="537"/>
      <c r="V155" s="537"/>
      <c r="W155" s="537"/>
      <c r="X155" s="537"/>
      <c r="Y155" s="537"/>
      <c r="Z155" s="537"/>
      <c r="AA155" s="537"/>
      <c r="AB155" s="537"/>
      <c r="AC155" s="537"/>
      <c r="AD155" s="537">
        <f t="shared" si="31"/>
        <v>0</v>
      </c>
      <c r="AF155" s="541"/>
      <c r="AG155" s="541"/>
      <c r="AH155" s="541"/>
      <c r="AI155" s="541"/>
      <c r="AJ155" s="541"/>
      <c r="AK155" s="541"/>
      <c r="AL155" s="541"/>
      <c r="AM155" s="541"/>
      <c r="AN155" s="541"/>
      <c r="AO155" s="541"/>
      <c r="AP155" s="541"/>
      <c r="AQ155" s="541"/>
      <c r="AR155" s="1284">
        <f t="shared" si="18"/>
        <v>0</v>
      </c>
      <c r="AS155" s="719">
        <f t="shared" si="28"/>
        <v>0</v>
      </c>
      <c r="AT155" s="718">
        <f t="shared" si="29"/>
        <v>0</v>
      </c>
    </row>
    <row r="156" spans="1:46" s="533" customFormat="1" ht="16.399999999999999" customHeight="1" outlineLevel="1" x14ac:dyDescent="0.35">
      <c r="A156" s="534" t="s">
        <v>782</v>
      </c>
      <c r="B156" s="534" t="s">
        <v>783</v>
      </c>
      <c r="C156" s="535" t="s">
        <v>1156</v>
      </c>
      <c r="D156" s="536" t="s">
        <v>817</v>
      </c>
      <c r="E156" s="536" t="s">
        <v>818</v>
      </c>
      <c r="F156" s="536" t="s">
        <v>1247</v>
      </c>
      <c r="G156" s="536" t="s">
        <v>1173</v>
      </c>
      <c r="H156" s="536" t="s">
        <v>1248</v>
      </c>
      <c r="I156" s="535" t="s">
        <v>1249</v>
      </c>
      <c r="J156" s="536" t="s">
        <v>1250</v>
      </c>
      <c r="K156" s="536" t="s">
        <v>575</v>
      </c>
      <c r="L156" s="535" t="s">
        <v>1251</v>
      </c>
      <c r="M156" s="536" t="s">
        <v>1252</v>
      </c>
      <c r="N156" s="536"/>
      <c r="O156" s="535"/>
      <c r="P156" s="536"/>
      <c r="Q156" s="536"/>
      <c r="R156" s="540"/>
      <c r="S156" s="537"/>
      <c r="T156" s="537"/>
      <c r="U156" s="537"/>
      <c r="V156" s="537"/>
      <c r="W156" s="537"/>
      <c r="X156" s="537"/>
      <c r="Y156" s="537"/>
      <c r="Z156" s="537"/>
      <c r="AA156" s="537"/>
      <c r="AB156" s="537"/>
      <c r="AC156" s="537"/>
      <c r="AD156" s="537">
        <f t="shared" si="31"/>
        <v>0</v>
      </c>
      <c r="AF156" s="541"/>
      <c r="AG156" s="541"/>
      <c r="AH156" s="541"/>
      <c r="AI156" s="541"/>
      <c r="AJ156" s="541"/>
      <c r="AK156" s="541"/>
      <c r="AL156" s="541"/>
      <c r="AM156" s="541"/>
      <c r="AN156" s="541"/>
      <c r="AO156" s="541"/>
      <c r="AP156" s="541"/>
      <c r="AQ156" s="541"/>
      <c r="AR156" s="1284">
        <f t="shared" si="18"/>
        <v>0</v>
      </c>
      <c r="AS156" s="719">
        <f t="shared" si="28"/>
        <v>0</v>
      </c>
      <c r="AT156" s="718">
        <f t="shared" si="29"/>
        <v>0</v>
      </c>
    </row>
    <row r="157" spans="1:46" s="533" customFormat="1" ht="16.399999999999999" customHeight="1" outlineLevel="1" x14ac:dyDescent="0.35">
      <c r="A157" s="534" t="s">
        <v>782</v>
      </c>
      <c r="B157" s="534" t="s">
        <v>783</v>
      </c>
      <c r="C157" s="535" t="s">
        <v>1156</v>
      </c>
      <c r="D157" s="536" t="s">
        <v>817</v>
      </c>
      <c r="E157" s="536" t="s">
        <v>818</v>
      </c>
      <c r="F157" s="536" t="s">
        <v>1247</v>
      </c>
      <c r="G157" s="536" t="s">
        <v>1173</v>
      </c>
      <c r="H157" s="536" t="s">
        <v>1248</v>
      </c>
      <c r="I157" s="535" t="s">
        <v>1253</v>
      </c>
      <c r="J157" s="536" t="s">
        <v>474</v>
      </c>
      <c r="K157" s="536" t="s">
        <v>593</v>
      </c>
      <c r="L157" s="535" t="s">
        <v>1254</v>
      </c>
      <c r="M157" s="536" t="s">
        <v>1255</v>
      </c>
      <c r="N157" s="536"/>
      <c r="O157" s="535"/>
      <c r="P157" s="536"/>
      <c r="Q157" s="536"/>
      <c r="R157" s="540"/>
      <c r="S157" s="537"/>
      <c r="T157" s="537"/>
      <c r="U157" s="537"/>
      <c r="V157" s="537"/>
      <c r="W157" s="537"/>
      <c r="X157" s="537"/>
      <c r="Y157" s="537"/>
      <c r="Z157" s="537"/>
      <c r="AA157" s="537"/>
      <c r="AB157" s="537"/>
      <c r="AC157" s="537"/>
      <c r="AD157" s="537">
        <f t="shared" si="31"/>
        <v>0</v>
      </c>
      <c r="AF157" s="541"/>
      <c r="AG157" s="541"/>
      <c r="AH157" s="541"/>
      <c r="AI157" s="541"/>
      <c r="AJ157" s="541"/>
      <c r="AK157" s="541"/>
      <c r="AL157" s="541"/>
      <c r="AM157" s="541"/>
      <c r="AN157" s="541"/>
      <c r="AO157" s="541"/>
      <c r="AP157" s="541"/>
      <c r="AQ157" s="541"/>
      <c r="AR157" s="1284">
        <f t="shared" si="18"/>
        <v>0</v>
      </c>
      <c r="AS157" s="719">
        <f t="shared" si="28"/>
        <v>0</v>
      </c>
      <c r="AT157" s="718">
        <f t="shared" si="29"/>
        <v>0</v>
      </c>
    </row>
    <row r="158" spans="1:46" s="533" customFormat="1" ht="16.399999999999999" customHeight="1" outlineLevel="1" x14ac:dyDescent="0.35">
      <c r="A158" s="534" t="s">
        <v>782</v>
      </c>
      <c r="B158" s="534" t="s">
        <v>783</v>
      </c>
      <c r="C158" s="535" t="s">
        <v>1156</v>
      </c>
      <c r="D158" s="536" t="s">
        <v>817</v>
      </c>
      <c r="E158" s="536" t="s">
        <v>818</v>
      </c>
      <c r="F158" s="536" t="s">
        <v>933</v>
      </c>
      <c r="G158" s="536" t="s">
        <v>1173</v>
      </c>
      <c r="H158" s="536" t="s">
        <v>1256</v>
      </c>
      <c r="I158" s="535" t="s">
        <v>1257</v>
      </c>
      <c r="J158" s="536" t="s">
        <v>475</v>
      </c>
      <c r="K158" s="536" t="s">
        <v>592</v>
      </c>
      <c r="L158" s="535" t="s">
        <v>1258</v>
      </c>
      <c r="M158" s="536" t="s">
        <v>1259</v>
      </c>
      <c r="N158" s="536"/>
      <c r="O158" s="535"/>
      <c r="P158" s="536"/>
      <c r="Q158" s="536"/>
      <c r="R158" s="540"/>
      <c r="S158" s="537"/>
      <c r="T158" s="537"/>
      <c r="U158" s="537"/>
      <c r="V158" s="537"/>
      <c r="W158" s="537"/>
      <c r="X158" s="537"/>
      <c r="Y158" s="537"/>
      <c r="Z158" s="537"/>
      <c r="AA158" s="537"/>
      <c r="AB158" s="537"/>
      <c r="AC158" s="537"/>
      <c r="AD158" s="537">
        <f t="shared" si="31"/>
        <v>0</v>
      </c>
      <c r="AF158" s="541"/>
      <c r="AG158" s="541"/>
      <c r="AH158" s="541"/>
      <c r="AI158" s="541"/>
      <c r="AJ158" s="541"/>
      <c r="AK158" s="541"/>
      <c r="AL158" s="541"/>
      <c r="AM158" s="541"/>
      <c r="AN158" s="541"/>
      <c r="AO158" s="541"/>
      <c r="AP158" s="541"/>
      <c r="AQ158" s="541"/>
      <c r="AR158" s="1284">
        <f t="shared" si="18"/>
        <v>0</v>
      </c>
      <c r="AS158" s="719">
        <f t="shared" si="28"/>
        <v>0</v>
      </c>
      <c r="AT158" s="718">
        <f t="shared" si="29"/>
        <v>0</v>
      </c>
    </row>
    <row r="159" spans="1:46" s="533" customFormat="1" ht="16.399999999999999" customHeight="1" outlineLevel="1" x14ac:dyDescent="0.35">
      <c r="A159" s="534" t="s">
        <v>782</v>
      </c>
      <c r="B159" s="534" t="s">
        <v>783</v>
      </c>
      <c r="C159" s="535" t="s">
        <v>1156</v>
      </c>
      <c r="D159" s="536" t="s">
        <v>817</v>
      </c>
      <c r="E159" s="536" t="s">
        <v>818</v>
      </c>
      <c r="F159" s="536" t="s">
        <v>933</v>
      </c>
      <c r="G159" s="536" t="s">
        <v>1173</v>
      </c>
      <c r="H159" s="536" t="s">
        <v>1256</v>
      </c>
      <c r="I159" s="535" t="s">
        <v>1260</v>
      </c>
      <c r="J159" s="536" t="s">
        <v>434</v>
      </c>
      <c r="K159" s="536" t="s">
        <v>590</v>
      </c>
      <c r="L159" s="535" t="s">
        <v>936</v>
      </c>
      <c r="M159" s="536" t="s">
        <v>937</v>
      </c>
      <c r="N159" s="536"/>
      <c r="O159" s="535"/>
      <c r="P159" s="536"/>
      <c r="Q159" s="536"/>
      <c r="R159" s="540"/>
      <c r="S159" s="537"/>
      <c r="T159" s="537"/>
      <c r="U159" s="537"/>
      <c r="V159" s="537"/>
      <c r="W159" s="537"/>
      <c r="X159" s="537"/>
      <c r="Y159" s="537"/>
      <c r="Z159" s="537"/>
      <c r="AA159" s="537"/>
      <c r="AB159" s="537"/>
      <c r="AC159" s="537"/>
      <c r="AD159" s="537">
        <f t="shared" si="31"/>
        <v>0</v>
      </c>
      <c r="AF159" s="541"/>
      <c r="AG159" s="541"/>
      <c r="AH159" s="541"/>
      <c r="AI159" s="541"/>
      <c r="AJ159" s="541"/>
      <c r="AK159" s="541"/>
      <c r="AL159" s="541"/>
      <c r="AM159" s="541"/>
      <c r="AN159" s="541"/>
      <c r="AO159" s="541"/>
      <c r="AP159" s="541"/>
      <c r="AQ159" s="541"/>
      <c r="AR159" s="1284">
        <f t="shared" si="18"/>
        <v>0</v>
      </c>
      <c r="AS159" s="719">
        <f t="shared" si="28"/>
        <v>0</v>
      </c>
      <c r="AT159" s="718">
        <f t="shared" si="29"/>
        <v>0</v>
      </c>
    </row>
    <row r="160" spans="1:46" s="533" customFormat="1" ht="16.399999999999999" customHeight="1" outlineLevel="1" x14ac:dyDescent="0.35">
      <c r="A160" s="534" t="s">
        <v>782</v>
      </c>
      <c r="B160" s="534" t="s">
        <v>783</v>
      </c>
      <c r="C160" s="535" t="s">
        <v>1156</v>
      </c>
      <c r="D160" s="536" t="s">
        <v>817</v>
      </c>
      <c r="E160" s="536" t="s">
        <v>818</v>
      </c>
      <c r="F160" s="536" t="s">
        <v>933</v>
      </c>
      <c r="G160" s="536" t="s">
        <v>1173</v>
      </c>
      <c r="H160" s="536" t="s">
        <v>1256</v>
      </c>
      <c r="I160" s="535" t="s">
        <v>1261</v>
      </c>
      <c r="J160" s="536" t="s">
        <v>477</v>
      </c>
      <c r="K160" s="536" t="s">
        <v>575</v>
      </c>
      <c r="L160" s="535" t="s">
        <v>1262</v>
      </c>
      <c r="M160" s="536" t="s">
        <v>1263</v>
      </c>
      <c r="N160" s="536"/>
      <c r="O160" s="535"/>
      <c r="P160" s="536"/>
      <c r="Q160" s="536"/>
      <c r="R160" s="540"/>
      <c r="S160" s="537"/>
      <c r="T160" s="537"/>
      <c r="U160" s="537"/>
      <c r="V160" s="537"/>
      <c r="W160" s="537"/>
      <c r="X160" s="537"/>
      <c r="Y160" s="537"/>
      <c r="Z160" s="537"/>
      <c r="AA160" s="537"/>
      <c r="AB160" s="537"/>
      <c r="AC160" s="537"/>
      <c r="AD160" s="537">
        <f t="shared" si="31"/>
        <v>0</v>
      </c>
      <c r="AF160" s="541"/>
      <c r="AG160" s="541"/>
      <c r="AH160" s="541"/>
      <c r="AI160" s="541"/>
      <c r="AJ160" s="541"/>
      <c r="AK160" s="541"/>
      <c r="AL160" s="541"/>
      <c r="AM160" s="541"/>
      <c r="AN160" s="541"/>
      <c r="AO160" s="541"/>
      <c r="AP160" s="541"/>
      <c r="AQ160" s="541"/>
      <c r="AR160" s="1284">
        <f t="shared" si="18"/>
        <v>0</v>
      </c>
      <c r="AS160" s="719">
        <f t="shared" si="28"/>
        <v>0</v>
      </c>
      <c r="AT160" s="718">
        <f t="shared" si="29"/>
        <v>0</v>
      </c>
    </row>
    <row r="161" spans="1:46" s="533" customFormat="1" ht="16.399999999999999" customHeight="1" outlineLevel="1" x14ac:dyDescent="0.35">
      <c r="A161" s="534" t="s">
        <v>782</v>
      </c>
      <c r="B161" s="534" t="s">
        <v>783</v>
      </c>
      <c r="C161" s="535" t="s">
        <v>1156</v>
      </c>
      <c r="D161" s="536" t="s">
        <v>817</v>
      </c>
      <c r="E161" s="536" t="s">
        <v>818</v>
      </c>
      <c r="F161" s="536" t="s">
        <v>1264</v>
      </c>
      <c r="G161" s="536" t="s">
        <v>1173</v>
      </c>
      <c r="H161" s="536" t="s">
        <v>1265</v>
      </c>
      <c r="I161" s="535" t="s">
        <v>1266</v>
      </c>
      <c r="J161" s="536" t="s">
        <v>1267</v>
      </c>
      <c r="K161" s="536" t="s">
        <v>587</v>
      </c>
      <c r="L161" s="535" t="s">
        <v>1268</v>
      </c>
      <c r="M161" s="536" t="s">
        <v>1269</v>
      </c>
      <c r="N161" s="536"/>
      <c r="O161" s="535"/>
      <c r="P161" s="536"/>
      <c r="Q161" s="536"/>
      <c r="R161" s="540"/>
      <c r="S161" s="537"/>
      <c r="T161" s="537"/>
      <c r="U161" s="537"/>
      <c r="V161" s="537"/>
      <c r="W161" s="537"/>
      <c r="X161" s="537"/>
      <c r="Y161" s="537"/>
      <c r="Z161" s="537"/>
      <c r="AA161" s="537"/>
      <c r="AB161" s="537"/>
      <c r="AC161" s="537"/>
      <c r="AD161" s="537">
        <f t="shared" si="31"/>
        <v>0</v>
      </c>
      <c r="AF161" s="541"/>
      <c r="AG161" s="541"/>
      <c r="AH161" s="541"/>
      <c r="AI161" s="541"/>
      <c r="AJ161" s="541"/>
      <c r="AK161" s="541"/>
      <c r="AL161" s="541"/>
      <c r="AM161" s="541"/>
      <c r="AN161" s="541"/>
      <c r="AO161" s="541"/>
      <c r="AP161" s="541"/>
      <c r="AQ161" s="541"/>
      <c r="AR161" s="1284">
        <f t="shared" si="18"/>
        <v>0</v>
      </c>
      <c r="AS161" s="719">
        <f t="shared" si="28"/>
        <v>0</v>
      </c>
      <c r="AT161" s="718">
        <f t="shared" si="29"/>
        <v>0</v>
      </c>
    </row>
    <row r="162" spans="1:46" s="533" customFormat="1" ht="16.399999999999999" customHeight="1" outlineLevel="1" x14ac:dyDescent="0.35">
      <c r="A162" s="534" t="s">
        <v>782</v>
      </c>
      <c r="B162" s="534" t="s">
        <v>783</v>
      </c>
      <c r="C162" s="535" t="s">
        <v>1156</v>
      </c>
      <c r="D162" s="536" t="s">
        <v>817</v>
      </c>
      <c r="E162" s="536" t="s">
        <v>818</v>
      </c>
      <c r="F162" s="536" t="s">
        <v>1264</v>
      </c>
      <c r="G162" s="536" t="s">
        <v>1173</v>
      </c>
      <c r="H162" s="536" t="s">
        <v>1265</v>
      </c>
      <c r="I162" s="535" t="s">
        <v>1270</v>
      </c>
      <c r="J162" s="536" t="s">
        <v>1271</v>
      </c>
      <c r="K162" s="536" t="s">
        <v>587</v>
      </c>
      <c r="L162" s="535" t="s">
        <v>1272</v>
      </c>
      <c r="M162" s="536" t="s">
        <v>1273</v>
      </c>
      <c r="N162" s="536"/>
      <c r="O162" s="535"/>
      <c r="P162" s="536"/>
      <c r="Q162" s="536"/>
      <c r="R162" s="540"/>
      <c r="S162" s="537"/>
      <c r="T162" s="537"/>
      <c r="U162" s="537"/>
      <c r="V162" s="537"/>
      <c r="W162" s="537"/>
      <c r="X162" s="537"/>
      <c r="Y162" s="537"/>
      <c r="Z162" s="537"/>
      <c r="AA162" s="537"/>
      <c r="AB162" s="537"/>
      <c r="AC162" s="537"/>
      <c r="AD162" s="537">
        <f t="shared" si="31"/>
        <v>0</v>
      </c>
      <c r="AF162" s="541"/>
      <c r="AG162" s="541"/>
      <c r="AH162" s="541"/>
      <c r="AI162" s="541"/>
      <c r="AJ162" s="541"/>
      <c r="AK162" s="541"/>
      <c r="AL162" s="541"/>
      <c r="AM162" s="541"/>
      <c r="AN162" s="541"/>
      <c r="AO162" s="541"/>
      <c r="AP162" s="541"/>
      <c r="AQ162" s="541"/>
      <c r="AR162" s="1284">
        <f t="shared" si="18"/>
        <v>0</v>
      </c>
      <c r="AS162" s="719">
        <f t="shared" si="28"/>
        <v>0</v>
      </c>
      <c r="AT162" s="718">
        <f t="shared" si="29"/>
        <v>0</v>
      </c>
    </row>
    <row r="163" spans="1:46" s="533" customFormat="1" ht="16.399999999999999" customHeight="1" outlineLevel="1" x14ac:dyDescent="0.35">
      <c r="A163" s="534" t="s">
        <v>782</v>
      </c>
      <c r="B163" s="534" t="s">
        <v>783</v>
      </c>
      <c r="C163" s="535" t="s">
        <v>1156</v>
      </c>
      <c r="D163" s="536" t="s">
        <v>817</v>
      </c>
      <c r="E163" s="536" t="s">
        <v>818</v>
      </c>
      <c r="F163" s="536" t="s">
        <v>1264</v>
      </c>
      <c r="G163" s="536" t="s">
        <v>1173</v>
      </c>
      <c r="H163" s="536" t="s">
        <v>1265</v>
      </c>
      <c r="I163" s="535" t="s">
        <v>1274</v>
      </c>
      <c r="J163" s="536" t="s">
        <v>478</v>
      </c>
      <c r="K163" s="536" t="s">
        <v>587</v>
      </c>
      <c r="L163" s="535" t="s">
        <v>1275</v>
      </c>
      <c r="M163" s="536" t="s">
        <v>1276</v>
      </c>
      <c r="N163" s="536"/>
      <c r="O163" s="535"/>
      <c r="P163" s="536"/>
      <c r="Q163" s="536"/>
      <c r="R163" s="540"/>
      <c r="S163" s="537"/>
      <c r="T163" s="537"/>
      <c r="U163" s="537"/>
      <c r="V163" s="537"/>
      <c r="W163" s="537"/>
      <c r="X163" s="537"/>
      <c r="Y163" s="537"/>
      <c r="Z163" s="537"/>
      <c r="AA163" s="537"/>
      <c r="AB163" s="537"/>
      <c r="AC163" s="537"/>
      <c r="AD163" s="537">
        <f t="shared" si="31"/>
        <v>0</v>
      </c>
      <c r="AF163" s="541"/>
      <c r="AG163" s="541"/>
      <c r="AH163" s="541"/>
      <c r="AI163" s="541"/>
      <c r="AJ163" s="541"/>
      <c r="AK163" s="541"/>
      <c r="AL163" s="541"/>
      <c r="AM163" s="541"/>
      <c r="AN163" s="541"/>
      <c r="AO163" s="541"/>
      <c r="AP163" s="541"/>
      <c r="AQ163" s="541"/>
      <c r="AR163" s="1284">
        <f t="shared" si="18"/>
        <v>0</v>
      </c>
      <c r="AS163" s="719">
        <f t="shared" si="28"/>
        <v>0</v>
      </c>
      <c r="AT163" s="718">
        <f t="shared" si="29"/>
        <v>0</v>
      </c>
    </row>
    <row r="164" spans="1:46" s="533" customFormat="1" ht="16.399999999999999" customHeight="1" outlineLevel="1" x14ac:dyDescent="0.35">
      <c r="A164" s="534" t="s">
        <v>782</v>
      </c>
      <c r="B164" s="534" t="s">
        <v>783</v>
      </c>
      <c r="C164" s="535" t="s">
        <v>1156</v>
      </c>
      <c r="D164" s="536" t="s">
        <v>817</v>
      </c>
      <c r="E164" s="536" t="s">
        <v>818</v>
      </c>
      <c r="F164" s="536" t="s">
        <v>1264</v>
      </c>
      <c r="G164" s="536" t="s">
        <v>1173</v>
      </c>
      <c r="H164" s="536" t="s">
        <v>1265</v>
      </c>
      <c r="I164" s="535" t="s">
        <v>1277</v>
      </c>
      <c r="J164" s="536" t="s">
        <v>478</v>
      </c>
      <c r="K164" s="536" t="s">
        <v>587</v>
      </c>
      <c r="L164" s="535" t="s">
        <v>1275</v>
      </c>
      <c r="M164" s="536" t="s">
        <v>1276</v>
      </c>
      <c r="N164" s="536"/>
      <c r="O164" s="535"/>
      <c r="P164" s="536"/>
      <c r="Q164" s="536"/>
      <c r="R164" s="540"/>
      <c r="S164" s="537"/>
      <c r="T164" s="537"/>
      <c r="U164" s="537"/>
      <c r="V164" s="537"/>
      <c r="W164" s="537"/>
      <c r="X164" s="537"/>
      <c r="Y164" s="537"/>
      <c r="Z164" s="537"/>
      <c r="AA164" s="537"/>
      <c r="AB164" s="537"/>
      <c r="AC164" s="537"/>
      <c r="AD164" s="537">
        <f t="shared" si="31"/>
        <v>0</v>
      </c>
      <c r="AF164" s="541"/>
      <c r="AG164" s="541"/>
      <c r="AH164" s="541"/>
      <c r="AI164" s="541"/>
      <c r="AJ164" s="541"/>
      <c r="AK164" s="541"/>
      <c r="AL164" s="541"/>
      <c r="AM164" s="541"/>
      <c r="AN164" s="541"/>
      <c r="AO164" s="541"/>
      <c r="AP164" s="541"/>
      <c r="AQ164" s="541"/>
      <c r="AR164" s="1284">
        <f t="shared" si="18"/>
        <v>0</v>
      </c>
      <c r="AS164" s="719">
        <f t="shared" si="28"/>
        <v>0</v>
      </c>
      <c r="AT164" s="718">
        <f t="shared" si="29"/>
        <v>0</v>
      </c>
    </row>
    <row r="165" spans="1:46" s="533" customFormat="1" ht="16.399999999999999" customHeight="1" outlineLevel="1" x14ac:dyDescent="0.35">
      <c r="A165" s="534" t="s">
        <v>782</v>
      </c>
      <c r="B165" s="534" t="s">
        <v>783</v>
      </c>
      <c r="C165" s="535" t="s">
        <v>1156</v>
      </c>
      <c r="D165" s="536" t="s">
        <v>817</v>
      </c>
      <c r="E165" s="536" t="s">
        <v>818</v>
      </c>
      <c r="F165" s="536" t="s">
        <v>1264</v>
      </c>
      <c r="G165" s="536" t="s">
        <v>1173</v>
      </c>
      <c r="H165" s="536" t="s">
        <v>1265</v>
      </c>
      <c r="I165" s="535" t="s">
        <v>1278</v>
      </c>
      <c r="J165" s="536" t="s">
        <v>1279</v>
      </c>
      <c r="K165" s="536" t="s">
        <v>587</v>
      </c>
      <c r="L165" s="535" t="s">
        <v>1280</v>
      </c>
      <c r="M165" s="536" t="s">
        <v>1281</v>
      </c>
      <c r="N165" s="536"/>
      <c r="O165" s="535"/>
      <c r="P165" s="536"/>
      <c r="Q165" s="536"/>
      <c r="R165" s="540"/>
      <c r="S165" s="537"/>
      <c r="T165" s="537"/>
      <c r="U165" s="537"/>
      <c r="V165" s="537"/>
      <c r="W165" s="537"/>
      <c r="X165" s="537"/>
      <c r="Y165" s="537"/>
      <c r="Z165" s="537"/>
      <c r="AA165" s="537"/>
      <c r="AB165" s="537"/>
      <c r="AC165" s="537"/>
      <c r="AD165" s="537">
        <f t="shared" si="31"/>
        <v>0</v>
      </c>
      <c r="AF165" s="541"/>
      <c r="AG165" s="541"/>
      <c r="AH165" s="541"/>
      <c r="AI165" s="541"/>
      <c r="AJ165" s="541"/>
      <c r="AK165" s="541"/>
      <c r="AL165" s="541"/>
      <c r="AM165" s="541"/>
      <c r="AN165" s="541"/>
      <c r="AO165" s="541"/>
      <c r="AP165" s="541"/>
      <c r="AQ165" s="541"/>
      <c r="AR165" s="1284">
        <f t="shared" si="18"/>
        <v>0</v>
      </c>
      <c r="AS165" s="719">
        <f t="shared" si="28"/>
        <v>0</v>
      </c>
      <c r="AT165" s="718">
        <f t="shared" si="29"/>
        <v>0</v>
      </c>
    </row>
    <row r="166" spans="1:46" s="533" customFormat="1" ht="16.399999999999999" customHeight="1" outlineLevel="1" x14ac:dyDescent="0.35">
      <c r="A166" s="534" t="s">
        <v>782</v>
      </c>
      <c r="B166" s="534" t="s">
        <v>783</v>
      </c>
      <c r="C166" s="535" t="s">
        <v>1156</v>
      </c>
      <c r="D166" s="536" t="s">
        <v>817</v>
      </c>
      <c r="E166" s="536" t="s">
        <v>818</v>
      </c>
      <c r="F166" s="536" t="s">
        <v>1264</v>
      </c>
      <c r="G166" s="536" t="s">
        <v>1173</v>
      </c>
      <c r="H166" s="536" t="s">
        <v>1265</v>
      </c>
      <c r="I166" s="535" t="s">
        <v>1282</v>
      </c>
      <c r="J166" s="536" t="s">
        <v>1283</v>
      </c>
      <c r="K166" s="536" t="s">
        <v>1284</v>
      </c>
      <c r="L166" s="535" t="s">
        <v>1285</v>
      </c>
      <c r="M166" s="536" t="s">
        <v>1286</v>
      </c>
      <c r="N166" s="536"/>
      <c r="O166" s="535"/>
      <c r="P166" s="536"/>
      <c r="Q166" s="536"/>
      <c r="R166" s="540"/>
      <c r="S166" s="537"/>
      <c r="T166" s="537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>
        <f t="shared" si="31"/>
        <v>0</v>
      </c>
      <c r="AF166" s="541"/>
      <c r="AG166" s="541"/>
      <c r="AH166" s="541"/>
      <c r="AI166" s="541"/>
      <c r="AJ166" s="541"/>
      <c r="AK166" s="541"/>
      <c r="AL166" s="541"/>
      <c r="AM166" s="541"/>
      <c r="AN166" s="541"/>
      <c r="AO166" s="541"/>
      <c r="AP166" s="541"/>
      <c r="AQ166" s="541"/>
      <c r="AR166" s="1284">
        <f t="shared" si="18"/>
        <v>0</v>
      </c>
      <c r="AS166" s="719">
        <f t="shared" si="28"/>
        <v>0</v>
      </c>
      <c r="AT166" s="718">
        <f t="shared" si="29"/>
        <v>0</v>
      </c>
    </row>
    <row r="167" spans="1:46" s="533" customFormat="1" ht="16.399999999999999" customHeight="1" outlineLevel="1" x14ac:dyDescent="0.35">
      <c r="A167" s="534" t="s">
        <v>782</v>
      </c>
      <c r="B167" s="534" t="s">
        <v>783</v>
      </c>
      <c r="C167" s="535" t="s">
        <v>1156</v>
      </c>
      <c r="D167" s="536" t="s">
        <v>817</v>
      </c>
      <c r="E167" s="536" t="s">
        <v>818</v>
      </c>
      <c r="F167" s="536" t="s">
        <v>1264</v>
      </c>
      <c r="G167" s="536" t="s">
        <v>1173</v>
      </c>
      <c r="H167" s="536" t="s">
        <v>1265</v>
      </c>
      <c r="I167" s="535" t="s">
        <v>1287</v>
      </c>
      <c r="J167" s="536" t="s">
        <v>1288</v>
      </c>
      <c r="K167" s="536" t="s">
        <v>587</v>
      </c>
      <c r="L167" s="535" t="s">
        <v>1289</v>
      </c>
      <c r="M167" s="536" t="s">
        <v>1290</v>
      </c>
      <c r="N167" s="536"/>
      <c r="O167" s="535"/>
      <c r="P167" s="536"/>
      <c r="Q167" s="536"/>
      <c r="R167" s="540"/>
      <c r="S167" s="537"/>
      <c r="T167" s="537"/>
      <c r="U167" s="537"/>
      <c r="V167" s="537"/>
      <c r="W167" s="537"/>
      <c r="X167" s="537"/>
      <c r="Y167" s="537"/>
      <c r="Z167" s="537"/>
      <c r="AA167" s="537"/>
      <c r="AB167" s="537"/>
      <c r="AC167" s="537"/>
      <c r="AD167" s="537">
        <f t="shared" si="31"/>
        <v>0</v>
      </c>
      <c r="AF167" s="541"/>
      <c r="AG167" s="541"/>
      <c r="AH167" s="541"/>
      <c r="AI167" s="541"/>
      <c r="AJ167" s="541"/>
      <c r="AK167" s="541"/>
      <c r="AL167" s="541"/>
      <c r="AM167" s="541"/>
      <c r="AN167" s="541"/>
      <c r="AO167" s="541"/>
      <c r="AP167" s="541"/>
      <c r="AQ167" s="541"/>
      <c r="AR167" s="1284">
        <f t="shared" si="18"/>
        <v>0</v>
      </c>
      <c r="AS167" s="719">
        <f t="shared" si="28"/>
        <v>0</v>
      </c>
      <c r="AT167" s="718">
        <f t="shared" si="29"/>
        <v>0</v>
      </c>
    </row>
    <row r="168" spans="1:46" s="533" customFormat="1" ht="16.399999999999999" customHeight="1" outlineLevel="1" x14ac:dyDescent="0.35">
      <c r="A168" s="534" t="s">
        <v>782</v>
      </c>
      <c r="B168" s="534" t="s">
        <v>783</v>
      </c>
      <c r="C168" s="535" t="s">
        <v>1156</v>
      </c>
      <c r="D168" s="536" t="s">
        <v>817</v>
      </c>
      <c r="E168" s="536" t="s">
        <v>818</v>
      </c>
      <c r="F168" s="536" t="s">
        <v>938</v>
      </c>
      <c r="G168" s="536" t="s">
        <v>1173</v>
      </c>
      <c r="H168" s="536" t="s">
        <v>939</v>
      </c>
      <c r="I168" s="535" t="s">
        <v>1291</v>
      </c>
      <c r="J168" s="536" t="s">
        <v>1292</v>
      </c>
      <c r="K168" s="536" t="s">
        <v>579</v>
      </c>
      <c r="L168" s="535" t="s">
        <v>951</v>
      </c>
      <c r="M168" s="536" t="s">
        <v>952</v>
      </c>
      <c r="N168" s="536"/>
      <c r="O168" s="535"/>
      <c r="P168" s="536"/>
      <c r="Q168" s="536"/>
      <c r="R168" s="540"/>
      <c r="S168" s="537"/>
      <c r="T168" s="537"/>
      <c r="U168" s="537"/>
      <c r="V168" s="537"/>
      <c r="W168" s="537"/>
      <c r="X168" s="537"/>
      <c r="Y168" s="537"/>
      <c r="Z168" s="537"/>
      <c r="AA168" s="537"/>
      <c r="AB168" s="537"/>
      <c r="AC168" s="537"/>
      <c r="AD168" s="537">
        <f t="shared" si="31"/>
        <v>0</v>
      </c>
      <c r="AF168" s="541"/>
      <c r="AG168" s="541"/>
      <c r="AH168" s="541"/>
      <c r="AI168" s="541"/>
      <c r="AJ168" s="541"/>
      <c r="AK168" s="541"/>
      <c r="AL168" s="541"/>
      <c r="AM168" s="541"/>
      <c r="AN168" s="541"/>
      <c r="AO168" s="541"/>
      <c r="AP168" s="541"/>
      <c r="AQ168" s="541"/>
      <c r="AR168" s="1284">
        <f t="shared" ref="AR168:AR231" si="33">SUM(AF168:AQ168)</f>
        <v>0</v>
      </c>
      <c r="AS168" s="719">
        <f t="shared" si="28"/>
        <v>0</v>
      </c>
      <c r="AT168" s="718">
        <f t="shared" si="29"/>
        <v>0</v>
      </c>
    </row>
    <row r="169" spans="1:46" s="533" customFormat="1" ht="16.399999999999999" customHeight="1" outlineLevel="1" x14ac:dyDescent="0.35">
      <c r="A169" s="534" t="s">
        <v>782</v>
      </c>
      <c r="B169" s="534" t="s">
        <v>783</v>
      </c>
      <c r="C169" s="535" t="s">
        <v>1156</v>
      </c>
      <c r="D169" s="536" t="s">
        <v>817</v>
      </c>
      <c r="E169" s="536" t="s">
        <v>818</v>
      </c>
      <c r="F169" s="536" t="s">
        <v>938</v>
      </c>
      <c r="G169" s="536" t="s">
        <v>1173</v>
      </c>
      <c r="H169" s="536" t="s">
        <v>939</v>
      </c>
      <c r="I169" s="535" t="s">
        <v>1293</v>
      </c>
      <c r="J169" s="536" t="s">
        <v>1292</v>
      </c>
      <c r="K169" s="536" t="s">
        <v>579</v>
      </c>
      <c r="L169" s="535" t="s">
        <v>951</v>
      </c>
      <c r="M169" s="536" t="s">
        <v>952</v>
      </c>
      <c r="N169" s="536"/>
      <c r="O169" s="535"/>
      <c r="P169" s="536"/>
      <c r="Q169" s="536"/>
      <c r="R169" s="540"/>
      <c r="S169" s="537"/>
      <c r="T169" s="537"/>
      <c r="U169" s="537"/>
      <c r="V169" s="537"/>
      <c r="W169" s="537"/>
      <c r="X169" s="537"/>
      <c r="Y169" s="537"/>
      <c r="Z169" s="537"/>
      <c r="AA169" s="537"/>
      <c r="AB169" s="537"/>
      <c r="AC169" s="537"/>
      <c r="AD169" s="537">
        <f t="shared" si="31"/>
        <v>0</v>
      </c>
      <c r="AF169" s="541"/>
      <c r="AG169" s="541"/>
      <c r="AH169" s="541"/>
      <c r="AI169" s="541"/>
      <c r="AJ169" s="541"/>
      <c r="AK169" s="541"/>
      <c r="AL169" s="541"/>
      <c r="AM169" s="541"/>
      <c r="AN169" s="541"/>
      <c r="AO169" s="541"/>
      <c r="AP169" s="541"/>
      <c r="AQ169" s="541"/>
      <c r="AR169" s="1284">
        <f t="shared" si="33"/>
        <v>0</v>
      </c>
      <c r="AS169" s="719">
        <f t="shared" si="28"/>
        <v>0</v>
      </c>
      <c r="AT169" s="718">
        <f t="shared" si="29"/>
        <v>0</v>
      </c>
    </row>
    <row r="170" spans="1:46" s="533" customFormat="1" ht="16.399999999999999" customHeight="1" outlineLevel="1" x14ac:dyDescent="0.35">
      <c r="A170" s="534" t="s">
        <v>782</v>
      </c>
      <c r="B170" s="534" t="s">
        <v>783</v>
      </c>
      <c r="C170" s="535" t="s">
        <v>1156</v>
      </c>
      <c r="D170" s="536" t="s">
        <v>817</v>
      </c>
      <c r="E170" s="536" t="s">
        <v>818</v>
      </c>
      <c r="F170" s="536" t="s">
        <v>963</v>
      </c>
      <c r="G170" s="536" t="s">
        <v>1173</v>
      </c>
      <c r="H170" s="536" t="s">
        <v>964</v>
      </c>
      <c r="I170" s="535" t="s">
        <v>1294</v>
      </c>
      <c r="J170" s="536" t="s">
        <v>435</v>
      </c>
      <c r="K170" s="536" t="s">
        <v>580</v>
      </c>
      <c r="L170" s="535" t="s">
        <v>966</v>
      </c>
      <c r="M170" s="536" t="s">
        <v>967</v>
      </c>
      <c r="N170" s="536"/>
      <c r="O170" s="535"/>
      <c r="P170" s="536"/>
      <c r="Q170" s="536"/>
      <c r="R170" s="540"/>
      <c r="S170" s="537"/>
      <c r="T170" s="537"/>
      <c r="U170" s="537"/>
      <c r="V170" s="537"/>
      <c r="W170" s="537"/>
      <c r="X170" s="537"/>
      <c r="Y170" s="537"/>
      <c r="Z170" s="537"/>
      <c r="AA170" s="537"/>
      <c r="AB170" s="537"/>
      <c r="AC170" s="537"/>
      <c r="AD170" s="537">
        <f t="shared" si="31"/>
        <v>0</v>
      </c>
      <c r="AF170" s="541"/>
      <c r="AG170" s="541"/>
      <c r="AH170" s="541"/>
      <c r="AI170" s="541"/>
      <c r="AJ170" s="541"/>
      <c r="AK170" s="541"/>
      <c r="AL170" s="541"/>
      <c r="AM170" s="541"/>
      <c r="AN170" s="541"/>
      <c r="AO170" s="541"/>
      <c r="AP170" s="541"/>
      <c r="AQ170" s="541"/>
      <c r="AR170" s="1284">
        <f t="shared" si="33"/>
        <v>0</v>
      </c>
      <c r="AS170" s="719">
        <f t="shared" si="28"/>
        <v>0</v>
      </c>
      <c r="AT170" s="718">
        <f t="shared" si="29"/>
        <v>0</v>
      </c>
    </row>
    <row r="171" spans="1:46" s="533" customFormat="1" ht="16.399999999999999" customHeight="1" outlineLevel="1" x14ac:dyDescent="0.35">
      <c r="A171" s="534" t="s">
        <v>782</v>
      </c>
      <c r="B171" s="534" t="s">
        <v>783</v>
      </c>
      <c r="C171" s="535" t="s">
        <v>1156</v>
      </c>
      <c r="D171" s="536" t="s">
        <v>817</v>
      </c>
      <c r="E171" s="536" t="s">
        <v>818</v>
      </c>
      <c r="F171" s="536" t="s">
        <v>963</v>
      </c>
      <c r="G171" s="536" t="s">
        <v>1173</v>
      </c>
      <c r="H171" s="536" t="s">
        <v>964</v>
      </c>
      <c r="I171" s="535" t="s">
        <v>1295</v>
      </c>
      <c r="J171" s="536" t="s">
        <v>436</v>
      </c>
      <c r="K171" s="536" t="s">
        <v>580</v>
      </c>
      <c r="L171" s="535" t="s">
        <v>972</v>
      </c>
      <c r="M171" s="536" t="s">
        <v>973</v>
      </c>
      <c r="N171" s="536"/>
      <c r="O171" s="535"/>
      <c r="P171" s="536"/>
      <c r="Q171" s="536"/>
      <c r="R171" s="540"/>
      <c r="S171" s="537"/>
      <c r="T171" s="537"/>
      <c r="U171" s="537"/>
      <c r="V171" s="537"/>
      <c r="W171" s="537"/>
      <c r="X171" s="537"/>
      <c r="Y171" s="537"/>
      <c r="Z171" s="537"/>
      <c r="AA171" s="537"/>
      <c r="AB171" s="537"/>
      <c r="AC171" s="537"/>
      <c r="AD171" s="537">
        <f t="shared" si="31"/>
        <v>0</v>
      </c>
      <c r="AF171" s="541"/>
      <c r="AG171" s="541"/>
      <c r="AH171" s="541"/>
      <c r="AI171" s="541"/>
      <c r="AJ171" s="541"/>
      <c r="AK171" s="541"/>
      <c r="AL171" s="541"/>
      <c r="AM171" s="541"/>
      <c r="AN171" s="541"/>
      <c r="AO171" s="541"/>
      <c r="AP171" s="541"/>
      <c r="AQ171" s="541"/>
      <c r="AR171" s="1284">
        <f t="shared" si="33"/>
        <v>0</v>
      </c>
      <c r="AS171" s="719">
        <f t="shared" si="28"/>
        <v>0</v>
      </c>
      <c r="AT171" s="718">
        <f t="shared" si="29"/>
        <v>0</v>
      </c>
    </row>
    <row r="172" spans="1:46" s="533" customFormat="1" ht="16.399999999999999" customHeight="1" outlineLevel="1" x14ac:dyDescent="0.35">
      <c r="A172" s="534" t="s">
        <v>782</v>
      </c>
      <c r="B172" s="534" t="s">
        <v>783</v>
      </c>
      <c r="C172" s="535" t="s">
        <v>1156</v>
      </c>
      <c r="D172" s="536" t="s">
        <v>817</v>
      </c>
      <c r="E172" s="536" t="s">
        <v>818</v>
      </c>
      <c r="F172" s="536" t="s">
        <v>963</v>
      </c>
      <c r="G172" s="536" t="s">
        <v>1173</v>
      </c>
      <c r="H172" s="536" t="s">
        <v>964</v>
      </c>
      <c r="I172" s="535" t="s">
        <v>1296</v>
      </c>
      <c r="J172" s="536" t="s">
        <v>436</v>
      </c>
      <c r="K172" s="536" t="s">
        <v>580</v>
      </c>
      <c r="L172" s="535" t="s">
        <v>972</v>
      </c>
      <c r="M172" s="536" t="s">
        <v>973</v>
      </c>
      <c r="N172" s="536"/>
      <c r="O172" s="535"/>
      <c r="P172" s="536"/>
      <c r="Q172" s="536"/>
      <c r="R172" s="540"/>
      <c r="S172" s="537"/>
      <c r="T172" s="537"/>
      <c r="U172" s="537"/>
      <c r="V172" s="537"/>
      <c r="W172" s="537"/>
      <c r="X172" s="537"/>
      <c r="Y172" s="537"/>
      <c r="Z172" s="537"/>
      <c r="AA172" s="537"/>
      <c r="AB172" s="537"/>
      <c r="AC172" s="537"/>
      <c r="AD172" s="537">
        <f t="shared" si="31"/>
        <v>0</v>
      </c>
      <c r="AF172" s="541"/>
      <c r="AG172" s="541"/>
      <c r="AH172" s="541"/>
      <c r="AI172" s="541"/>
      <c r="AJ172" s="541"/>
      <c r="AK172" s="541"/>
      <c r="AL172" s="541"/>
      <c r="AM172" s="541"/>
      <c r="AN172" s="541"/>
      <c r="AO172" s="541"/>
      <c r="AP172" s="541"/>
      <c r="AQ172" s="541"/>
      <c r="AR172" s="1284">
        <f t="shared" si="33"/>
        <v>0</v>
      </c>
      <c r="AS172" s="719">
        <f t="shared" si="28"/>
        <v>0</v>
      </c>
      <c r="AT172" s="718">
        <f t="shared" si="29"/>
        <v>0</v>
      </c>
    </row>
    <row r="173" spans="1:46" s="533" customFormat="1" ht="16.399999999999999" customHeight="1" outlineLevel="1" x14ac:dyDescent="0.35">
      <c r="A173" s="534" t="s">
        <v>782</v>
      </c>
      <c r="B173" s="534" t="s">
        <v>783</v>
      </c>
      <c r="C173" s="535" t="s">
        <v>1156</v>
      </c>
      <c r="D173" s="536" t="s">
        <v>817</v>
      </c>
      <c r="E173" s="536" t="s">
        <v>818</v>
      </c>
      <c r="F173" s="536" t="s">
        <v>975</v>
      </c>
      <c r="G173" s="536" t="s">
        <v>1173</v>
      </c>
      <c r="H173" s="536" t="s">
        <v>976</v>
      </c>
      <c r="I173" s="535" t="s">
        <v>1297</v>
      </c>
      <c r="J173" s="536" t="s">
        <v>437</v>
      </c>
      <c r="K173" s="536" t="s">
        <v>570</v>
      </c>
      <c r="L173" s="535" t="s">
        <v>978</v>
      </c>
      <c r="M173" s="536" t="s">
        <v>979</v>
      </c>
      <c r="N173" s="536"/>
      <c r="O173" s="535"/>
      <c r="P173" s="536"/>
      <c r="Q173" s="536"/>
      <c r="R173" s="540"/>
      <c r="S173" s="537"/>
      <c r="T173" s="537"/>
      <c r="U173" s="537"/>
      <c r="V173" s="537"/>
      <c r="W173" s="537"/>
      <c r="X173" s="537"/>
      <c r="Y173" s="537"/>
      <c r="Z173" s="537"/>
      <c r="AA173" s="537"/>
      <c r="AB173" s="537"/>
      <c r="AC173" s="537"/>
      <c r="AD173" s="537">
        <f t="shared" si="31"/>
        <v>0</v>
      </c>
      <c r="AF173" s="541"/>
      <c r="AG173" s="541"/>
      <c r="AH173" s="541"/>
      <c r="AI173" s="541"/>
      <c r="AJ173" s="541"/>
      <c r="AK173" s="541"/>
      <c r="AL173" s="541"/>
      <c r="AM173" s="541"/>
      <c r="AN173" s="541"/>
      <c r="AO173" s="541"/>
      <c r="AP173" s="541"/>
      <c r="AQ173" s="541"/>
      <c r="AR173" s="1284">
        <f t="shared" si="33"/>
        <v>0</v>
      </c>
      <c r="AS173" s="719">
        <f t="shared" si="28"/>
        <v>0</v>
      </c>
      <c r="AT173" s="718">
        <f t="shared" si="29"/>
        <v>0</v>
      </c>
    </row>
    <row r="174" spans="1:46" s="533" customFormat="1" ht="16.399999999999999" customHeight="1" outlineLevel="1" x14ac:dyDescent="0.35">
      <c r="A174" s="534" t="s">
        <v>782</v>
      </c>
      <c r="B174" s="534" t="s">
        <v>783</v>
      </c>
      <c r="C174" s="535" t="s">
        <v>1156</v>
      </c>
      <c r="D174" s="536" t="s">
        <v>817</v>
      </c>
      <c r="E174" s="536" t="s">
        <v>818</v>
      </c>
      <c r="F174" s="536" t="s">
        <v>980</v>
      </c>
      <c r="G174" s="536" t="s">
        <v>1173</v>
      </c>
      <c r="H174" s="536" t="s">
        <v>605</v>
      </c>
      <c r="I174" s="535" t="s">
        <v>1298</v>
      </c>
      <c r="J174" s="536" t="s">
        <v>982</v>
      </c>
      <c r="K174" s="536" t="s">
        <v>579</v>
      </c>
      <c r="L174" s="535" t="s">
        <v>983</v>
      </c>
      <c r="M174" s="536" t="s">
        <v>984</v>
      </c>
      <c r="N174" s="536"/>
      <c r="O174" s="535"/>
      <c r="P174" s="536"/>
      <c r="Q174" s="536"/>
      <c r="R174" s="540"/>
      <c r="S174" s="537"/>
      <c r="T174" s="537"/>
      <c r="U174" s="537"/>
      <c r="V174" s="537"/>
      <c r="W174" s="537"/>
      <c r="X174" s="537"/>
      <c r="Y174" s="537"/>
      <c r="Z174" s="537"/>
      <c r="AA174" s="537"/>
      <c r="AB174" s="537"/>
      <c r="AC174" s="537"/>
      <c r="AD174" s="537">
        <f t="shared" si="31"/>
        <v>0</v>
      </c>
      <c r="AF174" s="541"/>
      <c r="AG174" s="541"/>
      <c r="AH174" s="541"/>
      <c r="AI174" s="541"/>
      <c r="AJ174" s="541"/>
      <c r="AK174" s="541"/>
      <c r="AL174" s="541"/>
      <c r="AM174" s="541"/>
      <c r="AN174" s="541"/>
      <c r="AO174" s="541"/>
      <c r="AP174" s="541"/>
      <c r="AQ174" s="541"/>
      <c r="AR174" s="1284">
        <f t="shared" si="33"/>
        <v>0</v>
      </c>
      <c r="AS174" s="719">
        <f t="shared" si="28"/>
        <v>0</v>
      </c>
      <c r="AT174" s="718">
        <f t="shared" si="29"/>
        <v>0</v>
      </c>
    </row>
    <row r="175" spans="1:46" s="533" customFormat="1" ht="16.399999999999999" customHeight="1" outlineLevel="1" x14ac:dyDescent="0.35">
      <c r="A175" s="534" t="s">
        <v>782</v>
      </c>
      <c r="B175" s="534" t="s">
        <v>783</v>
      </c>
      <c r="C175" s="535" t="s">
        <v>1156</v>
      </c>
      <c r="D175" s="536" t="s">
        <v>817</v>
      </c>
      <c r="E175" s="536" t="s">
        <v>818</v>
      </c>
      <c r="F175" s="536" t="s">
        <v>980</v>
      </c>
      <c r="G175" s="536" t="s">
        <v>1173</v>
      </c>
      <c r="H175" s="536" t="s">
        <v>605</v>
      </c>
      <c r="I175" s="535" t="s">
        <v>1299</v>
      </c>
      <c r="J175" s="536" t="s">
        <v>982</v>
      </c>
      <c r="K175" s="536" t="s">
        <v>579</v>
      </c>
      <c r="L175" s="535" t="s">
        <v>983</v>
      </c>
      <c r="M175" s="536" t="s">
        <v>984</v>
      </c>
      <c r="N175" s="536"/>
      <c r="O175" s="535"/>
      <c r="P175" s="536"/>
      <c r="Q175" s="536"/>
      <c r="R175" s="540"/>
      <c r="S175" s="537"/>
      <c r="T175" s="537"/>
      <c r="U175" s="537"/>
      <c r="V175" s="537"/>
      <c r="W175" s="537"/>
      <c r="X175" s="537"/>
      <c r="Y175" s="537"/>
      <c r="Z175" s="537"/>
      <c r="AA175" s="537"/>
      <c r="AB175" s="537"/>
      <c r="AC175" s="537"/>
      <c r="AD175" s="537">
        <f t="shared" si="31"/>
        <v>0</v>
      </c>
      <c r="AF175" s="541"/>
      <c r="AG175" s="541"/>
      <c r="AH175" s="541"/>
      <c r="AI175" s="541"/>
      <c r="AJ175" s="541"/>
      <c r="AK175" s="541"/>
      <c r="AL175" s="541"/>
      <c r="AM175" s="541"/>
      <c r="AN175" s="541"/>
      <c r="AO175" s="541"/>
      <c r="AP175" s="541"/>
      <c r="AQ175" s="541"/>
      <c r="AR175" s="1284">
        <f t="shared" si="33"/>
        <v>0</v>
      </c>
      <c r="AS175" s="719">
        <f t="shared" si="28"/>
        <v>0</v>
      </c>
      <c r="AT175" s="718">
        <f t="shared" si="29"/>
        <v>0</v>
      </c>
    </row>
    <row r="176" spans="1:46" s="533" customFormat="1" ht="16.399999999999999" customHeight="1" outlineLevel="1" x14ac:dyDescent="0.35">
      <c r="A176" s="534" t="s">
        <v>782</v>
      </c>
      <c r="B176" s="534" t="s">
        <v>783</v>
      </c>
      <c r="C176" s="535" t="s">
        <v>1156</v>
      </c>
      <c r="D176" s="536" t="s">
        <v>817</v>
      </c>
      <c r="E176" s="536" t="s">
        <v>818</v>
      </c>
      <c r="F176" s="536" t="s">
        <v>980</v>
      </c>
      <c r="G176" s="536" t="s">
        <v>1173</v>
      </c>
      <c r="H176" s="536" t="s">
        <v>605</v>
      </c>
      <c r="I176" s="535" t="s">
        <v>1300</v>
      </c>
      <c r="J176" s="536" t="s">
        <v>1301</v>
      </c>
      <c r="K176" s="536" t="s">
        <v>579</v>
      </c>
      <c r="L176" s="535" t="s">
        <v>988</v>
      </c>
      <c r="M176" s="536" t="s">
        <v>989</v>
      </c>
      <c r="N176" s="536"/>
      <c r="O176" s="535"/>
      <c r="P176" s="536"/>
      <c r="Q176" s="536"/>
      <c r="R176" s="540"/>
      <c r="S176" s="537"/>
      <c r="T176" s="537"/>
      <c r="U176" s="537"/>
      <c r="V176" s="537"/>
      <c r="W176" s="537"/>
      <c r="X176" s="537"/>
      <c r="Y176" s="537"/>
      <c r="Z176" s="537"/>
      <c r="AA176" s="537"/>
      <c r="AB176" s="537"/>
      <c r="AC176" s="537"/>
      <c r="AD176" s="537">
        <f t="shared" si="31"/>
        <v>0</v>
      </c>
      <c r="AF176" s="541"/>
      <c r="AG176" s="541"/>
      <c r="AH176" s="541"/>
      <c r="AI176" s="541"/>
      <c r="AJ176" s="541"/>
      <c r="AK176" s="541"/>
      <c r="AL176" s="541"/>
      <c r="AM176" s="541"/>
      <c r="AN176" s="541"/>
      <c r="AO176" s="541"/>
      <c r="AP176" s="541"/>
      <c r="AQ176" s="541"/>
      <c r="AR176" s="1284">
        <f t="shared" si="33"/>
        <v>0</v>
      </c>
      <c r="AS176" s="719">
        <f t="shared" si="28"/>
        <v>0</v>
      </c>
      <c r="AT176" s="718">
        <f t="shared" si="29"/>
        <v>0</v>
      </c>
    </row>
    <row r="177" spans="1:46" s="533" customFormat="1" ht="16.399999999999999" customHeight="1" outlineLevel="1" x14ac:dyDescent="0.35">
      <c r="A177" s="534" t="s">
        <v>782</v>
      </c>
      <c r="B177" s="534" t="s">
        <v>783</v>
      </c>
      <c r="C177" s="535" t="s">
        <v>1156</v>
      </c>
      <c r="D177" s="536" t="s">
        <v>817</v>
      </c>
      <c r="E177" s="536" t="s">
        <v>818</v>
      </c>
      <c r="F177" s="536" t="s">
        <v>980</v>
      </c>
      <c r="G177" s="536" t="s">
        <v>1173</v>
      </c>
      <c r="H177" s="536" t="s">
        <v>605</v>
      </c>
      <c r="I177" s="535" t="s">
        <v>1302</v>
      </c>
      <c r="J177" s="536" t="s">
        <v>1301</v>
      </c>
      <c r="K177" s="536" t="s">
        <v>579</v>
      </c>
      <c r="L177" s="535" t="s">
        <v>988</v>
      </c>
      <c r="M177" s="536" t="s">
        <v>989</v>
      </c>
      <c r="N177" s="536"/>
      <c r="O177" s="535"/>
      <c r="P177" s="536"/>
      <c r="Q177" s="536"/>
      <c r="R177" s="540"/>
      <c r="S177" s="537"/>
      <c r="T177" s="537"/>
      <c r="U177" s="537"/>
      <c r="V177" s="537"/>
      <c r="W177" s="537"/>
      <c r="X177" s="537"/>
      <c r="Y177" s="537"/>
      <c r="Z177" s="537"/>
      <c r="AA177" s="537"/>
      <c r="AB177" s="537"/>
      <c r="AC177" s="537"/>
      <c r="AD177" s="537">
        <f t="shared" si="31"/>
        <v>0</v>
      </c>
      <c r="AF177" s="541"/>
      <c r="AG177" s="541"/>
      <c r="AH177" s="541"/>
      <c r="AI177" s="541"/>
      <c r="AJ177" s="541"/>
      <c r="AK177" s="541"/>
      <c r="AL177" s="541"/>
      <c r="AM177" s="541"/>
      <c r="AN177" s="541"/>
      <c r="AO177" s="541"/>
      <c r="AP177" s="541"/>
      <c r="AQ177" s="541"/>
      <c r="AR177" s="1284">
        <f t="shared" si="33"/>
        <v>0</v>
      </c>
      <c r="AS177" s="719">
        <f t="shared" si="28"/>
        <v>0</v>
      </c>
      <c r="AT177" s="718">
        <f t="shared" si="29"/>
        <v>0</v>
      </c>
    </row>
    <row r="178" spans="1:46" s="533" customFormat="1" ht="16.399999999999999" customHeight="1" outlineLevel="1" x14ac:dyDescent="0.35">
      <c r="A178" s="534" t="s">
        <v>782</v>
      </c>
      <c r="B178" s="534" t="s">
        <v>783</v>
      </c>
      <c r="C178" s="535" t="s">
        <v>1156</v>
      </c>
      <c r="D178" s="536" t="s">
        <v>817</v>
      </c>
      <c r="E178" s="536" t="s">
        <v>818</v>
      </c>
      <c r="F178" s="536" t="s">
        <v>980</v>
      </c>
      <c r="G178" s="536" t="s">
        <v>1173</v>
      </c>
      <c r="H178" s="536" t="s">
        <v>605</v>
      </c>
      <c r="I178" s="535" t="s">
        <v>1303</v>
      </c>
      <c r="J178" s="536" t="s">
        <v>1304</v>
      </c>
      <c r="K178" s="536" t="s">
        <v>579</v>
      </c>
      <c r="L178" s="535" t="s">
        <v>1305</v>
      </c>
      <c r="M178" s="536" t="s">
        <v>1306</v>
      </c>
      <c r="N178" s="536"/>
      <c r="O178" s="535"/>
      <c r="P178" s="536"/>
      <c r="Q178" s="536"/>
      <c r="R178" s="540"/>
      <c r="S178" s="537"/>
      <c r="T178" s="537"/>
      <c r="U178" s="537"/>
      <c r="V178" s="537"/>
      <c r="W178" s="537"/>
      <c r="X178" s="537"/>
      <c r="Y178" s="537"/>
      <c r="Z178" s="537"/>
      <c r="AA178" s="537"/>
      <c r="AB178" s="537"/>
      <c r="AC178" s="537"/>
      <c r="AD178" s="537">
        <f t="shared" si="31"/>
        <v>0</v>
      </c>
      <c r="AF178" s="541"/>
      <c r="AG178" s="541"/>
      <c r="AH178" s="541"/>
      <c r="AI178" s="541"/>
      <c r="AJ178" s="541"/>
      <c r="AK178" s="541"/>
      <c r="AL178" s="541"/>
      <c r="AM178" s="541"/>
      <c r="AN178" s="541"/>
      <c r="AO178" s="541"/>
      <c r="AP178" s="541"/>
      <c r="AQ178" s="541"/>
      <c r="AR178" s="1284">
        <f t="shared" si="33"/>
        <v>0</v>
      </c>
      <c r="AS178" s="719">
        <f t="shared" si="28"/>
        <v>0</v>
      </c>
      <c r="AT178" s="718">
        <f t="shared" si="29"/>
        <v>0</v>
      </c>
    </row>
    <row r="179" spans="1:46" s="533" customFormat="1" ht="16.399999999999999" customHeight="1" outlineLevel="1" x14ac:dyDescent="0.35">
      <c r="A179" s="534" t="s">
        <v>782</v>
      </c>
      <c r="B179" s="534" t="s">
        <v>783</v>
      </c>
      <c r="C179" s="535" t="s">
        <v>1156</v>
      </c>
      <c r="D179" s="536" t="s">
        <v>817</v>
      </c>
      <c r="E179" s="536" t="s">
        <v>818</v>
      </c>
      <c r="F179" s="536" t="s">
        <v>980</v>
      </c>
      <c r="G179" s="536" t="s">
        <v>1173</v>
      </c>
      <c r="H179" s="536" t="s">
        <v>605</v>
      </c>
      <c r="I179" s="535" t="s">
        <v>1307</v>
      </c>
      <c r="J179" s="536" t="s">
        <v>1308</v>
      </c>
      <c r="K179" s="536" t="s">
        <v>579</v>
      </c>
      <c r="L179" s="535" t="s">
        <v>1309</v>
      </c>
      <c r="M179" s="536" t="s">
        <v>1310</v>
      </c>
      <c r="N179" s="536"/>
      <c r="O179" s="535"/>
      <c r="P179" s="536"/>
      <c r="Q179" s="536"/>
      <c r="R179" s="540"/>
      <c r="S179" s="537"/>
      <c r="T179" s="537"/>
      <c r="U179" s="537"/>
      <c r="V179" s="537"/>
      <c r="W179" s="537"/>
      <c r="X179" s="537"/>
      <c r="Y179" s="537"/>
      <c r="Z179" s="537"/>
      <c r="AA179" s="537"/>
      <c r="AB179" s="537"/>
      <c r="AC179" s="537"/>
      <c r="AD179" s="537">
        <f t="shared" si="31"/>
        <v>0</v>
      </c>
      <c r="AF179" s="541"/>
      <c r="AG179" s="541"/>
      <c r="AH179" s="541"/>
      <c r="AI179" s="541"/>
      <c r="AJ179" s="541"/>
      <c r="AK179" s="541"/>
      <c r="AL179" s="541"/>
      <c r="AM179" s="541"/>
      <c r="AN179" s="541"/>
      <c r="AO179" s="541"/>
      <c r="AP179" s="541"/>
      <c r="AQ179" s="541"/>
      <c r="AR179" s="1284">
        <f t="shared" si="33"/>
        <v>0</v>
      </c>
      <c r="AS179" s="719">
        <f t="shared" si="28"/>
        <v>0</v>
      </c>
      <c r="AT179" s="718">
        <f t="shared" si="29"/>
        <v>0</v>
      </c>
    </row>
    <row r="180" spans="1:46" s="533" customFormat="1" ht="16.399999999999999" customHeight="1" outlineLevel="1" x14ac:dyDescent="0.35">
      <c r="A180" s="534" t="s">
        <v>782</v>
      </c>
      <c r="B180" s="534" t="s">
        <v>783</v>
      </c>
      <c r="C180" s="535" t="s">
        <v>1156</v>
      </c>
      <c r="D180" s="536" t="s">
        <v>817</v>
      </c>
      <c r="E180" s="536" t="s">
        <v>818</v>
      </c>
      <c r="F180" s="536" t="s">
        <v>980</v>
      </c>
      <c r="G180" s="536" t="s">
        <v>1173</v>
      </c>
      <c r="H180" s="536" t="s">
        <v>605</v>
      </c>
      <c r="I180" s="535" t="s">
        <v>1311</v>
      </c>
      <c r="J180" s="536" t="s">
        <v>1308</v>
      </c>
      <c r="K180" s="536" t="s">
        <v>579</v>
      </c>
      <c r="L180" s="535" t="s">
        <v>1309</v>
      </c>
      <c r="M180" s="536" t="s">
        <v>1310</v>
      </c>
      <c r="N180" s="536"/>
      <c r="O180" s="535"/>
      <c r="P180" s="536"/>
      <c r="Q180" s="536"/>
      <c r="R180" s="540"/>
      <c r="S180" s="537"/>
      <c r="T180" s="537"/>
      <c r="U180" s="537"/>
      <c r="V180" s="537"/>
      <c r="W180" s="537"/>
      <c r="X180" s="537"/>
      <c r="Y180" s="537"/>
      <c r="Z180" s="537"/>
      <c r="AA180" s="537"/>
      <c r="AB180" s="537"/>
      <c r="AC180" s="537"/>
      <c r="AD180" s="537">
        <f t="shared" si="31"/>
        <v>0</v>
      </c>
      <c r="AF180" s="541"/>
      <c r="AG180" s="541"/>
      <c r="AH180" s="541"/>
      <c r="AI180" s="541"/>
      <c r="AJ180" s="541"/>
      <c r="AK180" s="541"/>
      <c r="AL180" s="541"/>
      <c r="AM180" s="541"/>
      <c r="AN180" s="541"/>
      <c r="AO180" s="541"/>
      <c r="AP180" s="541"/>
      <c r="AQ180" s="541"/>
      <c r="AR180" s="1284">
        <f t="shared" si="33"/>
        <v>0</v>
      </c>
      <c r="AS180" s="719">
        <f t="shared" si="28"/>
        <v>0</v>
      </c>
      <c r="AT180" s="718">
        <f t="shared" si="29"/>
        <v>0</v>
      </c>
    </row>
    <row r="181" spans="1:46" s="533" customFormat="1" ht="16.399999999999999" customHeight="1" outlineLevel="1" x14ac:dyDescent="0.35">
      <c r="A181" s="534" t="s">
        <v>782</v>
      </c>
      <c r="B181" s="534" t="s">
        <v>783</v>
      </c>
      <c r="C181" s="535" t="s">
        <v>1156</v>
      </c>
      <c r="D181" s="536" t="s">
        <v>817</v>
      </c>
      <c r="E181" s="536" t="s">
        <v>818</v>
      </c>
      <c r="F181" s="536" t="s">
        <v>980</v>
      </c>
      <c r="G181" s="536" t="s">
        <v>1173</v>
      </c>
      <c r="H181" s="536" t="s">
        <v>605</v>
      </c>
      <c r="I181" s="535" t="s">
        <v>1312</v>
      </c>
      <c r="J181" s="536" t="s">
        <v>1313</v>
      </c>
      <c r="K181" s="536" t="s">
        <v>579</v>
      </c>
      <c r="L181" s="535" t="s">
        <v>1314</v>
      </c>
      <c r="M181" s="536" t="s">
        <v>1315</v>
      </c>
      <c r="N181" s="536"/>
      <c r="O181" s="535"/>
      <c r="P181" s="536"/>
      <c r="Q181" s="536"/>
      <c r="R181" s="540"/>
      <c r="S181" s="537"/>
      <c r="T181" s="537"/>
      <c r="U181" s="537"/>
      <c r="V181" s="537"/>
      <c r="W181" s="537"/>
      <c r="X181" s="537"/>
      <c r="Y181" s="537"/>
      <c r="Z181" s="537"/>
      <c r="AA181" s="537"/>
      <c r="AB181" s="537"/>
      <c r="AC181" s="537"/>
      <c r="AD181" s="537">
        <f t="shared" si="31"/>
        <v>0</v>
      </c>
      <c r="AF181" s="541"/>
      <c r="AG181" s="541"/>
      <c r="AH181" s="541"/>
      <c r="AI181" s="541"/>
      <c r="AJ181" s="541"/>
      <c r="AK181" s="541"/>
      <c r="AL181" s="541"/>
      <c r="AM181" s="541"/>
      <c r="AN181" s="541"/>
      <c r="AO181" s="541"/>
      <c r="AP181" s="541"/>
      <c r="AQ181" s="541"/>
      <c r="AR181" s="1284">
        <f t="shared" si="33"/>
        <v>0</v>
      </c>
      <c r="AS181" s="719">
        <f t="shared" si="28"/>
        <v>0</v>
      </c>
      <c r="AT181" s="718">
        <f t="shared" si="29"/>
        <v>0</v>
      </c>
    </row>
    <row r="182" spans="1:46" s="533" customFormat="1" ht="16.399999999999999" customHeight="1" outlineLevel="1" x14ac:dyDescent="0.35">
      <c r="A182" s="534" t="s">
        <v>782</v>
      </c>
      <c r="B182" s="534" t="s">
        <v>783</v>
      </c>
      <c r="C182" s="535" t="s">
        <v>1156</v>
      </c>
      <c r="D182" s="536" t="s">
        <v>817</v>
      </c>
      <c r="E182" s="536" t="s">
        <v>818</v>
      </c>
      <c r="F182" s="536" t="s">
        <v>980</v>
      </c>
      <c r="G182" s="536" t="s">
        <v>1173</v>
      </c>
      <c r="H182" s="536" t="s">
        <v>605</v>
      </c>
      <c r="I182" s="535" t="s">
        <v>1316</v>
      </c>
      <c r="J182" s="536" t="s">
        <v>1317</v>
      </c>
      <c r="K182" s="536" t="s">
        <v>579</v>
      </c>
      <c r="L182" s="535" t="s">
        <v>1318</v>
      </c>
      <c r="M182" s="536" t="s">
        <v>1319</v>
      </c>
      <c r="N182" s="536"/>
      <c r="O182" s="535"/>
      <c r="P182" s="536"/>
      <c r="Q182" s="536"/>
      <c r="R182" s="540"/>
      <c r="S182" s="537"/>
      <c r="T182" s="537"/>
      <c r="U182" s="537"/>
      <c r="V182" s="537"/>
      <c r="W182" s="537"/>
      <c r="X182" s="537"/>
      <c r="Y182" s="537"/>
      <c r="Z182" s="537"/>
      <c r="AA182" s="537"/>
      <c r="AB182" s="537"/>
      <c r="AC182" s="537"/>
      <c r="AD182" s="537">
        <f t="shared" si="31"/>
        <v>0</v>
      </c>
      <c r="AF182" s="541"/>
      <c r="AG182" s="541"/>
      <c r="AH182" s="541"/>
      <c r="AI182" s="541"/>
      <c r="AJ182" s="541"/>
      <c r="AK182" s="541"/>
      <c r="AL182" s="541"/>
      <c r="AM182" s="541"/>
      <c r="AN182" s="541"/>
      <c r="AO182" s="541"/>
      <c r="AP182" s="541"/>
      <c r="AQ182" s="541"/>
      <c r="AR182" s="1284">
        <f t="shared" si="33"/>
        <v>0</v>
      </c>
      <c r="AS182" s="719">
        <f t="shared" si="28"/>
        <v>0</v>
      </c>
      <c r="AT182" s="718">
        <f t="shared" si="29"/>
        <v>0</v>
      </c>
    </row>
    <row r="183" spans="1:46" s="533" customFormat="1" ht="16.399999999999999" customHeight="1" outlineLevel="1" x14ac:dyDescent="0.35">
      <c r="A183" s="534" t="s">
        <v>782</v>
      </c>
      <c r="B183" s="534" t="s">
        <v>783</v>
      </c>
      <c r="C183" s="535" t="s">
        <v>1156</v>
      </c>
      <c r="D183" s="536" t="s">
        <v>817</v>
      </c>
      <c r="E183" s="536" t="s">
        <v>818</v>
      </c>
      <c r="F183" s="536" t="s">
        <v>1320</v>
      </c>
      <c r="G183" s="536" t="s">
        <v>1173</v>
      </c>
      <c r="H183" s="536" t="s">
        <v>1321</v>
      </c>
      <c r="I183" s="535" t="s">
        <v>1322</v>
      </c>
      <c r="J183" s="536" t="s">
        <v>480</v>
      </c>
      <c r="K183" s="536" t="s">
        <v>601</v>
      </c>
      <c r="L183" s="535" t="s">
        <v>1323</v>
      </c>
      <c r="M183" s="536" t="s">
        <v>1324</v>
      </c>
      <c r="N183" s="536"/>
      <c r="O183" s="535"/>
      <c r="P183" s="536"/>
      <c r="Q183" s="536"/>
      <c r="R183" s="540"/>
      <c r="S183" s="537"/>
      <c r="T183" s="537"/>
      <c r="U183" s="537"/>
      <c r="V183" s="537"/>
      <c r="W183" s="537"/>
      <c r="X183" s="537"/>
      <c r="Y183" s="537"/>
      <c r="Z183" s="537"/>
      <c r="AA183" s="537"/>
      <c r="AB183" s="537"/>
      <c r="AC183" s="537"/>
      <c r="AD183" s="537">
        <f t="shared" si="31"/>
        <v>0</v>
      </c>
      <c r="AF183" s="541"/>
      <c r="AG183" s="541"/>
      <c r="AH183" s="541"/>
      <c r="AI183" s="541"/>
      <c r="AJ183" s="541"/>
      <c r="AK183" s="541"/>
      <c r="AL183" s="541"/>
      <c r="AM183" s="541"/>
      <c r="AN183" s="541"/>
      <c r="AO183" s="541"/>
      <c r="AP183" s="541"/>
      <c r="AQ183" s="541"/>
      <c r="AR183" s="1284">
        <f t="shared" si="33"/>
        <v>0</v>
      </c>
      <c r="AS183" s="719">
        <f t="shared" si="28"/>
        <v>0</v>
      </c>
      <c r="AT183" s="718">
        <f t="shared" si="29"/>
        <v>0</v>
      </c>
    </row>
    <row r="184" spans="1:46" s="533" customFormat="1" ht="16.399999999999999" customHeight="1" outlineLevel="1" x14ac:dyDescent="0.35">
      <c r="A184" s="534" t="s">
        <v>782</v>
      </c>
      <c r="B184" s="534" t="s">
        <v>783</v>
      </c>
      <c r="C184" s="535" t="s">
        <v>1156</v>
      </c>
      <c r="D184" s="536" t="s">
        <v>817</v>
      </c>
      <c r="E184" s="536" t="s">
        <v>818</v>
      </c>
      <c r="F184" s="536" t="s">
        <v>1320</v>
      </c>
      <c r="G184" s="536" t="s">
        <v>1173</v>
      </c>
      <c r="H184" s="536" t="s">
        <v>1321</v>
      </c>
      <c r="I184" s="535" t="s">
        <v>1325</v>
      </c>
      <c r="J184" s="536" t="s">
        <v>481</v>
      </c>
      <c r="K184" s="536" t="s">
        <v>587</v>
      </c>
      <c r="L184" s="535" t="s">
        <v>1326</v>
      </c>
      <c r="M184" s="536" t="s">
        <v>1327</v>
      </c>
      <c r="N184" s="536"/>
      <c r="O184" s="535"/>
      <c r="P184" s="536"/>
      <c r="Q184" s="536"/>
      <c r="R184" s="540"/>
      <c r="S184" s="537"/>
      <c r="T184" s="537"/>
      <c r="U184" s="537"/>
      <c r="V184" s="537"/>
      <c r="W184" s="537"/>
      <c r="X184" s="537"/>
      <c r="Y184" s="537"/>
      <c r="Z184" s="537"/>
      <c r="AA184" s="537"/>
      <c r="AB184" s="537"/>
      <c r="AC184" s="537"/>
      <c r="AD184" s="537">
        <f t="shared" si="31"/>
        <v>0</v>
      </c>
      <c r="AF184" s="541"/>
      <c r="AG184" s="541"/>
      <c r="AH184" s="541"/>
      <c r="AI184" s="541"/>
      <c r="AJ184" s="541"/>
      <c r="AK184" s="541"/>
      <c r="AL184" s="541"/>
      <c r="AM184" s="541"/>
      <c r="AN184" s="541"/>
      <c r="AO184" s="541"/>
      <c r="AP184" s="541"/>
      <c r="AQ184" s="541"/>
      <c r="AR184" s="1284">
        <f t="shared" si="33"/>
        <v>0</v>
      </c>
      <c r="AS184" s="719">
        <f t="shared" si="28"/>
        <v>0</v>
      </c>
      <c r="AT184" s="718">
        <f t="shared" si="29"/>
        <v>0</v>
      </c>
    </row>
    <row r="185" spans="1:46" s="533" customFormat="1" ht="16.399999999999999" customHeight="1" outlineLevel="1" x14ac:dyDescent="0.35">
      <c r="A185" s="534" t="s">
        <v>782</v>
      </c>
      <c r="B185" s="534" t="s">
        <v>783</v>
      </c>
      <c r="C185" s="535" t="s">
        <v>1156</v>
      </c>
      <c r="D185" s="536" t="s">
        <v>817</v>
      </c>
      <c r="E185" s="536" t="s">
        <v>818</v>
      </c>
      <c r="F185" s="536" t="s">
        <v>860</v>
      </c>
      <c r="G185" s="536" t="s">
        <v>1173</v>
      </c>
      <c r="H185" s="536" t="s">
        <v>861</v>
      </c>
      <c r="I185" s="535" t="s">
        <v>1328</v>
      </c>
      <c r="J185" s="536" t="s">
        <v>438</v>
      </c>
      <c r="K185" s="536" t="s">
        <v>597</v>
      </c>
      <c r="L185" s="535" t="s">
        <v>991</v>
      </c>
      <c r="M185" s="536" t="s">
        <v>992</v>
      </c>
      <c r="N185" s="536"/>
      <c r="O185" s="535"/>
      <c r="P185" s="536"/>
      <c r="Q185" s="536"/>
      <c r="R185" s="540"/>
      <c r="S185" s="537"/>
      <c r="T185" s="537"/>
      <c r="U185" s="537"/>
      <c r="V185" s="537"/>
      <c r="W185" s="537"/>
      <c r="X185" s="537"/>
      <c r="Y185" s="537"/>
      <c r="Z185" s="537"/>
      <c r="AA185" s="537"/>
      <c r="AB185" s="537"/>
      <c r="AC185" s="537"/>
      <c r="AD185" s="537">
        <f t="shared" si="31"/>
        <v>0</v>
      </c>
      <c r="AF185" s="541"/>
      <c r="AG185" s="541"/>
      <c r="AH185" s="541"/>
      <c r="AI185" s="541"/>
      <c r="AJ185" s="541"/>
      <c r="AK185" s="541"/>
      <c r="AL185" s="541"/>
      <c r="AM185" s="541"/>
      <c r="AN185" s="541"/>
      <c r="AO185" s="541"/>
      <c r="AP185" s="541"/>
      <c r="AQ185" s="541"/>
      <c r="AR185" s="1284">
        <f t="shared" si="33"/>
        <v>0</v>
      </c>
      <c r="AS185" s="719">
        <f t="shared" si="28"/>
        <v>0</v>
      </c>
      <c r="AT185" s="718">
        <f t="shared" si="29"/>
        <v>0</v>
      </c>
    </row>
    <row r="186" spans="1:46" s="533" customFormat="1" ht="16.399999999999999" customHeight="1" outlineLevel="1" x14ac:dyDescent="0.35">
      <c r="A186" s="534" t="s">
        <v>782</v>
      </c>
      <c r="B186" s="534" t="s">
        <v>783</v>
      </c>
      <c r="C186" s="535" t="s">
        <v>1156</v>
      </c>
      <c r="D186" s="536" t="s">
        <v>817</v>
      </c>
      <c r="E186" s="536" t="s">
        <v>818</v>
      </c>
      <c r="F186" s="536" t="s">
        <v>860</v>
      </c>
      <c r="G186" s="536" t="s">
        <v>1173</v>
      </c>
      <c r="H186" s="536" t="s">
        <v>861</v>
      </c>
      <c r="I186" s="535" t="s">
        <v>1329</v>
      </c>
      <c r="J186" s="536" t="s">
        <v>439</v>
      </c>
      <c r="K186" s="536" t="s">
        <v>598</v>
      </c>
      <c r="L186" s="535" t="s">
        <v>994</v>
      </c>
      <c r="M186" s="536" t="s">
        <v>995</v>
      </c>
      <c r="N186" s="536"/>
      <c r="O186" s="535"/>
      <c r="P186" s="536"/>
      <c r="Q186" s="536"/>
      <c r="R186" s="540"/>
      <c r="S186" s="537"/>
      <c r="T186" s="537"/>
      <c r="U186" s="537"/>
      <c r="V186" s="537"/>
      <c r="W186" s="537"/>
      <c r="X186" s="537"/>
      <c r="Y186" s="537"/>
      <c r="Z186" s="537"/>
      <c r="AA186" s="537"/>
      <c r="AB186" s="537"/>
      <c r="AC186" s="537"/>
      <c r="AD186" s="537">
        <f t="shared" si="31"/>
        <v>0</v>
      </c>
      <c r="AF186" s="541"/>
      <c r="AG186" s="541"/>
      <c r="AH186" s="541"/>
      <c r="AI186" s="541"/>
      <c r="AJ186" s="541"/>
      <c r="AK186" s="541"/>
      <c r="AL186" s="541"/>
      <c r="AM186" s="541"/>
      <c r="AN186" s="541"/>
      <c r="AO186" s="541"/>
      <c r="AP186" s="541"/>
      <c r="AQ186" s="541"/>
      <c r="AR186" s="1284">
        <f t="shared" si="33"/>
        <v>0</v>
      </c>
      <c r="AS186" s="719">
        <f t="shared" si="28"/>
        <v>0</v>
      </c>
      <c r="AT186" s="718">
        <f t="shared" si="29"/>
        <v>0</v>
      </c>
    </row>
    <row r="187" spans="1:46" s="533" customFormat="1" ht="16.399999999999999" customHeight="1" outlineLevel="1" x14ac:dyDescent="0.35">
      <c r="A187" s="534" t="s">
        <v>782</v>
      </c>
      <c r="B187" s="534" t="s">
        <v>783</v>
      </c>
      <c r="C187" s="535" t="s">
        <v>1156</v>
      </c>
      <c r="D187" s="536" t="s">
        <v>817</v>
      </c>
      <c r="E187" s="536" t="s">
        <v>818</v>
      </c>
      <c r="F187" s="536" t="s">
        <v>860</v>
      </c>
      <c r="G187" s="536" t="s">
        <v>1173</v>
      </c>
      <c r="H187" s="536" t="s">
        <v>861</v>
      </c>
      <c r="I187" s="535" t="s">
        <v>1330</v>
      </c>
      <c r="J187" s="536" t="s">
        <v>440</v>
      </c>
      <c r="K187" s="536" t="s">
        <v>597</v>
      </c>
      <c r="L187" s="535" t="s">
        <v>997</v>
      </c>
      <c r="M187" s="536" t="s">
        <v>998</v>
      </c>
      <c r="N187" s="536"/>
      <c r="O187" s="535"/>
      <c r="P187" s="536"/>
      <c r="Q187" s="536"/>
      <c r="R187" s="540"/>
      <c r="S187" s="537"/>
      <c r="T187" s="537"/>
      <c r="U187" s="537"/>
      <c r="V187" s="537"/>
      <c r="W187" s="537"/>
      <c r="X187" s="537"/>
      <c r="Y187" s="537"/>
      <c r="Z187" s="537"/>
      <c r="AA187" s="537"/>
      <c r="AB187" s="537"/>
      <c r="AC187" s="537"/>
      <c r="AD187" s="537">
        <f t="shared" si="31"/>
        <v>0</v>
      </c>
      <c r="AF187" s="541"/>
      <c r="AG187" s="541"/>
      <c r="AH187" s="541"/>
      <c r="AI187" s="541"/>
      <c r="AJ187" s="541"/>
      <c r="AK187" s="541"/>
      <c r="AL187" s="541"/>
      <c r="AM187" s="541"/>
      <c r="AN187" s="541"/>
      <c r="AO187" s="541"/>
      <c r="AP187" s="541"/>
      <c r="AQ187" s="541"/>
      <c r="AR187" s="1284">
        <f t="shared" si="33"/>
        <v>0</v>
      </c>
      <c r="AS187" s="719">
        <f t="shared" si="28"/>
        <v>0</v>
      </c>
      <c r="AT187" s="718">
        <f t="shared" si="29"/>
        <v>0</v>
      </c>
    </row>
    <row r="188" spans="1:46" s="533" customFormat="1" ht="16.399999999999999" customHeight="1" outlineLevel="1" x14ac:dyDescent="0.35">
      <c r="A188" s="534" t="s">
        <v>782</v>
      </c>
      <c r="B188" s="534" t="s">
        <v>783</v>
      </c>
      <c r="C188" s="535" t="s">
        <v>1156</v>
      </c>
      <c r="D188" s="536" t="s">
        <v>817</v>
      </c>
      <c r="E188" s="536" t="s">
        <v>818</v>
      </c>
      <c r="F188" s="536" t="s">
        <v>999</v>
      </c>
      <c r="G188" s="536" t="s">
        <v>1173</v>
      </c>
      <c r="H188" s="536" t="s">
        <v>1000</v>
      </c>
      <c r="I188" s="535" t="s">
        <v>1331</v>
      </c>
      <c r="J188" s="536" t="s">
        <v>94</v>
      </c>
      <c r="K188" s="536" t="s">
        <v>600</v>
      </c>
      <c r="L188" s="535" t="s">
        <v>1002</v>
      </c>
      <c r="M188" s="536" t="s">
        <v>1000</v>
      </c>
      <c r="N188" s="536"/>
      <c r="O188" s="535"/>
      <c r="P188" s="536"/>
      <c r="Q188" s="536"/>
      <c r="R188" s="540"/>
      <c r="S188" s="537"/>
      <c r="T188" s="537"/>
      <c r="U188" s="537"/>
      <c r="V188" s="537"/>
      <c r="W188" s="537"/>
      <c r="X188" s="537"/>
      <c r="Y188" s="537"/>
      <c r="Z188" s="537"/>
      <c r="AA188" s="537"/>
      <c r="AB188" s="537"/>
      <c r="AC188" s="537"/>
      <c r="AD188" s="537">
        <f t="shared" si="31"/>
        <v>0</v>
      </c>
      <c r="AF188" s="541"/>
      <c r="AG188" s="541"/>
      <c r="AH188" s="541"/>
      <c r="AI188" s="541"/>
      <c r="AJ188" s="541"/>
      <c r="AK188" s="541"/>
      <c r="AL188" s="541"/>
      <c r="AM188" s="541"/>
      <c r="AN188" s="541"/>
      <c r="AO188" s="541"/>
      <c r="AP188" s="541"/>
      <c r="AQ188" s="541"/>
      <c r="AR188" s="1284">
        <f t="shared" si="33"/>
        <v>0</v>
      </c>
      <c r="AS188" s="719">
        <f t="shared" si="28"/>
        <v>0</v>
      </c>
      <c r="AT188" s="718">
        <f t="shared" si="29"/>
        <v>0</v>
      </c>
    </row>
    <row r="189" spans="1:46" s="533" customFormat="1" ht="16.399999999999999" customHeight="1" outlineLevel="1" x14ac:dyDescent="0.35">
      <c r="A189" s="534" t="s">
        <v>782</v>
      </c>
      <c r="B189" s="534" t="s">
        <v>783</v>
      </c>
      <c r="C189" s="535" t="s">
        <v>1156</v>
      </c>
      <c r="D189" s="536" t="s">
        <v>817</v>
      </c>
      <c r="E189" s="536" t="s">
        <v>818</v>
      </c>
      <c r="F189" s="536" t="s">
        <v>999</v>
      </c>
      <c r="G189" s="536" t="s">
        <v>1173</v>
      </c>
      <c r="H189" s="536" t="s">
        <v>1000</v>
      </c>
      <c r="I189" s="535" t="s">
        <v>1332</v>
      </c>
      <c r="J189" s="536" t="s">
        <v>94</v>
      </c>
      <c r="K189" s="536" t="s">
        <v>600</v>
      </c>
      <c r="L189" s="535" t="s">
        <v>1002</v>
      </c>
      <c r="M189" s="536" t="s">
        <v>1000</v>
      </c>
      <c r="N189" s="536"/>
      <c r="O189" s="535"/>
      <c r="P189" s="536"/>
      <c r="Q189" s="536"/>
      <c r="R189" s="540"/>
      <c r="S189" s="537"/>
      <c r="T189" s="537"/>
      <c r="U189" s="537"/>
      <c r="V189" s="537"/>
      <c r="W189" s="537"/>
      <c r="X189" s="537"/>
      <c r="Y189" s="537"/>
      <c r="Z189" s="537"/>
      <c r="AA189" s="537"/>
      <c r="AB189" s="537"/>
      <c r="AC189" s="537"/>
      <c r="AD189" s="537">
        <f t="shared" si="31"/>
        <v>0</v>
      </c>
      <c r="AF189" s="541"/>
      <c r="AG189" s="541"/>
      <c r="AH189" s="541"/>
      <c r="AI189" s="541"/>
      <c r="AJ189" s="541"/>
      <c r="AK189" s="541"/>
      <c r="AL189" s="541"/>
      <c r="AM189" s="541"/>
      <c r="AN189" s="541"/>
      <c r="AO189" s="541"/>
      <c r="AP189" s="541"/>
      <c r="AQ189" s="541"/>
      <c r="AR189" s="1284">
        <f t="shared" si="33"/>
        <v>0</v>
      </c>
      <c r="AS189" s="719">
        <f t="shared" si="28"/>
        <v>0</v>
      </c>
      <c r="AT189" s="718">
        <f t="shared" si="29"/>
        <v>0</v>
      </c>
    </row>
    <row r="190" spans="1:46" s="533" customFormat="1" ht="16.399999999999999" customHeight="1" outlineLevel="1" x14ac:dyDescent="0.35">
      <c r="A190" s="534" t="s">
        <v>782</v>
      </c>
      <c r="B190" s="534" t="s">
        <v>783</v>
      </c>
      <c r="C190" s="535" t="s">
        <v>1156</v>
      </c>
      <c r="D190" s="536" t="s">
        <v>817</v>
      </c>
      <c r="E190" s="536" t="s">
        <v>818</v>
      </c>
      <c r="F190" s="536" t="s">
        <v>975</v>
      </c>
      <c r="G190" s="536" t="s">
        <v>1173</v>
      </c>
      <c r="H190" s="536" t="s">
        <v>1333</v>
      </c>
      <c r="I190" s="535" t="s">
        <v>1334</v>
      </c>
      <c r="J190" s="536" t="s">
        <v>483</v>
      </c>
      <c r="K190" s="536" t="s">
        <v>570</v>
      </c>
      <c r="L190" s="535" t="s">
        <v>1335</v>
      </c>
      <c r="M190" s="536" t="s">
        <v>1336</v>
      </c>
      <c r="N190" s="536"/>
      <c r="O190" s="535"/>
      <c r="P190" s="536"/>
      <c r="Q190" s="536"/>
      <c r="R190" s="540"/>
      <c r="S190" s="537"/>
      <c r="T190" s="537"/>
      <c r="U190" s="537"/>
      <c r="V190" s="537"/>
      <c r="W190" s="537"/>
      <c r="X190" s="537"/>
      <c r="Y190" s="537"/>
      <c r="Z190" s="537"/>
      <c r="AA190" s="537"/>
      <c r="AB190" s="537"/>
      <c r="AC190" s="537"/>
      <c r="AD190" s="537">
        <f t="shared" si="31"/>
        <v>0</v>
      </c>
      <c r="AF190" s="541"/>
      <c r="AG190" s="541"/>
      <c r="AH190" s="541"/>
      <c r="AI190" s="541"/>
      <c r="AJ190" s="541"/>
      <c r="AK190" s="541"/>
      <c r="AL190" s="541"/>
      <c r="AM190" s="541"/>
      <c r="AN190" s="541"/>
      <c r="AO190" s="541"/>
      <c r="AP190" s="541"/>
      <c r="AQ190" s="541"/>
      <c r="AR190" s="1284">
        <f t="shared" si="33"/>
        <v>0</v>
      </c>
      <c r="AS190" s="719">
        <f t="shared" si="28"/>
        <v>0</v>
      </c>
      <c r="AT190" s="718">
        <f t="shared" si="29"/>
        <v>0</v>
      </c>
    </row>
    <row r="191" spans="1:46" s="533" customFormat="1" ht="16.399999999999999" customHeight="1" outlineLevel="1" x14ac:dyDescent="0.35">
      <c r="A191" s="534" t="s">
        <v>782</v>
      </c>
      <c r="B191" s="534" t="s">
        <v>783</v>
      </c>
      <c r="C191" s="535" t="s">
        <v>1156</v>
      </c>
      <c r="D191" s="536" t="s">
        <v>817</v>
      </c>
      <c r="E191" s="536" t="s">
        <v>818</v>
      </c>
      <c r="F191" s="536" t="s">
        <v>1007</v>
      </c>
      <c r="G191" s="536" t="s">
        <v>1173</v>
      </c>
      <c r="H191" s="536" t="s">
        <v>1008</v>
      </c>
      <c r="I191" s="535" t="s">
        <v>1337</v>
      </c>
      <c r="J191" s="536" t="s">
        <v>442</v>
      </c>
      <c r="K191" s="536" t="s">
        <v>592</v>
      </c>
      <c r="L191" s="535" t="s">
        <v>1010</v>
      </c>
      <c r="M191" s="536" t="s">
        <v>1011</v>
      </c>
      <c r="N191" s="536"/>
      <c r="O191" s="535"/>
      <c r="P191" s="536"/>
      <c r="Q191" s="536"/>
      <c r="R191" s="540"/>
      <c r="S191" s="537"/>
      <c r="T191" s="537"/>
      <c r="U191" s="537"/>
      <c r="V191" s="537"/>
      <c r="W191" s="537"/>
      <c r="X191" s="537"/>
      <c r="Y191" s="537"/>
      <c r="Z191" s="537"/>
      <c r="AA191" s="537"/>
      <c r="AB191" s="537"/>
      <c r="AC191" s="537"/>
      <c r="AD191" s="537">
        <f t="shared" si="31"/>
        <v>0</v>
      </c>
      <c r="AF191" s="541"/>
      <c r="AG191" s="541"/>
      <c r="AH191" s="541"/>
      <c r="AI191" s="541"/>
      <c r="AJ191" s="541"/>
      <c r="AK191" s="541"/>
      <c r="AL191" s="541"/>
      <c r="AM191" s="541"/>
      <c r="AN191" s="541"/>
      <c r="AO191" s="541"/>
      <c r="AP191" s="541"/>
      <c r="AQ191" s="541"/>
      <c r="AR191" s="1284">
        <f t="shared" si="33"/>
        <v>0</v>
      </c>
      <c r="AS191" s="719">
        <f t="shared" si="28"/>
        <v>0</v>
      </c>
      <c r="AT191" s="718">
        <f t="shared" si="29"/>
        <v>0</v>
      </c>
    </row>
    <row r="192" spans="1:46" s="533" customFormat="1" ht="16.399999999999999" customHeight="1" outlineLevel="1" x14ac:dyDescent="0.35">
      <c r="A192" s="534" t="s">
        <v>782</v>
      </c>
      <c r="B192" s="534" t="s">
        <v>783</v>
      </c>
      <c r="C192" s="535" t="s">
        <v>1156</v>
      </c>
      <c r="D192" s="536" t="s">
        <v>817</v>
      </c>
      <c r="E192" s="536" t="s">
        <v>818</v>
      </c>
      <c r="F192" s="536" t="s">
        <v>1007</v>
      </c>
      <c r="G192" s="536" t="s">
        <v>1173</v>
      </c>
      <c r="H192" s="536" t="s">
        <v>1008</v>
      </c>
      <c r="I192" s="535" t="s">
        <v>1338</v>
      </c>
      <c r="J192" s="536" t="s">
        <v>443</v>
      </c>
      <c r="K192" s="536" t="s">
        <v>570</v>
      </c>
      <c r="L192" s="535" t="s">
        <v>1013</v>
      </c>
      <c r="M192" s="536" t="s">
        <v>1014</v>
      </c>
      <c r="N192" s="536"/>
      <c r="O192" s="535"/>
      <c r="P192" s="536"/>
      <c r="Q192" s="536"/>
      <c r="R192" s="540"/>
      <c r="S192" s="537"/>
      <c r="T192" s="537"/>
      <c r="U192" s="537"/>
      <c r="V192" s="537"/>
      <c r="W192" s="537"/>
      <c r="X192" s="537"/>
      <c r="Y192" s="537"/>
      <c r="Z192" s="537"/>
      <c r="AA192" s="537"/>
      <c r="AB192" s="537"/>
      <c r="AC192" s="537"/>
      <c r="AD192" s="537">
        <f t="shared" si="31"/>
        <v>0</v>
      </c>
      <c r="AF192" s="541"/>
      <c r="AG192" s="541"/>
      <c r="AH192" s="541"/>
      <c r="AI192" s="541"/>
      <c r="AJ192" s="541"/>
      <c r="AK192" s="541"/>
      <c r="AL192" s="541"/>
      <c r="AM192" s="541"/>
      <c r="AN192" s="541"/>
      <c r="AO192" s="541"/>
      <c r="AP192" s="541"/>
      <c r="AQ192" s="541"/>
      <c r="AR192" s="1284">
        <f t="shared" si="33"/>
        <v>0</v>
      </c>
      <c r="AS192" s="719">
        <f t="shared" si="28"/>
        <v>0</v>
      </c>
      <c r="AT192" s="718">
        <f t="shared" si="29"/>
        <v>0</v>
      </c>
    </row>
    <row r="193" spans="1:46" s="533" customFormat="1" ht="16.399999999999999" customHeight="1" outlineLevel="1" x14ac:dyDescent="0.35">
      <c r="A193" s="534" t="s">
        <v>782</v>
      </c>
      <c r="B193" s="534" t="s">
        <v>783</v>
      </c>
      <c r="C193" s="535" t="s">
        <v>1156</v>
      </c>
      <c r="D193" s="536" t="s">
        <v>817</v>
      </c>
      <c r="E193" s="536" t="s">
        <v>818</v>
      </c>
      <c r="F193" s="536" t="s">
        <v>1007</v>
      </c>
      <c r="G193" s="536" t="s">
        <v>1173</v>
      </c>
      <c r="H193" s="536" t="s">
        <v>1008</v>
      </c>
      <c r="I193" s="535" t="s">
        <v>1339</v>
      </c>
      <c r="J193" s="536" t="s">
        <v>444</v>
      </c>
      <c r="K193" s="536" t="s">
        <v>592</v>
      </c>
      <c r="L193" s="535" t="s">
        <v>1016</v>
      </c>
      <c r="M193" s="536" t="s">
        <v>444</v>
      </c>
      <c r="N193" s="536"/>
      <c r="O193" s="535"/>
      <c r="P193" s="536"/>
      <c r="Q193" s="536"/>
      <c r="R193" s="540"/>
      <c r="S193" s="537"/>
      <c r="T193" s="537"/>
      <c r="U193" s="537"/>
      <c r="V193" s="537"/>
      <c r="W193" s="537"/>
      <c r="X193" s="537"/>
      <c r="Y193" s="537"/>
      <c r="Z193" s="537"/>
      <c r="AA193" s="537"/>
      <c r="AB193" s="537"/>
      <c r="AC193" s="537"/>
      <c r="AD193" s="537">
        <f t="shared" si="31"/>
        <v>0</v>
      </c>
      <c r="AF193" s="541"/>
      <c r="AG193" s="541"/>
      <c r="AH193" s="541"/>
      <c r="AI193" s="541"/>
      <c r="AJ193" s="541"/>
      <c r="AK193" s="541"/>
      <c r="AL193" s="541"/>
      <c r="AM193" s="541"/>
      <c r="AN193" s="541"/>
      <c r="AO193" s="541"/>
      <c r="AP193" s="541"/>
      <c r="AQ193" s="541"/>
      <c r="AR193" s="1284">
        <f t="shared" si="33"/>
        <v>0</v>
      </c>
      <c r="AS193" s="719">
        <f t="shared" si="28"/>
        <v>0</v>
      </c>
      <c r="AT193" s="718">
        <f t="shared" si="29"/>
        <v>0</v>
      </c>
    </row>
    <row r="194" spans="1:46" s="533" customFormat="1" ht="16.399999999999999" customHeight="1" outlineLevel="1" x14ac:dyDescent="0.35">
      <c r="A194" s="534" t="s">
        <v>782</v>
      </c>
      <c r="B194" s="534" t="s">
        <v>783</v>
      </c>
      <c r="C194" s="535" t="s">
        <v>1156</v>
      </c>
      <c r="D194" s="536" t="s">
        <v>817</v>
      </c>
      <c r="E194" s="536" t="s">
        <v>818</v>
      </c>
      <c r="F194" s="536" t="s">
        <v>1007</v>
      </c>
      <c r="G194" s="536" t="s">
        <v>1173</v>
      </c>
      <c r="H194" s="536" t="s">
        <v>1008</v>
      </c>
      <c r="I194" s="535" t="s">
        <v>1340</v>
      </c>
      <c r="J194" s="536" t="s">
        <v>1018</v>
      </c>
      <c r="K194" s="536" t="s">
        <v>1019</v>
      </c>
      <c r="L194" s="535" t="s">
        <v>1020</v>
      </c>
      <c r="M194" s="536" t="s">
        <v>1021</v>
      </c>
      <c r="N194" s="536"/>
      <c r="O194" s="535"/>
      <c r="P194" s="536"/>
      <c r="Q194" s="536"/>
      <c r="R194" s="540"/>
      <c r="S194" s="537"/>
      <c r="T194" s="537"/>
      <c r="U194" s="537"/>
      <c r="V194" s="537"/>
      <c r="W194" s="537"/>
      <c r="X194" s="537"/>
      <c r="Y194" s="537"/>
      <c r="Z194" s="537"/>
      <c r="AA194" s="537"/>
      <c r="AB194" s="537"/>
      <c r="AC194" s="537"/>
      <c r="AD194" s="537">
        <f t="shared" si="31"/>
        <v>0</v>
      </c>
      <c r="AF194" s="541"/>
      <c r="AG194" s="541"/>
      <c r="AH194" s="541"/>
      <c r="AI194" s="541"/>
      <c r="AJ194" s="541"/>
      <c r="AK194" s="541"/>
      <c r="AL194" s="541"/>
      <c r="AM194" s="541"/>
      <c r="AN194" s="541"/>
      <c r="AO194" s="541"/>
      <c r="AP194" s="541"/>
      <c r="AQ194" s="541"/>
      <c r="AR194" s="1284">
        <f t="shared" si="33"/>
        <v>0</v>
      </c>
      <c r="AS194" s="719">
        <f t="shared" si="28"/>
        <v>0</v>
      </c>
      <c r="AT194" s="718">
        <f t="shared" si="29"/>
        <v>0</v>
      </c>
    </row>
    <row r="195" spans="1:46" s="533" customFormat="1" ht="16.399999999999999" customHeight="1" outlineLevel="1" x14ac:dyDescent="0.35">
      <c r="A195" s="534" t="s">
        <v>782</v>
      </c>
      <c r="B195" s="534" t="s">
        <v>783</v>
      </c>
      <c r="C195" s="535" t="s">
        <v>1156</v>
      </c>
      <c r="D195" s="536" t="s">
        <v>817</v>
      </c>
      <c r="E195" s="536" t="s">
        <v>818</v>
      </c>
      <c r="F195" s="536" t="s">
        <v>1341</v>
      </c>
      <c r="G195" s="536" t="s">
        <v>1173</v>
      </c>
      <c r="H195" s="536" t="s">
        <v>1342</v>
      </c>
      <c r="I195" s="535" t="s">
        <v>1343</v>
      </c>
      <c r="J195" s="536" t="s">
        <v>1344</v>
      </c>
      <c r="K195" s="536" t="s">
        <v>1203</v>
      </c>
      <c r="L195" s="535" t="s">
        <v>1345</v>
      </c>
      <c r="M195" s="536" t="s">
        <v>1346</v>
      </c>
      <c r="N195" s="536"/>
      <c r="O195" s="535"/>
      <c r="P195" s="536"/>
      <c r="Q195" s="536"/>
      <c r="R195" s="540"/>
      <c r="S195" s="537"/>
      <c r="T195" s="537"/>
      <c r="U195" s="537"/>
      <c r="V195" s="537"/>
      <c r="W195" s="537"/>
      <c r="X195" s="537"/>
      <c r="Y195" s="537"/>
      <c r="Z195" s="537"/>
      <c r="AA195" s="537"/>
      <c r="AB195" s="537"/>
      <c r="AC195" s="537"/>
      <c r="AD195" s="537">
        <f t="shared" si="31"/>
        <v>0</v>
      </c>
      <c r="AF195" s="541"/>
      <c r="AG195" s="541"/>
      <c r="AH195" s="541"/>
      <c r="AI195" s="541"/>
      <c r="AJ195" s="541"/>
      <c r="AK195" s="541"/>
      <c r="AL195" s="541"/>
      <c r="AM195" s="541"/>
      <c r="AN195" s="541"/>
      <c r="AO195" s="541"/>
      <c r="AP195" s="541"/>
      <c r="AQ195" s="541"/>
      <c r="AR195" s="1284">
        <f t="shared" si="33"/>
        <v>0</v>
      </c>
      <c r="AS195" s="719">
        <f t="shared" si="28"/>
        <v>0</v>
      </c>
      <c r="AT195" s="718">
        <f t="shared" si="29"/>
        <v>0</v>
      </c>
    </row>
    <row r="196" spans="1:46" s="533" customFormat="1" ht="16.399999999999999" customHeight="1" outlineLevel="1" x14ac:dyDescent="0.35">
      <c r="A196" s="534" t="s">
        <v>782</v>
      </c>
      <c r="B196" s="534" t="s">
        <v>783</v>
      </c>
      <c r="C196" s="535" t="s">
        <v>1156</v>
      </c>
      <c r="D196" s="536" t="s">
        <v>817</v>
      </c>
      <c r="E196" s="536" t="s">
        <v>818</v>
      </c>
      <c r="F196" s="536" t="s">
        <v>1341</v>
      </c>
      <c r="G196" s="536" t="s">
        <v>1173</v>
      </c>
      <c r="H196" s="536" t="s">
        <v>1342</v>
      </c>
      <c r="I196" s="535" t="s">
        <v>1347</v>
      </c>
      <c r="J196" s="536" t="s">
        <v>1344</v>
      </c>
      <c r="K196" s="536" t="s">
        <v>1203</v>
      </c>
      <c r="L196" s="535" t="s">
        <v>1345</v>
      </c>
      <c r="M196" s="536" t="s">
        <v>1346</v>
      </c>
      <c r="N196" s="536"/>
      <c r="O196" s="535"/>
      <c r="P196" s="536"/>
      <c r="Q196" s="536"/>
      <c r="R196" s="540"/>
      <c r="S196" s="537"/>
      <c r="T196" s="537"/>
      <c r="U196" s="537"/>
      <c r="V196" s="537"/>
      <c r="W196" s="537"/>
      <c r="X196" s="537"/>
      <c r="Y196" s="537"/>
      <c r="Z196" s="537"/>
      <c r="AA196" s="537"/>
      <c r="AB196" s="537"/>
      <c r="AC196" s="537"/>
      <c r="AD196" s="537">
        <f t="shared" si="31"/>
        <v>0</v>
      </c>
      <c r="AF196" s="541"/>
      <c r="AG196" s="541"/>
      <c r="AH196" s="541"/>
      <c r="AI196" s="541"/>
      <c r="AJ196" s="541"/>
      <c r="AK196" s="541"/>
      <c r="AL196" s="541"/>
      <c r="AM196" s="541"/>
      <c r="AN196" s="541"/>
      <c r="AO196" s="541"/>
      <c r="AP196" s="541"/>
      <c r="AQ196" s="541"/>
      <c r="AR196" s="1284">
        <f t="shared" si="33"/>
        <v>0</v>
      </c>
      <c r="AS196" s="719">
        <f t="shared" si="28"/>
        <v>0</v>
      </c>
      <c r="AT196" s="718">
        <f t="shared" si="29"/>
        <v>0</v>
      </c>
    </row>
    <row r="197" spans="1:46" s="533" customFormat="1" ht="16.399999999999999" customHeight="1" outlineLevel="1" x14ac:dyDescent="0.35">
      <c r="A197" s="534" t="s">
        <v>782</v>
      </c>
      <c r="B197" s="534" t="s">
        <v>783</v>
      </c>
      <c r="C197" s="535" t="s">
        <v>1156</v>
      </c>
      <c r="D197" s="536" t="s">
        <v>817</v>
      </c>
      <c r="E197" s="536" t="s">
        <v>818</v>
      </c>
      <c r="F197" s="536" t="s">
        <v>1341</v>
      </c>
      <c r="G197" s="536" t="s">
        <v>1173</v>
      </c>
      <c r="H197" s="536" t="s">
        <v>1342</v>
      </c>
      <c r="I197" s="535" t="s">
        <v>1348</v>
      </c>
      <c r="J197" s="536" t="s">
        <v>1344</v>
      </c>
      <c r="K197" s="536" t="s">
        <v>1203</v>
      </c>
      <c r="L197" s="535" t="s">
        <v>1345</v>
      </c>
      <c r="M197" s="536" t="s">
        <v>1346</v>
      </c>
      <c r="N197" s="536"/>
      <c r="O197" s="535"/>
      <c r="P197" s="536"/>
      <c r="Q197" s="536"/>
      <c r="R197" s="540"/>
      <c r="S197" s="537"/>
      <c r="T197" s="537"/>
      <c r="U197" s="537"/>
      <c r="V197" s="537"/>
      <c r="W197" s="537"/>
      <c r="X197" s="537"/>
      <c r="Y197" s="537"/>
      <c r="Z197" s="537"/>
      <c r="AA197" s="537"/>
      <c r="AB197" s="537"/>
      <c r="AC197" s="537"/>
      <c r="AD197" s="537">
        <f t="shared" si="31"/>
        <v>0</v>
      </c>
      <c r="AF197" s="541"/>
      <c r="AG197" s="541"/>
      <c r="AH197" s="541"/>
      <c r="AI197" s="541"/>
      <c r="AJ197" s="541"/>
      <c r="AK197" s="541"/>
      <c r="AL197" s="541"/>
      <c r="AM197" s="541"/>
      <c r="AN197" s="541"/>
      <c r="AO197" s="541"/>
      <c r="AP197" s="541"/>
      <c r="AQ197" s="541"/>
      <c r="AR197" s="1284">
        <f t="shared" si="33"/>
        <v>0</v>
      </c>
      <c r="AS197" s="719">
        <f t="shared" si="28"/>
        <v>0</v>
      </c>
      <c r="AT197" s="718">
        <f t="shared" si="29"/>
        <v>0</v>
      </c>
    </row>
    <row r="198" spans="1:46" s="533" customFormat="1" ht="16.399999999999999" customHeight="1" outlineLevel="1" x14ac:dyDescent="0.35">
      <c r="A198" s="534" t="s">
        <v>782</v>
      </c>
      <c r="B198" s="534" t="s">
        <v>783</v>
      </c>
      <c r="C198" s="535" t="s">
        <v>1156</v>
      </c>
      <c r="D198" s="536" t="s">
        <v>817</v>
      </c>
      <c r="E198" s="536" t="s">
        <v>818</v>
      </c>
      <c r="F198" s="536" t="s">
        <v>1341</v>
      </c>
      <c r="G198" s="536" t="s">
        <v>1173</v>
      </c>
      <c r="H198" s="536" t="s">
        <v>1342</v>
      </c>
      <c r="I198" s="535" t="s">
        <v>1349</v>
      </c>
      <c r="J198" s="536" t="s">
        <v>1350</v>
      </c>
      <c r="K198" s="536" t="s">
        <v>1203</v>
      </c>
      <c r="L198" s="535" t="s">
        <v>1351</v>
      </c>
      <c r="M198" s="536" t="s">
        <v>1352</v>
      </c>
      <c r="N198" s="536"/>
      <c r="O198" s="535"/>
      <c r="P198" s="536"/>
      <c r="Q198" s="536"/>
      <c r="R198" s="540"/>
      <c r="S198" s="537"/>
      <c r="T198" s="537"/>
      <c r="U198" s="537"/>
      <c r="V198" s="537"/>
      <c r="W198" s="537"/>
      <c r="X198" s="537"/>
      <c r="Y198" s="537"/>
      <c r="Z198" s="537"/>
      <c r="AA198" s="537"/>
      <c r="AB198" s="537"/>
      <c r="AC198" s="537"/>
      <c r="AD198" s="537">
        <f t="shared" si="31"/>
        <v>0</v>
      </c>
      <c r="AF198" s="541"/>
      <c r="AG198" s="541"/>
      <c r="AH198" s="541"/>
      <c r="AI198" s="541"/>
      <c r="AJ198" s="541"/>
      <c r="AK198" s="541"/>
      <c r="AL198" s="541"/>
      <c r="AM198" s="541"/>
      <c r="AN198" s="541"/>
      <c r="AO198" s="541"/>
      <c r="AP198" s="541"/>
      <c r="AQ198" s="541"/>
      <c r="AR198" s="1284">
        <f t="shared" si="33"/>
        <v>0</v>
      </c>
      <c r="AS198" s="719">
        <f t="shared" si="28"/>
        <v>0</v>
      </c>
      <c r="AT198" s="718">
        <f t="shared" si="29"/>
        <v>0</v>
      </c>
    </row>
    <row r="199" spans="1:46" s="533" customFormat="1" ht="16.399999999999999" customHeight="1" outlineLevel="1" x14ac:dyDescent="0.35">
      <c r="A199" s="534" t="s">
        <v>782</v>
      </c>
      <c r="B199" s="534" t="s">
        <v>783</v>
      </c>
      <c r="C199" s="535" t="s">
        <v>1156</v>
      </c>
      <c r="D199" s="536" t="s">
        <v>817</v>
      </c>
      <c r="E199" s="536" t="s">
        <v>818</v>
      </c>
      <c r="F199" s="536" t="s">
        <v>1341</v>
      </c>
      <c r="G199" s="536" t="s">
        <v>1173</v>
      </c>
      <c r="H199" s="536" t="s">
        <v>1342</v>
      </c>
      <c r="I199" s="535" t="s">
        <v>1353</v>
      </c>
      <c r="J199" s="536" t="s">
        <v>1350</v>
      </c>
      <c r="K199" s="536" t="s">
        <v>1203</v>
      </c>
      <c r="L199" s="535" t="s">
        <v>1351</v>
      </c>
      <c r="M199" s="536" t="s">
        <v>1352</v>
      </c>
      <c r="N199" s="536"/>
      <c r="O199" s="535"/>
      <c r="P199" s="536"/>
      <c r="Q199" s="536"/>
      <c r="R199" s="540"/>
      <c r="S199" s="537"/>
      <c r="T199" s="537"/>
      <c r="U199" s="537"/>
      <c r="V199" s="537"/>
      <c r="W199" s="537"/>
      <c r="X199" s="537"/>
      <c r="Y199" s="537"/>
      <c r="Z199" s="537"/>
      <c r="AA199" s="537"/>
      <c r="AB199" s="537"/>
      <c r="AC199" s="537"/>
      <c r="AD199" s="537">
        <f t="shared" si="31"/>
        <v>0</v>
      </c>
      <c r="AF199" s="541"/>
      <c r="AG199" s="541"/>
      <c r="AH199" s="541"/>
      <c r="AI199" s="541"/>
      <c r="AJ199" s="541"/>
      <c r="AK199" s="541"/>
      <c r="AL199" s="541"/>
      <c r="AM199" s="541"/>
      <c r="AN199" s="541"/>
      <c r="AO199" s="541"/>
      <c r="AP199" s="541"/>
      <c r="AQ199" s="541"/>
      <c r="AR199" s="1284">
        <f t="shared" si="33"/>
        <v>0</v>
      </c>
      <c r="AS199" s="719">
        <f t="shared" si="28"/>
        <v>0</v>
      </c>
      <c r="AT199" s="718">
        <f t="shared" si="29"/>
        <v>0</v>
      </c>
    </row>
    <row r="200" spans="1:46" s="533" customFormat="1" ht="16.399999999999999" customHeight="1" outlineLevel="1" x14ac:dyDescent="0.35">
      <c r="A200" s="534" t="s">
        <v>782</v>
      </c>
      <c r="B200" s="534" t="s">
        <v>783</v>
      </c>
      <c r="C200" s="535" t="s">
        <v>1156</v>
      </c>
      <c r="D200" s="536" t="s">
        <v>817</v>
      </c>
      <c r="E200" s="536" t="s">
        <v>818</v>
      </c>
      <c r="F200" s="536" t="s">
        <v>1341</v>
      </c>
      <c r="G200" s="536" t="s">
        <v>1173</v>
      </c>
      <c r="H200" s="536" t="s">
        <v>1342</v>
      </c>
      <c r="I200" s="535" t="s">
        <v>1354</v>
      </c>
      <c r="J200" s="536" t="s">
        <v>1350</v>
      </c>
      <c r="K200" s="536" t="s">
        <v>1203</v>
      </c>
      <c r="L200" s="535" t="s">
        <v>1351</v>
      </c>
      <c r="M200" s="536" t="s">
        <v>1352</v>
      </c>
      <c r="N200" s="536"/>
      <c r="O200" s="535"/>
      <c r="P200" s="536"/>
      <c r="Q200" s="536"/>
      <c r="R200" s="540"/>
      <c r="S200" s="537"/>
      <c r="T200" s="537"/>
      <c r="U200" s="537"/>
      <c r="V200" s="537"/>
      <c r="W200" s="537"/>
      <c r="X200" s="537"/>
      <c r="Y200" s="537"/>
      <c r="Z200" s="537"/>
      <c r="AA200" s="537"/>
      <c r="AB200" s="537"/>
      <c r="AC200" s="537"/>
      <c r="AD200" s="537">
        <f t="shared" si="31"/>
        <v>0</v>
      </c>
      <c r="AF200" s="541"/>
      <c r="AG200" s="541"/>
      <c r="AH200" s="541"/>
      <c r="AI200" s="541"/>
      <c r="AJ200" s="541"/>
      <c r="AK200" s="541"/>
      <c r="AL200" s="541"/>
      <c r="AM200" s="541"/>
      <c r="AN200" s="541"/>
      <c r="AO200" s="541"/>
      <c r="AP200" s="541"/>
      <c r="AQ200" s="541"/>
      <c r="AR200" s="1284">
        <f t="shared" si="33"/>
        <v>0</v>
      </c>
      <c r="AS200" s="719">
        <f t="shared" si="28"/>
        <v>0</v>
      </c>
      <c r="AT200" s="718">
        <f t="shared" si="29"/>
        <v>0</v>
      </c>
    </row>
    <row r="201" spans="1:46" s="533" customFormat="1" ht="16.399999999999999" customHeight="1" outlineLevel="1" x14ac:dyDescent="0.35">
      <c r="A201" s="534" t="s">
        <v>782</v>
      </c>
      <c r="B201" s="534" t="s">
        <v>783</v>
      </c>
      <c r="C201" s="535" t="s">
        <v>1156</v>
      </c>
      <c r="D201" s="536" t="s">
        <v>817</v>
      </c>
      <c r="E201" s="536" t="s">
        <v>818</v>
      </c>
      <c r="F201" s="536" t="s">
        <v>1022</v>
      </c>
      <c r="G201" s="536" t="s">
        <v>1173</v>
      </c>
      <c r="H201" s="536" t="s">
        <v>1023</v>
      </c>
      <c r="I201" s="535" t="s">
        <v>1355</v>
      </c>
      <c r="J201" s="536" t="s">
        <v>91</v>
      </c>
      <c r="K201" s="536" t="s">
        <v>572</v>
      </c>
      <c r="L201" s="535" t="s">
        <v>1025</v>
      </c>
      <c r="M201" s="536" t="s">
        <v>1026</v>
      </c>
      <c r="N201" s="536"/>
      <c r="O201" s="535"/>
      <c r="P201" s="536"/>
      <c r="Q201" s="536"/>
      <c r="R201" s="540"/>
      <c r="S201" s="537"/>
      <c r="T201" s="537"/>
      <c r="U201" s="537"/>
      <c r="V201" s="537"/>
      <c r="W201" s="537"/>
      <c r="X201" s="537"/>
      <c r="Y201" s="537"/>
      <c r="Z201" s="537"/>
      <c r="AA201" s="537"/>
      <c r="AB201" s="537"/>
      <c r="AC201" s="537"/>
      <c r="AD201" s="537">
        <f t="shared" si="31"/>
        <v>0</v>
      </c>
      <c r="AF201" s="541"/>
      <c r="AG201" s="541"/>
      <c r="AH201" s="541"/>
      <c r="AI201" s="541"/>
      <c r="AJ201" s="541"/>
      <c r="AK201" s="541"/>
      <c r="AL201" s="541"/>
      <c r="AM201" s="541"/>
      <c r="AN201" s="541"/>
      <c r="AO201" s="541"/>
      <c r="AP201" s="541"/>
      <c r="AQ201" s="541"/>
      <c r="AR201" s="1284">
        <f t="shared" si="33"/>
        <v>0</v>
      </c>
      <c r="AS201" s="719">
        <f t="shared" si="28"/>
        <v>0</v>
      </c>
      <c r="AT201" s="718">
        <f t="shared" si="29"/>
        <v>0</v>
      </c>
    </row>
    <row r="202" spans="1:46" s="533" customFormat="1" ht="16.399999999999999" customHeight="1" outlineLevel="1" x14ac:dyDescent="0.35">
      <c r="A202" s="534" t="s">
        <v>782</v>
      </c>
      <c r="B202" s="534" t="s">
        <v>783</v>
      </c>
      <c r="C202" s="535" t="s">
        <v>1156</v>
      </c>
      <c r="D202" s="536" t="s">
        <v>817</v>
      </c>
      <c r="E202" s="536" t="s">
        <v>818</v>
      </c>
      <c r="F202" s="536" t="s">
        <v>1022</v>
      </c>
      <c r="G202" s="536" t="s">
        <v>1173</v>
      </c>
      <c r="H202" s="536" t="s">
        <v>1023</v>
      </c>
      <c r="I202" s="535" t="s">
        <v>1356</v>
      </c>
      <c r="J202" s="536" t="s">
        <v>91</v>
      </c>
      <c r="K202" s="536" t="s">
        <v>572</v>
      </c>
      <c r="L202" s="535" t="s">
        <v>1025</v>
      </c>
      <c r="M202" s="536" t="s">
        <v>1026</v>
      </c>
      <c r="N202" s="536"/>
      <c r="O202" s="535"/>
      <c r="P202" s="536"/>
      <c r="Q202" s="536"/>
      <c r="R202" s="540"/>
      <c r="S202" s="537"/>
      <c r="T202" s="537"/>
      <c r="U202" s="537"/>
      <c r="V202" s="537"/>
      <c r="W202" s="537"/>
      <c r="X202" s="537"/>
      <c r="Y202" s="537"/>
      <c r="Z202" s="537"/>
      <c r="AA202" s="537"/>
      <c r="AB202" s="537"/>
      <c r="AC202" s="537"/>
      <c r="AD202" s="537">
        <f t="shared" si="31"/>
        <v>0</v>
      </c>
      <c r="AF202" s="541"/>
      <c r="AG202" s="541"/>
      <c r="AH202" s="541"/>
      <c r="AI202" s="541"/>
      <c r="AJ202" s="541"/>
      <c r="AK202" s="541"/>
      <c r="AL202" s="541"/>
      <c r="AM202" s="541"/>
      <c r="AN202" s="541"/>
      <c r="AO202" s="541"/>
      <c r="AP202" s="541"/>
      <c r="AQ202" s="541"/>
      <c r="AR202" s="1284">
        <f t="shared" si="33"/>
        <v>0</v>
      </c>
      <c r="AS202" s="719">
        <f t="shared" si="28"/>
        <v>0</v>
      </c>
      <c r="AT202" s="718">
        <f t="shared" si="29"/>
        <v>0</v>
      </c>
    </row>
    <row r="203" spans="1:46" s="533" customFormat="1" ht="16.399999999999999" customHeight="1" outlineLevel="1" x14ac:dyDescent="0.35">
      <c r="A203" s="534" t="s">
        <v>782</v>
      </c>
      <c r="B203" s="534" t="s">
        <v>783</v>
      </c>
      <c r="C203" s="535" t="s">
        <v>1156</v>
      </c>
      <c r="D203" s="536" t="s">
        <v>817</v>
      </c>
      <c r="E203" s="536" t="s">
        <v>818</v>
      </c>
      <c r="F203" s="536" t="s">
        <v>1022</v>
      </c>
      <c r="G203" s="536" t="s">
        <v>1173</v>
      </c>
      <c r="H203" s="536" t="s">
        <v>1023</v>
      </c>
      <c r="I203" s="535" t="s">
        <v>1357</v>
      </c>
      <c r="J203" s="536" t="s">
        <v>445</v>
      </c>
      <c r="K203" s="536" t="s">
        <v>572</v>
      </c>
      <c r="L203" s="535" t="s">
        <v>1029</v>
      </c>
      <c r="M203" s="536" t="s">
        <v>1030</v>
      </c>
      <c r="N203" s="536"/>
      <c r="O203" s="535"/>
      <c r="P203" s="536"/>
      <c r="Q203" s="536"/>
      <c r="R203" s="540"/>
      <c r="S203" s="537"/>
      <c r="T203" s="537"/>
      <c r="U203" s="537"/>
      <c r="V203" s="537"/>
      <c r="W203" s="537"/>
      <c r="X203" s="537"/>
      <c r="Y203" s="537"/>
      <c r="Z203" s="537"/>
      <c r="AA203" s="537"/>
      <c r="AB203" s="537"/>
      <c r="AC203" s="537"/>
      <c r="AD203" s="537">
        <f t="shared" si="31"/>
        <v>0</v>
      </c>
      <c r="AF203" s="541"/>
      <c r="AG203" s="541"/>
      <c r="AH203" s="541"/>
      <c r="AI203" s="541"/>
      <c r="AJ203" s="541"/>
      <c r="AK203" s="541"/>
      <c r="AL203" s="541"/>
      <c r="AM203" s="541"/>
      <c r="AN203" s="541"/>
      <c r="AO203" s="541"/>
      <c r="AP203" s="541"/>
      <c r="AQ203" s="541"/>
      <c r="AR203" s="1284">
        <f t="shared" si="33"/>
        <v>0</v>
      </c>
      <c r="AS203" s="719">
        <f t="shared" ref="AS203:AS266" si="34">AD203-AR203</f>
        <v>0</v>
      </c>
      <c r="AT203" s="718">
        <f t="shared" ref="AT203:AT266" si="35">IFERROR(AS203/AR203,0)</f>
        <v>0</v>
      </c>
    </row>
    <row r="204" spans="1:46" s="533" customFormat="1" ht="16.399999999999999" customHeight="1" outlineLevel="1" x14ac:dyDescent="0.35">
      <c r="A204" s="534" t="s">
        <v>782</v>
      </c>
      <c r="B204" s="534" t="s">
        <v>783</v>
      </c>
      <c r="C204" s="535" t="s">
        <v>1156</v>
      </c>
      <c r="D204" s="536" t="s">
        <v>817</v>
      </c>
      <c r="E204" s="536" t="s">
        <v>818</v>
      </c>
      <c r="F204" s="536" t="s">
        <v>1031</v>
      </c>
      <c r="G204" s="536" t="s">
        <v>1173</v>
      </c>
      <c r="H204" s="536" t="s">
        <v>1032</v>
      </c>
      <c r="I204" s="535" t="s">
        <v>1358</v>
      </c>
      <c r="J204" s="536" t="s">
        <v>486</v>
      </c>
      <c r="K204" s="536" t="s">
        <v>586</v>
      </c>
      <c r="L204" s="535" t="s">
        <v>1359</v>
      </c>
      <c r="M204" s="536" t="s">
        <v>1360</v>
      </c>
      <c r="N204" s="536"/>
      <c r="O204" s="535"/>
      <c r="P204" s="536"/>
      <c r="Q204" s="536"/>
      <c r="R204" s="540"/>
      <c r="S204" s="537"/>
      <c r="T204" s="537"/>
      <c r="U204" s="537"/>
      <c r="V204" s="537"/>
      <c r="W204" s="537"/>
      <c r="X204" s="537"/>
      <c r="Y204" s="537"/>
      <c r="Z204" s="537"/>
      <c r="AA204" s="537"/>
      <c r="AB204" s="537"/>
      <c r="AC204" s="537"/>
      <c r="AD204" s="537">
        <f t="shared" si="31"/>
        <v>0</v>
      </c>
      <c r="AF204" s="541"/>
      <c r="AG204" s="541"/>
      <c r="AH204" s="541"/>
      <c r="AI204" s="541"/>
      <c r="AJ204" s="541"/>
      <c r="AK204" s="541"/>
      <c r="AL204" s="541"/>
      <c r="AM204" s="541"/>
      <c r="AN204" s="541"/>
      <c r="AO204" s="541"/>
      <c r="AP204" s="541"/>
      <c r="AQ204" s="541"/>
      <c r="AR204" s="1284">
        <f t="shared" si="33"/>
        <v>0</v>
      </c>
      <c r="AS204" s="719">
        <f t="shared" si="34"/>
        <v>0</v>
      </c>
      <c r="AT204" s="718">
        <f t="shared" si="35"/>
        <v>0</v>
      </c>
    </row>
    <row r="205" spans="1:46" s="533" customFormat="1" ht="16.399999999999999" customHeight="1" outlineLevel="1" x14ac:dyDescent="0.35">
      <c r="A205" s="534" t="s">
        <v>782</v>
      </c>
      <c r="B205" s="534" t="s">
        <v>783</v>
      </c>
      <c r="C205" s="535" t="s">
        <v>1156</v>
      </c>
      <c r="D205" s="536" t="s">
        <v>817</v>
      </c>
      <c r="E205" s="536" t="s">
        <v>818</v>
      </c>
      <c r="F205" s="536" t="s">
        <v>1031</v>
      </c>
      <c r="G205" s="536" t="s">
        <v>1173</v>
      </c>
      <c r="H205" s="536" t="s">
        <v>1032</v>
      </c>
      <c r="I205" s="535" t="s">
        <v>1361</v>
      </c>
      <c r="J205" s="536" t="s">
        <v>446</v>
      </c>
      <c r="K205" s="536" t="s">
        <v>585</v>
      </c>
      <c r="L205" s="535" t="s">
        <v>1034</v>
      </c>
      <c r="M205" s="536" t="s">
        <v>1035</v>
      </c>
      <c r="N205" s="536"/>
      <c r="O205" s="535"/>
      <c r="P205" s="536"/>
      <c r="Q205" s="536"/>
      <c r="R205" s="540"/>
      <c r="S205" s="537"/>
      <c r="T205" s="537"/>
      <c r="U205" s="537"/>
      <c r="V205" s="537"/>
      <c r="W205" s="537"/>
      <c r="X205" s="537"/>
      <c r="Y205" s="537"/>
      <c r="Z205" s="537"/>
      <c r="AA205" s="537"/>
      <c r="AB205" s="537"/>
      <c r="AC205" s="537"/>
      <c r="AD205" s="537">
        <f t="shared" ref="AD205:AD238" si="36">SUM(R205:AC205)</f>
        <v>0</v>
      </c>
      <c r="AF205" s="541"/>
      <c r="AG205" s="541"/>
      <c r="AH205" s="541"/>
      <c r="AI205" s="541"/>
      <c r="AJ205" s="541"/>
      <c r="AK205" s="541"/>
      <c r="AL205" s="541"/>
      <c r="AM205" s="541"/>
      <c r="AN205" s="541"/>
      <c r="AO205" s="541"/>
      <c r="AP205" s="541"/>
      <c r="AQ205" s="541"/>
      <c r="AR205" s="1284">
        <f t="shared" si="33"/>
        <v>0</v>
      </c>
      <c r="AS205" s="719">
        <f t="shared" si="34"/>
        <v>0</v>
      </c>
      <c r="AT205" s="718">
        <f t="shared" si="35"/>
        <v>0</v>
      </c>
    </row>
    <row r="206" spans="1:46" s="533" customFormat="1" ht="16.399999999999999" customHeight="1" outlineLevel="1" x14ac:dyDescent="0.35">
      <c r="A206" s="534" t="s">
        <v>782</v>
      </c>
      <c r="B206" s="534" t="s">
        <v>783</v>
      </c>
      <c r="C206" s="535" t="s">
        <v>1156</v>
      </c>
      <c r="D206" s="536" t="s">
        <v>817</v>
      </c>
      <c r="E206" s="536" t="s">
        <v>818</v>
      </c>
      <c r="F206" s="536" t="s">
        <v>1043</v>
      </c>
      <c r="G206" s="536" t="s">
        <v>1173</v>
      </c>
      <c r="H206" s="536" t="s">
        <v>606</v>
      </c>
      <c r="I206" s="535" t="s">
        <v>1362</v>
      </c>
      <c r="J206" s="536" t="s">
        <v>447</v>
      </c>
      <c r="K206" s="536" t="s">
        <v>579</v>
      </c>
      <c r="L206" s="535" t="s">
        <v>1045</v>
      </c>
      <c r="M206" s="536" t="s">
        <v>1046</v>
      </c>
      <c r="N206" s="536"/>
      <c r="O206" s="535"/>
      <c r="P206" s="536"/>
      <c r="Q206" s="536"/>
      <c r="R206" s="540"/>
      <c r="S206" s="537"/>
      <c r="T206" s="537"/>
      <c r="U206" s="537"/>
      <c r="V206" s="537"/>
      <c r="W206" s="537"/>
      <c r="X206" s="537"/>
      <c r="Y206" s="537"/>
      <c r="Z206" s="537"/>
      <c r="AA206" s="537"/>
      <c r="AB206" s="537"/>
      <c r="AC206" s="537"/>
      <c r="AD206" s="537">
        <f t="shared" si="36"/>
        <v>0</v>
      </c>
      <c r="AF206" s="541"/>
      <c r="AG206" s="541"/>
      <c r="AH206" s="541"/>
      <c r="AI206" s="541"/>
      <c r="AJ206" s="541"/>
      <c r="AK206" s="541"/>
      <c r="AL206" s="541"/>
      <c r="AM206" s="541"/>
      <c r="AN206" s="541"/>
      <c r="AO206" s="541"/>
      <c r="AP206" s="541"/>
      <c r="AQ206" s="541"/>
      <c r="AR206" s="1284">
        <f t="shared" si="33"/>
        <v>0</v>
      </c>
      <c r="AS206" s="719">
        <f t="shared" si="34"/>
        <v>0</v>
      </c>
      <c r="AT206" s="718">
        <f t="shared" si="35"/>
        <v>0</v>
      </c>
    </row>
    <row r="207" spans="1:46" s="533" customFormat="1" ht="16.399999999999999" customHeight="1" outlineLevel="1" x14ac:dyDescent="0.35">
      <c r="A207" s="534" t="s">
        <v>782</v>
      </c>
      <c r="B207" s="534" t="s">
        <v>783</v>
      </c>
      <c r="C207" s="535" t="s">
        <v>1156</v>
      </c>
      <c r="D207" s="536" t="s">
        <v>817</v>
      </c>
      <c r="E207" s="536" t="s">
        <v>818</v>
      </c>
      <c r="F207" s="536" t="s">
        <v>1048</v>
      </c>
      <c r="G207" s="536" t="s">
        <v>1173</v>
      </c>
      <c r="H207" s="536" t="s">
        <v>1049</v>
      </c>
      <c r="I207" s="535" t="s">
        <v>1363</v>
      </c>
      <c r="J207" s="536" t="s">
        <v>1364</v>
      </c>
      <c r="K207" s="536" t="s">
        <v>1203</v>
      </c>
      <c r="L207" s="535" t="s">
        <v>1365</v>
      </c>
      <c r="M207" s="536" t="s">
        <v>1366</v>
      </c>
      <c r="N207" s="536"/>
      <c r="O207" s="535"/>
      <c r="P207" s="536"/>
      <c r="Q207" s="536"/>
      <c r="R207" s="540"/>
      <c r="S207" s="537"/>
      <c r="T207" s="537"/>
      <c r="U207" s="537"/>
      <c r="V207" s="537"/>
      <c r="W207" s="537"/>
      <c r="X207" s="537"/>
      <c r="Y207" s="537"/>
      <c r="Z207" s="537"/>
      <c r="AA207" s="537"/>
      <c r="AB207" s="537"/>
      <c r="AC207" s="537"/>
      <c r="AD207" s="537">
        <f t="shared" si="36"/>
        <v>0</v>
      </c>
      <c r="AF207" s="541"/>
      <c r="AG207" s="541"/>
      <c r="AH207" s="541"/>
      <c r="AI207" s="541"/>
      <c r="AJ207" s="541"/>
      <c r="AK207" s="541"/>
      <c r="AL207" s="541"/>
      <c r="AM207" s="541"/>
      <c r="AN207" s="541"/>
      <c r="AO207" s="541"/>
      <c r="AP207" s="541"/>
      <c r="AQ207" s="541"/>
      <c r="AR207" s="1284">
        <f t="shared" si="33"/>
        <v>0</v>
      </c>
      <c r="AS207" s="719">
        <f t="shared" si="34"/>
        <v>0</v>
      </c>
      <c r="AT207" s="718">
        <f t="shared" si="35"/>
        <v>0</v>
      </c>
    </row>
    <row r="208" spans="1:46" s="533" customFormat="1" ht="16.399999999999999" customHeight="1" outlineLevel="1" x14ac:dyDescent="0.35">
      <c r="A208" s="534" t="s">
        <v>782</v>
      </c>
      <c r="B208" s="534" t="s">
        <v>783</v>
      </c>
      <c r="C208" s="535" t="s">
        <v>1156</v>
      </c>
      <c r="D208" s="536" t="s">
        <v>817</v>
      </c>
      <c r="E208" s="536" t="s">
        <v>818</v>
      </c>
      <c r="F208" s="536" t="s">
        <v>1048</v>
      </c>
      <c r="G208" s="536" t="s">
        <v>1173</v>
      </c>
      <c r="H208" s="536" t="s">
        <v>1049</v>
      </c>
      <c r="I208" s="535" t="s">
        <v>1367</v>
      </c>
      <c r="J208" s="536" t="s">
        <v>487</v>
      </c>
      <c r="K208" s="536" t="s">
        <v>595</v>
      </c>
      <c r="L208" s="535" t="s">
        <v>1368</v>
      </c>
      <c r="M208" s="536" t="s">
        <v>1369</v>
      </c>
      <c r="N208" s="536"/>
      <c r="O208" s="535"/>
      <c r="P208" s="536"/>
      <c r="Q208" s="536"/>
      <c r="R208" s="540"/>
      <c r="S208" s="537"/>
      <c r="T208" s="537"/>
      <c r="U208" s="537"/>
      <c r="V208" s="537"/>
      <c r="W208" s="537"/>
      <c r="X208" s="537"/>
      <c r="Y208" s="537"/>
      <c r="Z208" s="537"/>
      <c r="AA208" s="537"/>
      <c r="AB208" s="537"/>
      <c r="AC208" s="537"/>
      <c r="AD208" s="537">
        <f t="shared" si="36"/>
        <v>0</v>
      </c>
      <c r="AF208" s="541"/>
      <c r="AG208" s="541"/>
      <c r="AH208" s="541"/>
      <c r="AI208" s="541"/>
      <c r="AJ208" s="541"/>
      <c r="AK208" s="541"/>
      <c r="AL208" s="541"/>
      <c r="AM208" s="541"/>
      <c r="AN208" s="541"/>
      <c r="AO208" s="541"/>
      <c r="AP208" s="541"/>
      <c r="AQ208" s="541"/>
      <c r="AR208" s="1284">
        <f t="shared" si="33"/>
        <v>0</v>
      </c>
      <c r="AS208" s="719">
        <f t="shared" si="34"/>
        <v>0</v>
      </c>
      <c r="AT208" s="718">
        <f t="shared" si="35"/>
        <v>0</v>
      </c>
    </row>
    <row r="209" spans="1:46" s="533" customFormat="1" ht="16.399999999999999" customHeight="1" outlineLevel="1" x14ac:dyDescent="0.35">
      <c r="A209" s="534" t="s">
        <v>782</v>
      </c>
      <c r="B209" s="534" t="s">
        <v>783</v>
      </c>
      <c r="C209" s="535" t="s">
        <v>1156</v>
      </c>
      <c r="D209" s="536" t="s">
        <v>817</v>
      </c>
      <c r="E209" s="536" t="s">
        <v>818</v>
      </c>
      <c r="F209" s="536" t="s">
        <v>1048</v>
      </c>
      <c r="G209" s="536" t="s">
        <v>1173</v>
      </c>
      <c r="H209" s="536" t="s">
        <v>1049</v>
      </c>
      <c r="I209" s="535" t="s">
        <v>1370</v>
      </c>
      <c r="J209" s="536" t="s">
        <v>448</v>
      </c>
      <c r="K209" s="536" t="s">
        <v>594</v>
      </c>
      <c r="L209" s="535" t="s">
        <v>1051</v>
      </c>
      <c r="M209" s="536" t="s">
        <v>1052</v>
      </c>
      <c r="N209" s="536"/>
      <c r="O209" s="535"/>
      <c r="P209" s="536"/>
      <c r="Q209" s="536"/>
      <c r="R209" s="540"/>
      <c r="S209" s="537"/>
      <c r="T209" s="537"/>
      <c r="U209" s="537"/>
      <c r="V209" s="537"/>
      <c r="W209" s="537"/>
      <c r="X209" s="537"/>
      <c r="Y209" s="537"/>
      <c r="Z209" s="537"/>
      <c r="AA209" s="537"/>
      <c r="AB209" s="537"/>
      <c r="AC209" s="537"/>
      <c r="AD209" s="537">
        <f t="shared" si="36"/>
        <v>0</v>
      </c>
      <c r="AF209" s="541"/>
      <c r="AG209" s="541"/>
      <c r="AH209" s="541"/>
      <c r="AI209" s="541"/>
      <c r="AJ209" s="541"/>
      <c r="AK209" s="541"/>
      <c r="AL209" s="541"/>
      <c r="AM209" s="541"/>
      <c r="AN209" s="541"/>
      <c r="AO209" s="541"/>
      <c r="AP209" s="541"/>
      <c r="AQ209" s="541"/>
      <c r="AR209" s="1284">
        <f t="shared" si="33"/>
        <v>0</v>
      </c>
      <c r="AS209" s="719">
        <f t="shared" si="34"/>
        <v>0</v>
      </c>
      <c r="AT209" s="718">
        <f t="shared" si="35"/>
        <v>0</v>
      </c>
    </row>
    <row r="210" spans="1:46" s="533" customFormat="1" ht="16.399999999999999" customHeight="1" outlineLevel="1" x14ac:dyDescent="0.35">
      <c r="A210" s="534" t="s">
        <v>782</v>
      </c>
      <c r="B210" s="534" t="s">
        <v>783</v>
      </c>
      <c r="C210" s="535" t="s">
        <v>1156</v>
      </c>
      <c r="D210" s="536" t="s">
        <v>817</v>
      </c>
      <c r="E210" s="536" t="s">
        <v>818</v>
      </c>
      <c r="F210" s="536" t="s">
        <v>1048</v>
      </c>
      <c r="G210" s="536" t="s">
        <v>1173</v>
      </c>
      <c r="H210" s="536" t="s">
        <v>1049</v>
      </c>
      <c r="I210" s="535" t="s">
        <v>1371</v>
      </c>
      <c r="J210" s="536" t="s">
        <v>1054</v>
      </c>
      <c r="K210" s="536" t="s">
        <v>594</v>
      </c>
      <c r="L210" s="535" t="s">
        <v>1055</v>
      </c>
      <c r="M210" s="536" t="s">
        <v>1056</v>
      </c>
      <c r="N210" s="536"/>
      <c r="O210" s="535"/>
      <c r="P210" s="536"/>
      <c r="Q210" s="536"/>
      <c r="R210" s="540"/>
      <c r="S210" s="537"/>
      <c r="T210" s="537"/>
      <c r="U210" s="537"/>
      <c r="V210" s="537"/>
      <c r="W210" s="537"/>
      <c r="X210" s="537"/>
      <c r="Y210" s="537"/>
      <c r="Z210" s="537"/>
      <c r="AA210" s="537"/>
      <c r="AB210" s="537"/>
      <c r="AC210" s="537"/>
      <c r="AD210" s="537">
        <f t="shared" si="36"/>
        <v>0</v>
      </c>
      <c r="AF210" s="541"/>
      <c r="AG210" s="541"/>
      <c r="AH210" s="541"/>
      <c r="AI210" s="541"/>
      <c r="AJ210" s="541"/>
      <c r="AK210" s="541"/>
      <c r="AL210" s="541"/>
      <c r="AM210" s="541"/>
      <c r="AN210" s="541"/>
      <c r="AO210" s="541"/>
      <c r="AP210" s="541"/>
      <c r="AQ210" s="541"/>
      <c r="AR210" s="1284">
        <f t="shared" si="33"/>
        <v>0</v>
      </c>
      <c r="AS210" s="719">
        <f t="shared" si="34"/>
        <v>0</v>
      </c>
      <c r="AT210" s="718">
        <f t="shared" si="35"/>
        <v>0</v>
      </c>
    </row>
    <row r="211" spans="1:46" s="533" customFormat="1" ht="16.399999999999999" customHeight="1" outlineLevel="1" x14ac:dyDescent="0.35">
      <c r="A211" s="534" t="s">
        <v>782</v>
      </c>
      <c r="B211" s="534" t="s">
        <v>783</v>
      </c>
      <c r="C211" s="535" t="s">
        <v>1156</v>
      </c>
      <c r="D211" s="536" t="s">
        <v>817</v>
      </c>
      <c r="E211" s="536" t="s">
        <v>818</v>
      </c>
      <c r="F211" s="536" t="s">
        <v>1048</v>
      </c>
      <c r="G211" s="536" t="s">
        <v>1173</v>
      </c>
      <c r="H211" s="536" t="s">
        <v>1049</v>
      </c>
      <c r="I211" s="535" t="s">
        <v>1372</v>
      </c>
      <c r="J211" s="536" t="s">
        <v>1054</v>
      </c>
      <c r="K211" s="536" t="s">
        <v>594</v>
      </c>
      <c r="L211" s="535" t="s">
        <v>1055</v>
      </c>
      <c r="M211" s="536" t="s">
        <v>1056</v>
      </c>
      <c r="N211" s="536"/>
      <c r="O211" s="535"/>
      <c r="P211" s="536"/>
      <c r="Q211" s="536"/>
      <c r="R211" s="540"/>
      <c r="S211" s="537"/>
      <c r="T211" s="537"/>
      <c r="U211" s="537"/>
      <c r="V211" s="537"/>
      <c r="W211" s="537"/>
      <c r="X211" s="537"/>
      <c r="Y211" s="537"/>
      <c r="Z211" s="537"/>
      <c r="AA211" s="537"/>
      <c r="AB211" s="537"/>
      <c r="AC211" s="537"/>
      <c r="AD211" s="537">
        <f t="shared" si="36"/>
        <v>0</v>
      </c>
      <c r="AF211" s="541"/>
      <c r="AG211" s="541"/>
      <c r="AH211" s="541"/>
      <c r="AI211" s="541"/>
      <c r="AJ211" s="541"/>
      <c r="AK211" s="541"/>
      <c r="AL211" s="541"/>
      <c r="AM211" s="541"/>
      <c r="AN211" s="541"/>
      <c r="AO211" s="541"/>
      <c r="AP211" s="541"/>
      <c r="AQ211" s="541"/>
      <c r="AR211" s="1284">
        <f t="shared" si="33"/>
        <v>0</v>
      </c>
      <c r="AS211" s="719">
        <f t="shared" si="34"/>
        <v>0</v>
      </c>
      <c r="AT211" s="718">
        <f t="shared" si="35"/>
        <v>0</v>
      </c>
    </row>
    <row r="212" spans="1:46" s="533" customFormat="1" ht="16.399999999999999" customHeight="1" outlineLevel="1" x14ac:dyDescent="0.35">
      <c r="A212" s="534" t="s">
        <v>782</v>
      </c>
      <c r="B212" s="534" t="s">
        <v>783</v>
      </c>
      <c r="C212" s="535" t="s">
        <v>1156</v>
      </c>
      <c r="D212" s="536" t="s">
        <v>817</v>
      </c>
      <c r="E212" s="536" t="s">
        <v>818</v>
      </c>
      <c r="F212" s="536" t="s">
        <v>1048</v>
      </c>
      <c r="G212" s="536" t="s">
        <v>1173</v>
      </c>
      <c r="H212" s="536" t="s">
        <v>1049</v>
      </c>
      <c r="I212" s="535" t="s">
        <v>1373</v>
      </c>
      <c r="J212" s="536" t="s">
        <v>1054</v>
      </c>
      <c r="K212" s="536" t="s">
        <v>594</v>
      </c>
      <c r="L212" s="535" t="s">
        <v>1055</v>
      </c>
      <c r="M212" s="536" t="s">
        <v>1056</v>
      </c>
      <c r="N212" s="536"/>
      <c r="O212" s="535"/>
      <c r="P212" s="536"/>
      <c r="Q212" s="536"/>
      <c r="R212" s="540"/>
      <c r="S212" s="537"/>
      <c r="T212" s="537"/>
      <c r="U212" s="537"/>
      <c r="V212" s="537"/>
      <c r="W212" s="537"/>
      <c r="X212" s="537"/>
      <c r="Y212" s="537"/>
      <c r="Z212" s="537"/>
      <c r="AA212" s="537"/>
      <c r="AB212" s="537"/>
      <c r="AC212" s="537"/>
      <c r="AD212" s="537">
        <f t="shared" si="36"/>
        <v>0</v>
      </c>
      <c r="AF212" s="541"/>
      <c r="AG212" s="541"/>
      <c r="AH212" s="541"/>
      <c r="AI212" s="541"/>
      <c r="AJ212" s="541"/>
      <c r="AK212" s="541"/>
      <c r="AL212" s="541"/>
      <c r="AM212" s="541"/>
      <c r="AN212" s="541"/>
      <c r="AO212" s="541"/>
      <c r="AP212" s="541"/>
      <c r="AQ212" s="541"/>
      <c r="AR212" s="1284">
        <f t="shared" si="33"/>
        <v>0</v>
      </c>
      <c r="AS212" s="719">
        <f t="shared" si="34"/>
        <v>0</v>
      </c>
      <c r="AT212" s="718">
        <f t="shared" si="35"/>
        <v>0</v>
      </c>
    </row>
    <row r="213" spans="1:46" s="533" customFormat="1" ht="16.399999999999999" customHeight="1" outlineLevel="1" x14ac:dyDescent="0.35">
      <c r="A213" s="534" t="s">
        <v>782</v>
      </c>
      <c r="B213" s="534" t="s">
        <v>783</v>
      </c>
      <c r="C213" s="535" t="s">
        <v>1156</v>
      </c>
      <c r="D213" s="536" t="s">
        <v>817</v>
      </c>
      <c r="E213" s="536" t="s">
        <v>818</v>
      </c>
      <c r="F213" s="536" t="s">
        <v>1048</v>
      </c>
      <c r="G213" s="536" t="s">
        <v>1173</v>
      </c>
      <c r="H213" s="536" t="s">
        <v>1049</v>
      </c>
      <c r="I213" s="535" t="s">
        <v>1374</v>
      </c>
      <c r="J213" s="536" t="s">
        <v>1059</v>
      </c>
      <c r="K213" s="536" t="s">
        <v>594</v>
      </c>
      <c r="L213" s="535" t="s">
        <v>1060</v>
      </c>
      <c r="M213" s="536" t="s">
        <v>1061</v>
      </c>
      <c r="N213" s="536"/>
      <c r="O213" s="535"/>
      <c r="P213" s="536"/>
      <c r="Q213" s="536"/>
      <c r="R213" s="540"/>
      <c r="S213" s="537"/>
      <c r="T213" s="537"/>
      <c r="U213" s="537"/>
      <c r="V213" s="537"/>
      <c r="W213" s="537"/>
      <c r="X213" s="537"/>
      <c r="Y213" s="537"/>
      <c r="Z213" s="537"/>
      <c r="AA213" s="537"/>
      <c r="AB213" s="537"/>
      <c r="AC213" s="537"/>
      <c r="AD213" s="537">
        <f t="shared" si="36"/>
        <v>0</v>
      </c>
      <c r="AF213" s="541"/>
      <c r="AG213" s="541"/>
      <c r="AH213" s="541"/>
      <c r="AI213" s="541"/>
      <c r="AJ213" s="541"/>
      <c r="AK213" s="541"/>
      <c r="AL213" s="541"/>
      <c r="AM213" s="541"/>
      <c r="AN213" s="541"/>
      <c r="AO213" s="541"/>
      <c r="AP213" s="541"/>
      <c r="AQ213" s="541"/>
      <c r="AR213" s="1284">
        <f t="shared" si="33"/>
        <v>0</v>
      </c>
      <c r="AS213" s="719">
        <f t="shared" si="34"/>
        <v>0</v>
      </c>
      <c r="AT213" s="718">
        <f t="shared" si="35"/>
        <v>0</v>
      </c>
    </row>
    <row r="214" spans="1:46" s="533" customFormat="1" ht="16.399999999999999" customHeight="1" outlineLevel="1" x14ac:dyDescent="0.35">
      <c r="A214" s="534" t="s">
        <v>782</v>
      </c>
      <c r="B214" s="534" t="s">
        <v>783</v>
      </c>
      <c r="C214" s="535" t="s">
        <v>1156</v>
      </c>
      <c r="D214" s="536" t="s">
        <v>817</v>
      </c>
      <c r="E214" s="536" t="s">
        <v>818</v>
      </c>
      <c r="F214" s="536" t="s">
        <v>1048</v>
      </c>
      <c r="G214" s="536" t="s">
        <v>1173</v>
      </c>
      <c r="H214" s="536" t="s">
        <v>1049</v>
      </c>
      <c r="I214" s="535" t="s">
        <v>1375</v>
      </c>
      <c r="J214" s="536" t="s">
        <v>1059</v>
      </c>
      <c r="K214" s="536" t="s">
        <v>594</v>
      </c>
      <c r="L214" s="535" t="s">
        <v>1060</v>
      </c>
      <c r="M214" s="536" t="s">
        <v>1061</v>
      </c>
      <c r="N214" s="536"/>
      <c r="O214" s="535"/>
      <c r="P214" s="536"/>
      <c r="Q214" s="536"/>
      <c r="R214" s="540"/>
      <c r="S214" s="537"/>
      <c r="T214" s="537"/>
      <c r="U214" s="537"/>
      <c r="V214" s="537"/>
      <c r="W214" s="537"/>
      <c r="X214" s="537"/>
      <c r="Y214" s="537"/>
      <c r="Z214" s="537"/>
      <c r="AA214" s="537"/>
      <c r="AB214" s="537"/>
      <c r="AC214" s="537"/>
      <c r="AD214" s="537">
        <f t="shared" si="36"/>
        <v>0</v>
      </c>
      <c r="AF214" s="541"/>
      <c r="AG214" s="541"/>
      <c r="AH214" s="541"/>
      <c r="AI214" s="541"/>
      <c r="AJ214" s="541"/>
      <c r="AK214" s="541"/>
      <c r="AL214" s="541"/>
      <c r="AM214" s="541"/>
      <c r="AN214" s="541"/>
      <c r="AO214" s="541"/>
      <c r="AP214" s="541"/>
      <c r="AQ214" s="541"/>
      <c r="AR214" s="1284">
        <f t="shared" si="33"/>
        <v>0</v>
      </c>
      <c r="AS214" s="719">
        <f t="shared" si="34"/>
        <v>0</v>
      </c>
      <c r="AT214" s="718">
        <f t="shared" si="35"/>
        <v>0</v>
      </c>
    </row>
    <row r="215" spans="1:46" s="533" customFormat="1" ht="16.399999999999999" customHeight="1" outlineLevel="1" x14ac:dyDescent="0.35">
      <c r="A215" s="534" t="s">
        <v>782</v>
      </c>
      <c r="B215" s="534" t="s">
        <v>783</v>
      </c>
      <c r="C215" s="535" t="s">
        <v>1156</v>
      </c>
      <c r="D215" s="536" t="s">
        <v>817</v>
      </c>
      <c r="E215" s="536" t="s">
        <v>818</v>
      </c>
      <c r="F215" s="536" t="s">
        <v>1048</v>
      </c>
      <c r="G215" s="536" t="s">
        <v>1173</v>
      </c>
      <c r="H215" s="536" t="s">
        <v>1049</v>
      </c>
      <c r="I215" s="535" t="s">
        <v>1376</v>
      </c>
      <c r="J215" s="536" t="s">
        <v>1059</v>
      </c>
      <c r="K215" s="536" t="s">
        <v>594</v>
      </c>
      <c r="L215" s="535" t="s">
        <v>1060</v>
      </c>
      <c r="M215" s="536" t="s">
        <v>1061</v>
      </c>
      <c r="N215" s="536"/>
      <c r="O215" s="535"/>
      <c r="P215" s="536"/>
      <c r="Q215" s="536"/>
      <c r="R215" s="540"/>
      <c r="S215" s="537"/>
      <c r="T215" s="537"/>
      <c r="U215" s="537"/>
      <c r="V215" s="537"/>
      <c r="W215" s="537"/>
      <c r="X215" s="537"/>
      <c r="Y215" s="537"/>
      <c r="Z215" s="537"/>
      <c r="AA215" s="537"/>
      <c r="AB215" s="537"/>
      <c r="AC215" s="537"/>
      <c r="AD215" s="537">
        <f t="shared" si="36"/>
        <v>0</v>
      </c>
      <c r="AF215" s="541"/>
      <c r="AG215" s="541"/>
      <c r="AH215" s="541"/>
      <c r="AI215" s="541"/>
      <c r="AJ215" s="541"/>
      <c r="AK215" s="541"/>
      <c r="AL215" s="541"/>
      <c r="AM215" s="541"/>
      <c r="AN215" s="541"/>
      <c r="AO215" s="541"/>
      <c r="AP215" s="541"/>
      <c r="AQ215" s="541"/>
      <c r="AR215" s="1284">
        <f t="shared" si="33"/>
        <v>0</v>
      </c>
      <c r="AS215" s="719">
        <f t="shared" si="34"/>
        <v>0</v>
      </c>
      <c r="AT215" s="718">
        <f t="shared" si="35"/>
        <v>0</v>
      </c>
    </row>
    <row r="216" spans="1:46" s="533" customFormat="1" ht="16.399999999999999" customHeight="1" outlineLevel="1" x14ac:dyDescent="0.35">
      <c r="A216" s="534" t="s">
        <v>782</v>
      </c>
      <c r="B216" s="534" t="s">
        <v>783</v>
      </c>
      <c r="C216" s="535" t="s">
        <v>1156</v>
      </c>
      <c r="D216" s="536" t="s">
        <v>828</v>
      </c>
      <c r="E216" s="536" t="s">
        <v>818</v>
      </c>
      <c r="F216" s="536" t="s">
        <v>1377</v>
      </c>
      <c r="G216" s="536" t="s">
        <v>1173</v>
      </c>
      <c r="H216" s="536" t="s">
        <v>1069</v>
      </c>
      <c r="I216" s="535" t="s">
        <v>1378</v>
      </c>
      <c r="J216" s="536" t="s">
        <v>488</v>
      </c>
      <c r="K216" s="536" t="s">
        <v>582</v>
      </c>
      <c r="L216" s="535" t="s">
        <v>1379</v>
      </c>
      <c r="M216" s="536" t="s">
        <v>1380</v>
      </c>
      <c r="N216" s="536"/>
      <c r="O216" s="535"/>
      <c r="P216" s="536"/>
      <c r="Q216" s="536"/>
      <c r="R216" s="540"/>
      <c r="S216" s="537"/>
      <c r="T216" s="537"/>
      <c r="U216" s="537"/>
      <c r="V216" s="537"/>
      <c r="W216" s="537"/>
      <c r="X216" s="537"/>
      <c r="Y216" s="537"/>
      <c r="Z216" s="537"/>
      <c r="AA216" s="537"/>
      <c r="AB216" s="537"/>
      <c r="AC216" s="537"/>
      <c r="AD216" s="537">
        <f t="shared" si="36"/>
        <v>0</v>
      </c>
      <c r="AF216" s="541"/>
      <c r="AG216" s="541"/>
      <c r="AH216" s="541"/>
      <c r="AI216" s="541"/>
      <c r="AJ216" s="541"/>
      <c r="AK216" s="541"/>
      <c r="AL216" s="541"/>
      <c r="AM216" s="541"/>
      <c r="AN216" s="541"/>
      <c r="AO216" s="541"/>
      <c r="AP216" s="541"/>
      <c r="AQ216" s="541"/>
      <c r="AR216" s="1284">
        <f t="shared" si="33"/>
        <v>0</v>
      </c>
      <c r="AS216" s="719">
        <f t="shared" si="34"/>
        <v>0</v>
      </c>
      <c r="AT216" s="718">
        <f t="shared" si="35"/>
        <v>0</v>
      </c>
    </row>
    <row r="217" spans="1:46" s="533" customFormat="1" ht="16.399999999999999" customHeight="1" outlineLevel="1" x14ac:dyDescent="0.35">
      <c r="A217" s="534" t="s">
        <v>782</v>
      </c>
      <c r="B217" s="534" t="s">
        <v>783</v>
      </c>
      <c r="C217" s="535" t="s">
        <v>1156</v>
      </c>
      <c r="D217" s="536" t="s">
        <v>817</v>
      </c>
      <c r="E217" s="536" t="s">
        <v>818</v>
      </c>
      <c r="F217" s="536" t="s">
        <v>1068</v>
      </c>
      <c r="G217" s="536" t="s">
        <v>1173</v>
      </c>
      <c r="H217" s="536" t="s">
        <v>1069</v>
      </c>
      <c r="I217" s="535" t="s">
        <v>1381</v>
      </c>
      <c r="J217" s="536" t="s">
        <v>489</v>
      </c>
      <c r="K217" s="536" t="s">
        <v>594</v>
      </c>
      <c r="L217" s="535" t="s">
        <v>1382</v>
      </c>
      <c r="M217" s="536" t="s">
        <v>1383</v>
      </c>
      <c r="N217" s="536"/>
      <c r="O217" s="535"/>
      <c r="P217" s="536"/>
      <c r="Q217" s="536"/>
      <c r="R217" s="540"/>
      <c r="S217" s="537"/>
      <c r="T217" s="537"/>
      <c r="U217" s="537"/>
      <c r="V217" s="537"/>
      <c r="W217" s="537"/>
      <c r="X217" s="537"/>
      <c r="Y217" s="537"/>
      <c r="Z217" s="537"/>
      <c r="AA217" s="537"/>
      <c r="AB217" s="537"/>
      <c r="AC217" s="537"/>
      <c r="AD217" s="537">
        <f t="shared" si="36"/>
        <v>0</v>
      </c>
      <c r="AF217" s="541"/>
      <c r="AG217" s="541"/>
      <c r="AH217" s="541"/>
      <c r="AI217" s="541"/>
      <c r="AJ217" s="541"/>
      <c r="AK217" s="541"/>
      <c r="AL217" s="541"/>
      <c r="AM217" s="541"/>
      <c r="AN217" s="541"/>
      <c r="AO217" s="541"/>
      <c r="AP217" s="541"/>
      <c r="AQ217" s="541"/>
      <c r="AR217" s="1284">
        <f t="shared" si="33"/>
        <v>0</v>
      </c>
      <c r="AS217" s="719">
        <f t="shared" si="34"/>
        <v>0</v>
      </c>
      <c r="AT217" s="718">
        <f t="shared" si="35"/>
        <v>0</v>
      </c>
    </row>
    <row r="218" spans="1:46" s="533" customFormat="1" ht="16.399999999999999" customHeight="1" outlineLevel="1" x14ac:dyDescent="0.35">
      <c r="A218" s="534" t="s">
        <v>782</v>
      </c>
      <c r="B218" s="534" t="s">
        <v>783</v>
      </c>
      <c r="C218" s="535" t="s">
        <v>1156</v>
      </c>
      <c r="D218" s="536" t="s">
        <v>828</v>
      </c>
      <c r="E218" s="536" t="s">
        <v>818</v>
      </c>
      <c r="F218" s="536" t="s">
        <v>1377</v>
      </c>
      <c r="G218" s="536" t="s">
        <v>1173</v>
      </c>
      <c r="H218" s="536" t="s">
        <v>1075</v>
      </c>
      <c r="I218" s="535" t="s">
        <v>1384</v>
      </c>
      <c r="J218" s="536" t="s">
        <v>1385</v>
      </c>
      <c r="K218" s="536" t="s">
        <v>582</v>
      </c>
      <c r="L218" s="535" t="s">
        <v>1386</v>
      </c>
      <c r="M218" s="536" t="s">
        <v>1387</v>
      </c>
      <c r="N218" s="536"/>
      <c r="O218" s="535"/>
      <c r="P218" s="536"/>
      <c r="Q218" s="536"/>
      <c r="R218" s="540"/>
      <c r="S218" s="537"/>
      <c r="T218" s="537"/>
      <c r="U218" s="537"/>
      <c r="V218" s="537"/>
      <c r="W218" s="537"/>
      <c r="X218" s="537"/>
      <c r="Y218" s="537"/>
      <c r="Z218" s="537"/>
      <c r="AA218" s="537"/>
      <c r="AB218" s="537"/>
      <c r="AC218" s="537"/>
      <c r="AD218" s="537">
        <f t="shared" si="36"/>
        <v>0</v>
      </c>
      <c r="AF218" s="541"/>
      <c r="AG218" s="541"/>
      <c r="AH218" s="541"/>
      <c r="AI218" s="541"/>
      <c r="AJ218" s="541"/>
      <c r="AK218" s="541"/>
      <c r="AL218" s="541"/>
      <c r="AM218" s="541"/>
      <c r="AN218" s="541"/>
      <c r="AO218" s="541"/>
      <c r="AP218" s="541"/>
      <c r="AQ218" s="541"/>
      <c r="AR218" s="1284">
        <f t="shared" si="33"/>
        <v>0</v>
      </c>
      <c r="AS218" s="719">
        <f t="shared" si="34"/>
        <v>0</v>
      </c>
      <c r="AT218" s="718">
        <f t="shared" si="35"/>
        <v>0</v>
      </c>
    </row>
    <row r="219" spans="1:46" s="533" customFormat="1" ht="16.399999999999999" customHeight="1" outlineLevel="1" x14ac:dyDescent="0.35">
      <c r="A219" s="534" t="s">
        <v>782</v>
      </c>
      <c r="B219" s="534" t="s">
        <v>783</v>
      </c>
      <c r="C219" s="535" t="s">
        <v>1156</v>
      </c>
      <c r="D219" s="536" t="s">
        <v>828</v>
      </c>
      <c r="E219" s="536" t="s">
        <v>818</v>
      </c>
      <c r="F219" s="536" t="s">
        <v>1377</v>
      </c>
      <c r="G219" s="536" t="s">
        <v>1173</v>
      </c>
      <c r="H219" s="536" t="s">
        <v>1075</v>
      </c>
      <c r="I219" s="535" t="s">
        <v>1388</v>
      </c>
      <c r="J219" s="536" t="s">
        <v>1385</v>
      </c>
      <c r="K219" s="536" t="s">
        <v>582</v>
      </c>
      <c r="L219" s="535" t="s">
        <v>1386</v>
      </c>
      <c r="M219" s="536" t="s">
        <v>1387</v>
      </c>
      <c r="N219" s="536"/>
      <c r="O219" s="535"/>
      <c r="P219" s="536"/>
      <c r="Q219" s="536"/>
      <c r="R219" s="540"/>
      <c r="S219" s="537"/>
      <c r="T219" s="537"/>
      <c r="U219" s="537"/>
      <c r="V219" s="537"/>
      <c r="W219" s="537"/>
      <c r="X219" s="537"/>
      <c r="Y219" s="537"/>
      <c r="Z219" s="537"/>
      <c r="AA219" s="537"/>
      <c r="AB219" s="537"/>
      <c r="AC219" s="537"/>
      <c r="AD219" s="537">
        <f t="shared" si="36"/>
        <v>0</v>
      </c>
      <c r="AF219" s="541"/>
      <c r="AG219" s="541"/>
      <c r="AH219" s="541"/>
      <c r="AI219" s="541"/>
      <c r="AJ219" s="541"/>
      <c r="AK219" s="541"/>
      <c r="AL219" s="541"/>
      <c r="AM219" s="541"/>
      <c r="AN219" s="541"/>
      <c r="AO219" s="541"/>
      <c r="AP219" s="541"/>
      <c r="AQ219" s="541"/>
      <c r="AR219" s="1284">
        <f t="shared" si="33"/>
        <v>0</v>
      </c>
      <c r="AS219" s="719">
        <f t="shared" si="34"/>
        <v>0</v>
      </c>
      <c r="AT219" s="718">
        <f t="shared" si="35"/>
        <v>0</v>
      </c>
    </row>
    <row r="220" spans="1:46" s="533" customFormat="1" ht="16.399999999999999" customHeight="1" outlineLevel="1" x14ac:dyDescent="0.35">
      <c r="A220" s="534" t="s">
        <v>782</v>
      </c>
      <c r="B220" s="534" t="s">
        <v>783</v>
      </c>
      <c r="C220" s="535" t="s">
        <v>1156</v>
      </c>
      <c r="D220" s="536" t="s">
        <v>817</v>
      </c>
      <c r="E220" s="536" t="s">
        <v>818</v>
      </c>
      <c r="F220" s="536" t="s">
        <v>1074</v>
      </c>
      <c r="G220" s="536" t="s">
        <v>1173</v>
      </c>
      <c r="H220" s="536" t="s">
        <v>1075</v>
      </c>
      <c r="I220" s="535" t="s">
        <v>1389</v>
      </c>
      <c r="J220" s="536" t="s">
        <v>84</v>
      </c>
      <c r="K220" s="536" t="s">
        <v>576</v>
      </c>
      <c r="L220" s="535" t="s">
        <v>1077</v>
      </c>
      <c r="M220" s="536" t="s">
        <v>1078</v>
      </c>
      <c r="N220" s="536"/>
      <c r="O220" s="535"/>
      <c r="P220" s="536"/>
      <c r="Q220" s="536"/>
      <c r="R220" s="540"/>
      <c r="S220" s="537"/>
      <c r="T220" s="537"/>
      <c r="U220" s="537"/>
      <c r="V220" s="537"/>
      <c r="W220" s="537"/>
      <c r="X220" s="537"/>
      <c r="Y220" s="537"/>
      <c r="Z220" s="537"/>
      <c r="AA220" s="537"/>
      <c r="AB220" s="537"/>
      <c r="AC220" s="537"/>
      <c r="AD220" s="537">
        <f t="shared" si="36"/>
        <v>0</v>
      </c>
      <c r="AF220" s="541"/>
      <c r="AG220" s="541"/>
      <c r="AH220" s="541"/>
      <c r="AI220" s="541"/>
      <c r="AJ220" s="541"/>
      <c r="AK220" s="541"/>
      <c r="AL220" s="541"/>
      <c r="AM220" s="541"/>
      <c r="AN220" s="541"/>
      <c r="AO220" s="541"/>
      <c r="AP220" s="541"/>
      <c r="AQ220" s="541"/>
      <c r="AR220" s="1284">
        <f t="shared" si="33"/>
        <v>0</v>
      </c>
      <c r="AS220" s="719">
        <f t="shared" si="34"/>
        <v>0</v>
      </c>
      <c r="AT220" s="718">
        <f t="shared" si="35"/>
        <v>0</v>
      </c>
    </row>
    <row r="221" spans="1:46" s="533" customFormat="1" ht="16.399999999999999" customHeight="1" outlineLevel="1" x14ac:dyDescent="0.35">
      <c r="A221" s="534" t="s">
        <v>782</v>
      </c>
      <c r="B221" s="534" t="s">
        <v>783</v>
      </c>
      <c r="C221" s="535" t="s">
        <v>1156</v>
      </c>
      <c r="D221" s="536" t="s">
        <v>817</v>
      </c>
      <c r="E221" s="536" t="s">
        <v>818</v>
      </c>
      <c r="F221" s="536" t="s">
        <v>1074</v>
      </c>
      <c r="G221" s="536" t="s">
        <v>1173</v>
      </c>
      <c r="H221" s="536" t="s">
        <v>1075</v>
      </c>
      <c r="I221" s="535" t="s">
        <v>1390</v>
      </c>
      <c r="J221" s="536" t="s">
        <v>490</v>
      </c>
      <c r="K221" s="536" t="s">
        <v>597</v>
      </c>
      <c r="L221" s="535" t="s">
        <v>1391</v>
      </c>
      <c r="M221" s="536" t="s">
        <v>1392</v>
      </c>
      <c r="N221" s="536"/>
      <c r="O221" s="535"/>
      <c r="P221" s="536"/>
      <c r="Q221" s="536"/>
      <c r="R221" s="540"/>
      <c r="S221" s="537"/>
      <c r="T221" s="537"/>
      <c r="U221" s="537"/>
      <c r="V221" s="537"/>
      <c r="W221" s="537"/>
      <c r="X221" s="537"/>
      <c r="Y221" s="537"/>
      <c r="Z221" s="537"/>
      <c r="AA221" s="537"/>
      <c r="AB221" s="537"/>
      <c r="AC221" s="537"/>
      <c r="AD221" s="537">
        <f t="shared" si="36"/>
        <v>0</v>
      </c>
      <c r="AF221" s="541"/>
      <c r="AG221" s="541"/>
      <c r="AH221" s="541"/>
      <c r="AI221" s="541"/>
      <c r="AJ221" s="541"/>
      <c r="AK221" s="541"/>
      <c r="AL221" s="541"/>
      <c r="AM221" s="541"/>
      <c r="AN221" s="541"/>
      <c r="AO221" s="541"/>
      <c r="AP221" s="541"/>
      <c r="AQ221" s="541"/>
      <c r="AR221" s="1284">
        <f t="shared" si="33"/>
        <v>0</v>
      </c>
      <c r="AS221" s="719">
        <f t="shared" si="34"/>
        <v>0</v>
      </c>
      <c r="AT221" s="718">
        <f t="shared" si="35"/>
        <v>0</v>
      </c>
    </row>
    <row r="222" spans="1:46" s="533" customFormat="1" ht="16.399999999999999" customHeight="1" outlineLevel="1" x14ac:dyDescent="0.35">
      <c r="A222" s="534" t="s">
        <v>782</v>
      </c>
      <c r="B222" s="534" t="s">
        <v>783</v>
      </c>
      <c r="C222" s="535" t="s">
        <v>1156</v>
      </c>
      <c r="D222" s="536" t="s">
        <v>817</v>
      </c>
      <c r="E222" s="536" t="s">
        <v>818</v>
      </c>
      <c r="F222" s="536" t="s">
        <v>819</v>
      </c>
      <c r="G222" s="536" t="s">
        <v>1173</v>
      </c>
      <c r="H222" s="536" t="s">
        <v>821</v>
      </c>
      <c r="I222" s="535" t="s">
        <v>1393</v>
      </c>
      <c r="J222" s="536" t="s">
        <v>449</v>
      </c>
      <c r="K222" s="536" t="s">
        <v>580</v>
      </c>
      <c r="L222" s="535" t="s">
        <v>1080</v>
      </c>
      <c r="M222" s="536" t="s">
        <v>1081</v>
      </c>
      <c r="N222" s="536"/>
      <c r="O222" s="535"/>
      <c r="P222" s="536"/>
      <c r="Q222" s="536"/>
      <c r="R222" s="540"/>
      <c r="S222" s="537"/>
      <c r="T222" s="537"/>
      <c r="U222" s="537"/>
      <c r="V222" s="537"/>
      <c r="W222" s="537"/>
      <c r="X222" s="537"/>
      <c r="Y222" s="537"/>
      <c r="Z222" s="537"/>
      <c r="AA222" s="537"/>
      <c r="AB222" s="537"/>
      <c r="AC222" s="537"/>
      <c r="AD222" s="537">
        <f t="shared" si="36"/>
        <v>0</v>
      </c>
      <c r="AF222" s="541"/>
      <c r="AG222" s="541"/>
      <c r="AH222" s="541"/>
      <c r="AI222" s="541"/>
      <c r="AJ222" s="541"/>
      <c r="AK222" s="541"/>
      <c r="AL222" s="541"/>
      <c r="AM222" s="541"/>
      <c r="AN222" s="541"/>
      <c r="AO222" s="541"/>
      <c r="AP222" s="541"/>
      <c r="AQ222" s="541"/>
      <c r="AR222" s="1284">
        <f t="shared" si="33"/>
        <v>0</v>
      </c>
      <c r="AS222" s="719">
        <f t="shared" si="34"/>
        <v>0</v>
      </c>
      <c r="AT222" s="718">
        <f t="shared" si="35"/>
        <v>0</v>
      </c>
    </row>
    <row r="223" spans="1:46" s="533" customFormat="1" ht="16.399999999999999" customHeight="1" outlineLevel="1" x14ac:dyDescent="0.35">
      <c r="A223" s="534" t="s">
        <v>782</v>
      </c>
      <c r="B223" s="534" t="s">
        <v>783</v>
      </c>
      <c r="C223" s="535" t="s">
        <v>1156</v>
      </c>
      <c r="D223" s="536" t="s">
        <v>817</v>
      </c>
      <c r="E223" s="536" t="s">
        <v>818</v>
      </c>
      <c r="F223" s="536" t="s">
        <v>1082</v>
      </c>
      <c r="G223" s="536" t="s">
        <v>1173</v>
      </c>
      <c r="H223" s="536" t="s">
        <v>1083</v>
      </c>
      <c r="I223" s="535" t="s">
        <v>1394</v>
      </c>
      <c r="J223" s="536" t="s">
        <v>450</v>
      </c>
      <c r="K223" s="536" t="s">
        <v>599</v>
      </c>
      <c r="L223" s="535" t="s">
        <v>1085</v>
      </c>
      <c r="M223" s="536" t="s">
        <v>1083</v>
      </c>
      <c r="N223" s="536"/>
      <c r="O223" s="535"/>
      <c r="P223" s="536"/>
      <c r="Q223" s="536"/>
      <c r="R223" s="540"/>
      <c r="S223" s="537"/>
      <c r="T223" s="537"/>
      <c r="U223" s="537"/>
      <c r="V223" s="537"/>
      <c r="W223" s="537"/>
      <c r="X223" s="537"/>
      <c r="Y223" s="537"/>
      <c r="Z223" s="537"/>
      <c r="AA223" s="537"/>
      <c r="AB223" s="537"/>
      <c r="AC223" s="537"/>
      <c r="AD223" s="537">
        <f t="shared" si="36"/>
        <v>0</v>
      </c>
      <c r="AF223" s="541"/>
      <c r="AG223" s="541"/>
      <c r="AH223" s="541"/>
      <c r="AI223" s="541"/>
      <c r="AJ223" s="541"/>
      <c r="AK223" s="541"/>
      <c r="AL223" s="541"/>
      <c r="AM223" s="541"/>
      <c r="AN223" s="541"/>
      <c r="AO223" s="541"/>
      <c r="AP223" s="541"/>
      <c r="AQ223" s="541"/>
      <c r="AR223" s="1284">
        <f t="shared" si="33"/>
        <v>0</v>
      </c>
      <c r="AS223" s="719">
        <f t="shared" si="34"/>
        <v>0</v>
      </c>
      <c r="AT223" s="718">
        <f t="shared" si="35"/>
        <v>0</v>
      </c>
    </row>
    <row r="224" spans="1:46" s="533" customFormat="1" ht="16.399999999999999" customHeight="1" outlineLevel="1" x14ac:dyDescent="0.35">
      <c r="A224" s="534" t="s">
        <v>782</v>
      </c>
      <c r="B224" s="534" t="s">
        <v>783</v>
      </c>
      <c r="C224" s="535" t="s">
        <v>1156</v>
      </c>
      <c r="D224" s="536" t="s">
        <v>817</v>
      </c>
      <c r="E224" s="536" t="s">
        <v>818</v>
      </c>
      <c r="F224" s="536" t="s">
        <v>1395</v>
      </c>
      <c r="G224" s="536" t="s">
        <v>1173</v>
      </c>
      <c r="H224" s="536" t="s">
        <v>1396</v>
      </c>
      <c r="I224" s="535" t="s">
        <v>1397</v>
      </c>
      <c r="J224" s="536" t="s">
        <v>491</v>
      </c>
      <c r="K224" s="536" t="s">
        <v>570</v>
      </c>
      <c r="L224" s="535" t="s">
        <v>1398</v>
      </c>
      <c r="M224" s="536" t="s">
        <v>1399</v>
      </c>
      <c r="N224" s="536"/>
      <c r="O224" s="535"/>
      <c r="P224" s="536"/>
      <c r="Q224" s="536"/>
      <c r="R224" s="540"/>
      <c r="S224" s="537"/>
      <c r="T224" s="537"/>
      <c r="U224" s="537"/>
      <c r="V224" s="537"/>
      <c r="W224" s="537"/>
      <c r="X224" s="537"/>
      <c r="Y224" s="537"/>
      <c r="Z224" s="537"/>
      <c r="AA224" s="537"/>
      <c r="AB224" s="537"/>
      <c r="AC224" s="537"/>
      <c r="AD224" s="537">
        <f t="shared" si="36"/>
        <v>0</v>
      </c>
      <c r="AF224" s="541"/>
      <c r="AG224" s="541"/>
      <c r="AH224" s="541"/>
      <c r="AI224" s="541"/>
      <c r="AJ224" s="541"/>
      <c r="AK224" s="541"/>
      <c r="AL224" s="541"/>
      <c r="AM224" s="541"/>
      <c r="AN224" s="541"/>
      <c r="AO224" s="541"/>
      <c r="AP224" s="541"/>
      <c r="AQ224" s="541"/>
      <c r="AR224" s="1284">
        <f t="shared" si="33"/>
        <v>0</v>
      </c>
      <c r="AS224" s="719">
        <f t="shared" si="34"/>
        <v>0</v>
      </c>
      <c r="AT224" s="718">
        <f t="shared" si="35"/>
        <v>0</v>
      </c>
    </row>
    <row r="225" spans="1:46" s="533" customFormat="1" ht="16.399999999999999" customHeight="1" outlineLevel="1" x14ac:dyDescent="0.35">
      <c r="A225" s="534" t="s">
        <v>782</v>
      </c>
      <c r="B225" s="534" t="s">
        <v>783</v>
      </c>
      <c r="C225" s="535" t="s">
        <v>1156</v>
      </c>
      <c r="D225" s="536" t="s">
        <v>817</v>
      </c>
      <c r="E225" s="536" t="s">
        <v>818</v>
      </c>
      <c r="F225" s="536" t="s">
        <v>871</v>
      </c>
      <c r="G225" s="536" t="s">
        <v>1173</v>
      </c>
      <c r="H225" s="536" t="s">
        <v>1093</v>
      </c>
      <c r="I225" s="535" t="s">
        <v>1400</v>
      </c>
      <c r="J225" s="536" t="s">
        <v>451</v>
      </c>
      <c r="K225" s="536" t="s">
        <v>575</v>
      </c>
      <c r="L225" s="535" t="s">
        <v>1095</v>
      </c>
      <c r="M225" s="536" t="s">
        <v>1096</v>
      </c>
      <c r="N225" s="536"/>
      <c r="O225" s="535"/>
      <c r="P225" s="536"/>
      <c r="Q225" s="536"/>
      <c r="R225" s="540"/>
      <c r="S225" s="537"/>
      <c r="T225" s="537"/>
      <c r="U225" s="537"/>
      <c r="V225" s="537"/>
      <c r="W225" s="537"/>
      <c r="X225" s="537"/>
      <c r="Y225" s="537"/>
      <c r="Z225" s="537"/>
      <c r="AA225" s="537"/>
      <c r="AB225" s="537"/>
      <c r="AC225" s="537"/>
      <c r="AD225" s="537">
        <f t="shared" si="36"/>
        <v>0</v>
      </c>
      <c r="AF225" s="541"/>
      <c r="AG225" s="541"/>
      <c r="AH225" s="541"/>
      <c r="AI225" s="541"/>
      <c r="AJ225" s="541"/>
      <c r="AK225" s="541"/>
      <c r="AL225" s="541"/>
      <c r="AM225" s="541"/>
      <c r="AN225" s="541"/>
      <c r="AO225" s="541"/>
      <c r="AP225" s="541"/>
      <c r="AQ225" s="541"/>
      <c r="AR225" s="1284">
        <f t="shared" si="33"/>
        <v>0</v>
      </c>
      <c r="AS225" s="719">
        <f t="shared" si="34"/>
        <v>0</v>
      </c>
      <c r="AT225" s="718">
        <f t="shared" si="35"/>
        <v>0</v>
      </c>
    </row>
    <row r="226" spans="1:46" s="533" customFormat="1" ht="16.399999999999999" customHeight="1" outlineLevel="1" x14ac:dyDescent="0.35">
      <c r="A226" s="534" t="s">
        <v>782</v>
      </c>
      <c r="B226" s="534" t="s">
        <v>783</v>
      </c>
      <c r="C226" s="535" t="s">
        <v>1156</v>
      </c>
      <c r="D226" s="536" t="s">
        <v>817</v>
      </c>
      <c r="E226" s="536" t="s">
        <v>818</v>
      </c>
      <c r="F226" s="536" t="s">
        <v>1106</v>
      </c>
      <c r="G226" s="536" t="s">
        <v>1173</v>
      </c>
      <c r="H226" s="536" t="s">
        <v>1107</v>
      </c>
      <c r="I226" s="535" t="s">
        <v>1401</v>
      </c>
      <c r="J226" s="536" t="s">
        <v>452</v>
      </c>
      <c r="K226" s="536" t="s">
        <v>575</v>
      </c>
      <c r="L226" s="535" t="s">
        <v>1109</v>
      </c>
      <c r="M226" s="536" t="s">
        <v>1110</v>
      </c>
      <c r="N226" s="536"/>
      <c r="O226" s="535"/>
      <c r="P226" s="536"/>
      <c r="Q226" s="536"/>
      <c r="R226" s="540"/>
      <c r="S226" s="537"/>
      <c r="T226" s="537"/>
      <c r="U226" s="537"/>
      <c r="V226" s="537"/>
      <c r="W226" s="537"/>
      <c r="X226" s="537"/>
      <c r="Y226" s="537"/>
      <c r="Z226" s="537"/>
      <c r="AA226" s="537"/>
      <c r="AB226" s="537"/>
      <c r="AC226" s="537"/>
      <c r="AD226" s="537">
        <f t="shared" si="36"/>
        <v>0</v>
      </c>
      <c r="AF226" s="541"/>
      <c r="AG226" s="541"/>
      <c r="AH226" s="541"/>
      <c r="AI226" s="541"/>
      <c r="AJ226" s="541"/>
      <c r="AK226" s="541"/>
      <c r="AL226" s="541"/>
      <c r="AM226" s="541"/>
      <c r="AN226" s="541"/>
      <c r="AO226" s="541"/>
      <c r="AP226" s="541"/>
      <c r="AQ226" s="541"/>
      <c r="AR226" s="1284">
        <f t="shared" si="33"/>
        <v>0</v>
      </c>
      <c r="AS226" s="719">
        <f t="shared" si="34"/>
        <v>0</v>
      </c>
      <c r="AT226" s="718">
        <f t="shared" si="35"/>
        <v>0</v>
      </c>
    </row>
    <row r="227" spans="1:46" s="533" customFormat="1" ht="16.399999999999999" customHeight="1" outlineLevel="1" x14ac:dyDescent="0.35">
      <c r="A227" s="534" t="s">
        <v>782</v>
      </c>
      <c r="B227" s="534" t="s">
        <v>783</v>
      </c>
      <c r="C227" s="535" t="s">
        <v>1156</v>
      </c>
      <c r="D227" s="536" t="s">
        <v>817</v>
      </c>
      <c r="E227" s="536" t="s">
        <v>818</v>
      </c>
      <c r="F227" s="536" t="s">
        <v>1111</v>
      </c>
      <c r="G227" s="536" t="s">
        <v>1173</v>
      </c>
      <c r="H227" s="536" t="s">
        <v>1112</v>
      </c>
      <c r="I227" s="535" t="s">
        <v>1402</v>
      </c>
      <c r="J227" s="536" t="s">
        <v>453</v>
      </c>
      <c r="K227" s="536" t="s">
        <v>573</v>
      </c>
      <c r="L227" s="535" t="s">
        <v>1114</v>
      </c>
      <c r="M227" s="536" t="s">
        <v>1115</v>
      </c>
      <c r="N227" s="536"/>
      <c r="O227" s="535"/>
      <c r="P227" s="536"/>
      <c r="Q227" s="536"/>
      <c r="R227" s="540"/>
      <c r="S227" s="537"/>
      <c r="T227" s="537"/>
      <c r="U227" s="537"/>
      <c r="V227" s="537"/>
      <c r="W227" s="537"/>
      <c r="X227" s="537"/>
      <c r="Y227" s="537"/>
      <c r="Z227" s="537"/>
      <c r="AA227" s="537"/>
      <c r="AB227" s="537"/>
      <c r="AC227" s="537"/>
      <c r="AD227" s="537">
        <f t="shared" si="36"/>
        <v>0</v>
      </c>
      <c r="AF227" s="541"/>
      <c r="AG227" s="541"/>
      <c r="AH227" s="541"/>
      <c r="AI227" s="541"/>
      <c r="AJ227" s="541"/>
      <c r="AK227" s="541"/>
      <c r="AL227" s="541"/>
      <c r="AM227" s="541"/>
      <c r="AN227" s="541"/>
      <c r="AO227" s="541"/>
      <c r="AP227" s="541"/>
      <c r="AQ227" s="541"/>
      <c r="AR227" s="1284">
        <f t="shared" si="33"/>
        <v>0</v>
      </c>
      <c r="AS227" s="719">
        <f t="shared" si="34"/>
        <v>0</v>
      </c>
      <c r="AT227" s="718">
        <f t="shared" si="35"/>
        <v>0</v>
      </c>
    </row>
    <row r="228" spans="1:46" s="533" customFormat="1" ht="16.399999999999999" customHeight="1" outlineLevel="1" x14ac:dyDescent="0.35">
      <c r="A228" s="534" t="s">
        <v>782</v>
      </c>
      <c r="B228" s="534" t="s">
        <v>783</v>
      </c>
      <c r="C228" s="535" t="s">
        <v>1156</v>
      </c>
      <c r="D228" s="536" t="s">
        <v>817</v>
      </c>
      <c r="E228" s="536" t="s">
        <v>818</v>
      </c>
      <c r="F228" s="536" t="s">
        <v>1111</v>
      </c>
      <c r="G228" s="536" t="s">
        <v>1173</v>
      </c>
      <c r="H228" s="536" t="s">
        <v>1112</v>
      </c>
      <c r="I228" s="535" t="s">
        <v>1403</v>
      </c>
      <c r="J228" s="536" t="s">
        <v>96</v>
      </c>
      <c r="K228" s="536" t="s">
        <v>575</v>
      </c>
      <c r="L228" s="535" t="s">
        <v>1120</v>
      </c>
      <c r="M228" s="536" t="s">
        <v>1121</v>
      </c>
      <c r="N228" s="536"/>
      <c r="O228" s="535"/>
      <c r="P228" s="536"/>
      <c r="Q228" s="536"/>
      <c r="R228" s="540"/>
      <c r="S228" s="537"/>
      <c r="T228" s="537"/>
      <c r="U228" s="537"/>
      <c r="V228" s="537"/>
      <c r="W228" s="537"/>
      <c r="X228" s="537"/>
      <c r="Y228" s="537"/>
      <c r="Z228" s="537"/>
      <c r="AA228" s="537"/>
      <c r="AB228" s="537"/>
      <c r="AC228" s="537"/>
      <c r="AD228" s="537">
        <f t="shared" si="36"/>
        <v>0</v>
      </c>
      <c r="AF228" s="541"/>
      <c r="AG228" s="541"/>
      <c r="AH228" s="541"/>
      <c r="AI228" s="541"/>
      <c r="AJ228" s="541"/>
      <c r="AK228" s="541"/>
      <c r="AL228" s="541"/>
      <c r="AM228" s="541"/>
      <c r="AN228" s="541"/>
      <c r="AO228" s="541"/>
      <c r="AP228" s="541"/>
      <c r="AQ228" s="541"/>
      <c r="AR228" s="1284">
        <f t="shared" si="33"/>
        <v>0</v>
      </c>
      <c r="AS228" s="719">
        <f t="shared" si="34"/>
        <v>0</v>
      </c>
      <c r="AT228" s="718">
        <f t="shared" si="35"/>
        <v>0</v>
      </c>
    </row>
    <row r="229" spans="1:46" s="533" customFormat="1" ht="16.399999999999999" customHeight="1" x14ac:dyDescent="0.35">
      <c r="A229" s="528" t="s">
        <v>782</v>
      </c>
      <c r="B229" s="528" t="s">
        <v>783</v>
      </c>
      <c r="C229" s="529" t="s">
        <v>1156</v>
      </c>
      <c r="D229" s="529"/>
      <c r="E229" s="529"/>
      <c r="F229" s="529"/>
      <c r="G229" s="529"/>
      <c r="H229" s="530" t="s">
        <v>1404</v>
      </c>
      <c r="I229" s="530" t="s">
        <v>1405</v>
      </c>
      <c r="J229" s="542"/>
      <c r="K229" s="529"/>
      <c r="L229" s="529"/>
      <c r="M229" s="529"/>
      <c r="N229" s="542"/>
      <c r="O229" s="530" t="s">
        <v>1405</v>
      </c>
      <c r="P229" s="542"/>
      <c r="Q229" s="542"/>
      <c r="R229" s="532">
        <f t="shared" ref="R229:AC229" si="37">SUM(R230:R238)</f>
        <v>0</v>
      </c>
      <c r="S229" s="532">
        <f t="shared" si="37"/>
        <v>0</v>
      </c>
      <c r="T229" s="532">
        <f t="shared" si="37"/>
        <v>0</v>
      </c>
      <c r="U229" s="532">
        <f t="shared" si="37"/>
        <v>0</v>
      </c>
      <c r="V229" s="532">
        <f t="shared" si="37"/>
        <v>0</v>
      </c>
      <c r="W229" s="532">
        <f t="shared" si="37"/>
        <v>0</v>
      </c>
      <c r="X229" s="532">
        <f t="shared" si="37"/>
        <v>0</v>
      </c>
      <c r="Y229" s="532">
        <f t="shared" si="37"/>
        <v>0</v>
      </c>
      <c r="Z229" s="532">
        <f t="shared" si="37"/>
        <v>0</v>
      </c>
      <c r="AA229" s="532">
        <f t="shared" si="37"/>
        <v>0</v>
      </c>
      <c r="AB229" s="532">
        <f t="shared" si="37"/>
        <v>0</v>
      </c>
      <c r="AC229" s="532">
        <f t="shared" si="37"/>
        <v>0</v>
      </c>
      <c r="AD229" s="537">
        <f t="shared" si="36"/>
        <v>0</v>
      </c>
      <c r="AF229" s="532">
        <f t="shared" ref="AF229:AR229" si="38">SUM(AF230:AF238)</f>
        <v>0</v>
      </c>
      <c r="AG229" s="532">
        <f t="shared" si="38"/>
        <v>0</v>
      </c>
      <c r="AH229" s="532">
        <f t="shared" si="38"/>
        <v>0</v>
      </c>
      <c r="AI229" s="532">
        <f t="shared" si="38"/>
        <v>0</v>
      </c>
      <c r="AJ229" s="532">
        <f t="shared" si="38"/>
        <v>0</v>
      </c>
      <c r="AK229" s="532">
        <f t="shared" si="38"/>
        <v>0</v>
      </c>
      <c r="AL229" s="532">
        <f t="shared" si="38"/>
        <v>0</v>
      </c>
      <c r="AM229" s="532">
        <f t="shared" si="38"/>
        <v>0</v>
      </c>
      <c r="AN229" s="532">
        <f t="shared" si="38"/>
        <v>0</v>
      </c>
      <c r="AO229" s="532">
        <f t="shared" si="38"/>
        <v>0</v>
      </c>
      <c r="AP229" s="532">
        <f t="shared" si="38"/>
        <v>0</v>
      </c>
      <c r="AQ229" s="532">
        <f t="shared" si="38"/>
        <v>0</v>
      </c>
      <c r="AR229" s="1283">
        <f t="shared" si="38"/>
        <v>0</v>
      </c>
      <c r="AS229" s="1283">
        <f t="shared" si="34"/>
        <v>0</v>
      </c>
      <c r="AT229" s="1298">
        <f t="shared" si="35"/>
        <v>0</v>
      </c>
    </row>
    <row r="230" spans="1:46" s="533" customFormat="1" ht="16.399999999999999" customHeight="1" outlineLevel="1" x14ac:dyDescent="0.35">
      <c r="A230" s="534" t="s">
        <v>782</v>
      </c>
      <c r="B230" s="534" t="s">
        <v>783</v>
      </c>
      <c r="C230" s="535" t="s">
        <v>1156</v>
      </c>
      <c r="D230" s="536" t="s">
        <v>1123</v>
      </c>
      <c r="E230" s="536" t="s">
        <v>1124</v>
      </c>
      <c r="F230" s="536" t="s">
        <v>1125</v>
      </c>
      <c r="G230" s="536" t="s">
        <v>1123</v>
      </c>
      <c r="H230" s="536" t="s">
        <v>1124</v>
      </c>
      <c r="I230" s="535" t="s">
        <v>1406</v>
      </c>
      <c r="J230" s="536" t="s">
        <v>495</v>
      </c>
      <c r="K230" s="536" t="s">
        <v>665</v>
      </c>
      <c r="L230" s="535" t="s">
        <v>1127</v>
      </c>
      <c r="M230" s="536" t="s">
        <v>1128</v>
      </c>
      <c r="N230" s="536"/>
      <c r="O230" s="535"/>
      <c r="P230" s="536"/>
      <c r="Q230" s="536"/>
      <c r="R230" s="540"/>
      <c r="S230" s="537"/>
      <c r="T230" s="537"/>
      <c r="U230" s="537"/>
      <c r="V230" s="537"/>
      <c r="W230" s="537"/>
      <c r="X230" s="537"/>
      <c r="Y230" s="537"/>
      <c r="Z230" s="537"/>
      <c r="AA230" s="537"/>
      <c r="AB230" s="537"/>
      <c r="AC230" s="537"/>
      <c r="AD230" s="537">
        <f t="shared" si="36"/>
        <v>0</v>
      </c>
      <c r="AF230" s="541"/>
      <c r="AG230" s="541"/>
      <c r="AH230" s="541"/>
      <c r="AI230" s="541"/>
      <c r="AJ230" s="541"/>
      <c r="AK230" s="541"/>
      <c r="AL230" s="541"/>
      <c r="AM230" s="541"/>
      <c r="AN230" s="541"/>
      <c r="AO230" s="541"/>
      <c r="AP230" s="541"/>
      <c r="AQ230" s="541"/>
      <c r="AR230" s="1284">
        <f t="shared" si="33"/>
        <v>0</v>
      </c>
      <c r="AS230" s="719">
        <f t="shared" si="34"/>
        <v>0</v>
      </c>
      <c r="AT230" s="718">
        <f t="shared" si="35"/>
        <v>0</v>
      </c>
    </row>
    <row r="231" spans="1:46" s="533" customFormat="1" ht="16.399999999999999" customHeight="1" outlineLevel="1" x14ac:dyDescent="0.35">
      <c r="A231" s="534" t="s">
        <v>782</v>
      </c>
      <c r="B231" s="534" t="s">
        <v>783</v>
      </c>
      <c r="C231" s="535" t="s">
        <v>1156</v>
      </c>
      <c r="D231" s="536" t="s">
        <v>1123</v>
      </c>
      <c r="E231" s="536" t="s">
        <v>1124</v>
      </c>
      <c r="F231" s="536" t="s">
        <v>1125</v>
      </c>
      <c r="G231" s="536" t="s">
        <v>1123</v>
      </c>
      <c r="H231" s="536" t="s">
        <v>1124</v>
      </c>
      <c r="I231" s="535" t="s">
        <v>1407</v>
      </c>
      <c r="J231" s="536" t="s">
        <v>496</v>
      </c>
      <c r="K231" s="536" t="s">
        <v>667</v>
      </c>
      <c r="L231" s="535" t="s">
        <v>1133</v>
      </c>
      <c r="M231" s="536" t="s">
        <v>1134</v>
      </c>
      <c r="N231" s="536"/>
      <c r="O231" s="535"/>
      <c r="P231" s="536"/>
      <c r="Q231" s="536"/>
      <c r="R231" s="540"/>
      <c r="S231" s="537"/>
      <c r="T231" s="537"/>
      <c r="U231" s="537"/>
      <c r="V231" s="537"/>
      <c r="W231" s="537"/>
      <c r="X231" s="537"/>
      <c r="Y231" s="537"/>
      <c r="Z231" s="537"/>
      <c r="AA231" s="537"/>
      <c r="AB231" s="537"/>
      <c r="AC231" s="537"/>
      <c r="AD231" s="537">
        <f t="shared" si="36"/>
        <v>0</v>
      </c>
      <c r="AF231" s="541"/>
      <c r="AG231" s="541"/>
      <c r="AH231" s="541"/>
      <c r="AI231" s="541"/>
      <c r="AJ231" s="541"/>
      <c r="AK231" s="541"/>
      <c r="AL231" s="541"/>
      <c r="AM231" s="541"/>
      <c r="AN231" s="541"/>
      <c r="AO231" s="541"/>
      <c r="AP231" s="541"/>
      <c r="AQ231" s="541"/>
      <c r="AR231" s="1284">
        <f t="shared" si="33"/>
        <v>0</v>
      </c>
      <c r="AS231" s="719">
        <f t="shared" si="34"/>
        <v>0</v>
      </c>
      <c r="AT231" s="718">
        <f t="shared" si="35"/>
        <v>0</v>
      </c>
    </row>
    <row r="232" spans="1:46" s="533" customFormat="1" ht="16.399999999999999" customHeight="1" outlineLevel="1" x14ac:dyDescent="0.35">
      <c r="A232" s="534" t="s">
        <v>782</v>
      </c>
      <c r="B232" s="534" t="s">
        <v>783</v>
      </c>
      <c r="C232" s="535" t="s">
        <v>1156</v>
      </c>
      <c r="D232" s="536" t="s">
        <v>1123</v>
      </c>
      <c r="E232" s="536" t="s">
        <v>1124</v>
      </c>
      <c r="F232" s="536" t="s">
        <v>1125</v>
      </c>
      <c r="G232" s="536" t="s">
        <v>1123</v>
      </c>
      <c r="H232" s="536" t="s">
        <v>1124</v>
      </c>
      <c r="I232" s="535" t="s">
        <v>1408</v>
      </c>
      <c r="J232" s="536" t="s">
        <v>497</v>
      </c>
      <c r="K232" s="536" t="s">
        <v>669</v>
      </c>
      <c r="L232" s="535" t="s">
        <v>1136</v>
      </c>
      <c r="M232" s="536" t="s">
        <v>1137</v>
      </c>
      <c r="N232" s="536"/>
      <c r="O232" s="535"/>
      <c r="P232" s="536"/>
      <c r="Q232" s="536"/>
      <c r="R232" s="540"/>
      <c r="S232" s="537"/>
      <c r="T232" s="537"/>
      <c r="U232" s="537"/>
      <c r="V232" s="537"/>
      <c r="W232" s="537"/>
      <c r="X232" s="537"/>
      <c r="Y232" s="537"/>
      <c r="Z232" s="537"/>
      <c r="AA232" s="537"/>
      <c r="AB232" s="537"/>
      <c r="AC232" s="537"/>
      <c r="AD232" s="537">
        <f t="shared" si="36"/>
        <v>0</v>
      </c>
      <c r="AF232" s="541"/>
      <c r="AG232" s="541"/>
      <c r="AH232" s="541"/>
      <c r="AI232" s="541"/>
      <c r="AJ232" s="541"/>
      <c r="AK232" s="541"/>
      <c r="AL232" s="541"/>
      <c r="AM232" s="541"/>
      <c r="AN232" s="541"/>
      <c r="AO232" s="541"/>
      <c r="AP232" s="541"/>
      <c r="AQ232" s="541"/>
      <c r="AR232" s="1284">
        <f t="shared" ref="AR232:AR295" si="39">SUM(AF232:AQ232)</f>
        <v>0</v>
      </c>
      <c r="AS232" s="719">
        <f t="shared" si="34"/>
        <v>0</v>
      </c>
      <c r="AT232" s="718">
        <f t="shared" si="35"/>
        <v>0</v>
      </c>
    </row>
    <row r="233" spans="1:46" s="533" customFormat="1" ht="16.399999999999999" customHeight="1" outlineLevel="1" x14ac:dyDescent="0.35">
      <c r="A233" s="534" t="s">
        <v>782</v>
      </c>
      <c r="B233" s="534" t="s">
        <v>783</v>
      </c>
      <c r="C233" s="535" t="s">
        <v>1156</v>
      </c>
      <c r="D233" s="536" t="s">
        <v>1123</v>
      </c>
      <c r="E233" s="536" t="s">
        <v>1124</v>
      </c>
      <c r="F233" s="536" t="s">
        <v>1125</v>
      </c>
      <c r="G233" s="536" t="s">
        <v>1123</v>
      </c>
      <c r="H233" s="536" t="s">
        <v>1124</v>
      </c>
      <c r="I233" s="535" t="s">
        <v>1409</v>
      </c>
      <c r="J233" s="536" t="s">
        <v>498</v>
      </c>
      <c r="K233" s="536" t="s">
        <v>670</v>
      </c>
      <c r="L233" s="535" t="s">
        <v>1139</v>
      </c>
      <c r="M233" s="536" t="s">
        <v>1140</v>
      </c>
      <c r="N233" s="536"/>
      <c r="O233" s="535"/>
      <c r="P233" s="536"/>
      <c r="Q233" s="536"/>
      <c r="R233" s="540"/>
      <c r="S233" s="537"/>
      <c r="T233" s="537"/>
      <c r="U233" s="537"/>
      <c r="V233" s="537"/>
      <c r="W233" s="537"/>
      <c r="X233" s="537"/>
      <c r="Y233" s="537"/>
      <c r="Z233" s="537"/>
      <c r="AA233" s="537"/>
      <c r="AB233" s="537"/>
      <c r="AC233" s="537"/>
      <c r="AD233" s="537">
        <f t="shared" si="36"/>
        <v>0</v>
      </c>
      <c r="AF233" s="541"/>
      <c r="AG233" s="541"/>
      <c r="AH233" s="541"/>
      <c r="AI233" s="541"/>
      <c r="AJ233" s="541"/>
      <c r="AK233" s="541"/>
      <c r="AL233" s="541"/>
      <c r="AM233" s="541"/>
      <c r="AN233" s="541"/>
      <c r="AO233" s="541"/>
      <c r="AP233" s="541"/>
      <c r="AQ233" s="541"/>
      <c r="AR233" s="1284">
        <f t="shared" si="39"/>
        <v>0</v>
      </c>
      <c r="AS233" s="719">
        <f t="shared" si="34"/>
        <v>0</v>
      </c>
      <c r="AT233" s="718">
        <f t="shared" si="35"/>
        <v>0</v>
      </c>
    </row>
    <row r="234" spans="1:46" s="533" customFormat="1" ht="16.399999999999999" customHeight="1" outlineLevel="1" x14ac:dyDescent="0.35">
      <c r="A234" s="534" t="s">
        <v>782</v>
      </c>
      <c r="B234" s="534" t="s">
        <v>783</v>
      </c>
      <c r="C234" s="535" t="s">
        <v>1156</v>
      </c>
      <c r="D234" s="536" t="s">
        <v>1123</v>
      </c>
      <c r="E234" s="536" t="s">
        <v>1124</v>
      </c>
      <c r="F234" s="536" t="s">
        <v>1125</v>
      </c>
      <c r="G234" s="536" t="s">
        <v>1123</v>
      </c>
      <c r="H234" s="536" t="s">
        <v>1124</v>
      </c>
      <c r="I234" s="535" t="s">
        <v>1410</v>
      </c>
      <c r="J234" s="536" t="s">
        <v>500</v>
      </c>
      <c r="K234" s="536" t="s">
        <v>673</v>
      </c>
      <c r="L234" s="535" t="s">
        <v>1145</v>
      </c>
      <c r="M234" s="536" t="s">
        <v>1146</v>
      </c>
      <c r="N234" s="536"/>
      <c r="O234" s="535"/>
      <c r="P234" s="536"/>
      <c r="Q234" s="536"/>
      <c r="R234" s="540"/>
      <c r="S234" s="537"/>
      <c r="T234" s="537"/>
      <c r="U234" s="537"/>
      <c r="V234" s="537"/>
      <c r="W234" s="537"/>
      <c r="X234" s="537"/>
      <c r="Y234" s="537"/>
      <c r="Z234" s="537"/>
      <c r="AA234" s="537"/>
      <c r="AB234" s="537"/>
      <c r="AC234" s="537"/>
      <c r="AD234" s="537">
        <f t="shared" si="36"/>
        <v>0</v>
      </c>
      <c r="AF234" s="541"/>
      <c r="AG234" s="541"/>
      <c r="AH234" s="541"/>
      <c r="AI234" s="541"/>
      <c r="AJ234" s="541"/>
      <c r="AK234" s="541"/>
      <c r="AL234" s="541"/>
      <c r="AM234" s="541"/>
      <c r="AN234" s="541"/>
      <c r="AO234" s="541"/>
      <c r="AP234" s="541"/>
      <c r="AQ234" s="541"/>
      <c r="AR234" s="1284">
        <f t="shared" si="39"/>
        <v>0</v>
      </c>
      <c r="AS234" s="719">
        <f t="shared" si="34"/>
        <v>0</v>
      </c>
      <c r="AT234" s="718">
        <f t="shared" si="35"/>
        <v>0</v>
      </c>
    </row>
    <row r="235" spans="1:46" s="533" customFormat="1" ht="16.399999999999999" customHeight="1" outlineLevel="1" x14ac:dyDescent="0.35">
      <c r="A235" s="534" t="s">
        <v>782</v>
      </c>
      <c r="B235" s="534" t="s">
        <v>783</v>
      </c>
      <c r="C235" s="535" t="s">
        <v>1156</v>
      </c>
      <c r="D235" s="536" t="s">
        <v>1123</v>
      </c>
      <c r="E235" s="536" t="s">
        <v>1124</v>
      </c>
      <c r="F235" s="536" t="s">
        <v>1125</v>
      </c>
      <c r="G235" s="536" t="s">
        <v>1123</v>
      </c>
      <c r="H235" s="536" t="s">
        <v>1124</v>
      </c>
      <c r="I235" s="535" t="s">
        <v>1411</v>
      </c>
      <c r="J235" s="536" t="s">
        <v>501</v>
      </c>
      <c r="K235" s="536" t="s">
        <v>674</v>
      </c>
      <c r="L235" s="535" t="s">
        <v>1148</v>
      </c>
      <c r="M235" s="536" t="s">
        <v>1149</v>
      </c>
      <c r="N235" s="536"/>
      <c r="O235" s="535"/>
      <c r="P235" s="536"/>
      <c r="Q235" s="536"/>
      <c r="R235" s="540"/>
      <c r="S235" s="537"/>
      <c r="T235" s="537"/>
      <c r="U235" s="537"/>
      <c r="V235" s="537"/>
      <c r="W235" s="537"/>
      <c r="X235" s="537"/>
      <c r="Y235" s="537"/>
      <c r="Z235" s="537"/>
      <c r="AA235" s="537"/>
      <c r="AB235" s="537"/>
      <c r="AC235" s="537"/>
      <c r="AD235" s="537">
        <f t="shared" si="36"/>
        <v>0</v>
      </c>
      <c r="AF235" s="541"/>
      <c r="AG235" s="541"/>
      <c r="AH235" s="541"/>
      <c r="AI235" s="541"/>
      <c r="AJ235" s="541"/>
      <c r="AK235" s="541"/>
      <c r="AL235" s="541"/>
      <c r="AM235" s="541"/>
      <c r="AN235" s="541"/>
      <c r="AO235" s="541"/>
      <c r="AP235" s="541"/>
      <c r="AQ235" s="541"/>
      <c r="AR235" s="1284">
        <f t="shared" si="39"/>
        <v>0</v>
      </c>
      <c r="AS235" s="719">
        <f t="shared" si="34"/>
        <v>0</v>
      </c>
      <c r="AT235" s="718">
        <f t="shared" si="35"/>
        <v>0</v>
      </c>
    </row>
    <row r="236" spans="1:46" s="533" customFormat="1" ht="16.399999999999999" customHeight="1" outlineLevel="1" x14ac:dyDescent="0.35">
      <c r="A236" s="534" t="s">
        <v>782</v>
      </c>
      <c r="B236" s="534" t="s">
        <v>783</v>
      </c>
      <c r="C236" s="535" t="s">
        <v>1156</v>
      </c>
      <c r="D236" s="536" t="s">
        <v>1123</v>
      </c>
      <c r="E236" s="536" t="s">
        <v>1124</v>
      </c>
      <c r="F236" s="536" t="s">
        <v>1125</v>
      </c>
      <c r="G236" s="536" t="s">
        <v>1123</v>
      </c>
      <c r="H236" s="536" t="s">
        <v>1124</v>
      </c>
      <c r="I236" s="535" t="s">
        <v>1412</v>
      </c>
      <c r="J236" s="536" t="s">
        <v>502</v>
      </c>
      <c r="K236" s="536" t="s">
        <v>1413</v>
      </c>
      <c r="L236" s="535" t="s">
        <v>1151</v>
      </c>
      <c r="M236" s="536" t="s">
        <v>1152</v>
      </c>
      <c r="N236" s="536"/>
      <c r="O236" s="535"/>
      <c r="P236" s="536"/>
      <c r="Q236" s="536"/>
      <c r="R236" s="540"/>
      <c r="S236" s="537"/>
      <c r="T236" s="537"/>
      <c r="U236" s="537"/>
      <c r="V236" s="537"/>
      <c r="W236" s="537"/>
      <c r="X236" s="537"/>
      <c r="Y236" s="537"/>
      <c r="Z236" s="537"/>
      <c r="AA236" s="537"/>
      <c r="AB236" s="537"/>
      <c r="AC236" s="537"/>
      <c r="AD236" s="537">
        <f t="shared" si="36"/>
        <v>0</v>
      </c>
      <c r="AF236" s="541"/>
      <c r="AG236" s="541"/>
      <c r="AH236" s="541"/>
      <c r="AI236" s="541"/>
      <c r="AJ236" s="541"/>
      <c r="AK236" s="541"/>
      <c r="AL236" s="541"/>
      <c r="AM236" s="541"/>
      <c r="AN236" s="541"/>
      <c r="AO236" s="541"/>
      <c r="AP236" s="541"/>
      <c r="AQ236" s="541"/>
      <c r="AR236" s="1284">
        <f t="shared" si="39"/>
        <v>0</v>
      </c>
      <c r="AS236" s="719">
        <f t="shared" si="34"/>
        <v>0</v>
      </c>
      <c r="AT236" s="718">
        <f t="shared" si="35"/>
        <v>0</v>
      </c>
    </row>
    <row r="237" spans="1:46" s="539" customFormat="1" ht="16.399999999999999" customHeight="1" outlineLevel="1" x14ac:dyDescent="0.35">
      <c r="A237" s="534" t="s">
        <v>782</v>
      </c>
      <c r="B237" s="534" t="s">
        <v>783</v>
      </c>
      <c r="C237" s="535" t="s">
        <v>1156</v>
      </c>
      <c r="D237" s="536" t="s">
        <v>1123</v>
      </c>
      <c r="E237" s="536" t="s">
        <v>1124</v>
      </c>
      <c r="F237" s="536" t="s">
        <v>1125</v>
      </c>
      <c r="G237" s="536" t="s">
        <v>1123</v>
      </c>
      <c r="H237" s="536" t="s">
        <v>1124</v>
      </c>
      <c r="I237" s="535" t="s">
        <v>1414</v>
      </c>
      <c r="J237" s="536" t="s">
        <v>505</v>
      </c>
      <c r="K237" s="536" t="s">
        <v>677</v>
      </c>
      <c r="L237" s="535" t="s">
        <v>1415</v>
      </c>
      <c r="M237" s="536" t="s">
        <v>1416</v>
      </c>
      <c r="N237" s="536"/>
      <c r="O237" s="535"/>
      <c r="P237" s="536"/>
      <c r="Q237" s="536"/>
      <c r="R237" s="540"/>
      <c r="S237" s="537"/>
      <c r="T237" s="537"/>
      <c r="U237" s="537"/>
      <c r="V237" s="537"/>
      <c r="W237" s="537"/>
      <c r="X237" s="537"/>
      <c r="Y237" s="537"/>
      <c r="Z237" s="537"/>
      <c r="AA237" s="537"/>
      <c r="AB237" s="537"/>
      <c r="AC237" s="537"/>
      <c r="AD237" s="537">
        <f t="shared" si="36"/>
        <v>0</v>
      </c>
      <c r="AE237" s="533"/>
      <c r="AF237" s="538"/>
      <c r="AG237" s="538"/>
      <c r="AH237" s="538"/>
      <c r="AI237" s="538"/>
      <c r="AJ237" s="538"/>
      <c r="AK237" s="538"/>
      <c r="AL237" s="538"/>
      <c r="AM237" s="538"/>
      <c r="AN237" s="538"/>
      <c r="AO237" s="538"/>
      <c r="AP237" s="538"/>
      <c r="AQ237" s="538"/>
      <c r="AR237" s="1284">
        <f t="shared" si="39"/>
        <v>0</v>
      </c>
      <c r="AS237" s="1284">
        <f t="shared" si="34"/>
        <v>0</v>
      </c>
      <c r="AT237" s="1297">
        <f t="shared" si="35"/>
        <v>0</v>
      </c>
    </row>
    <row r="238" spans="1:46" s="539" customFormat="1" ht="16.399999999999999" customHeight="1" outlineLevel="1" x14ac:dyDescent="0.35">
      <c r="A238" s="534" t="s">
        <v>782</v>
      </c>
      <c r="B238" s="534" t="s">
        <v>783</v>
      </c>
      <c r="C238" s="535" t="s">
        <v>1156</v>
      </c>
      <c r="D238" s="536" t="s">
        <v>1123</v>
      </c>
      <c r="E238" s="536" t="s">
        <v>1124</v>
      </c>
      <c r="F238" s="536" t="s">
        <v>1125</v>
      </c>
      <c r="G238" s="536" t="s">
        <v>1123</v>
      </c>
      <c r="H238" s="536" t="s">
        <v>1124</v>
      </c>
      <c r="I238" s="535" t="s">
        <v>1417</v>
      </c>
      <c r="J238" s="536" t="s">
        <v>507</v>
      </c>
      <c r="K238" s="536" t="s">
        <v>676</v>
      </c>
      <c r="L238" s="535" t="s">
        <v>1154</v>
      </c>
      <c r="M238" s="536" t="s">
        <v>1155</v>
      </c>
      <c r="N238" s="536"/>
      <c r="O238" s="535"/>
      <c r="P238" s="536"/>
      <c r="Q238" s="536"/>
      <c r="R238" s="540"/>
      <c r="S238" s="537"/>
      <c r="T238" s="537"/>
      <c r="U238" s="537"/>
      <c r="V238" s="537"/>
      <c r="W238" s="537"/>
      <c r="X238" s="537"/>
      <c r="Y238" s="537"/>
      <c r="Z238" s="537"/>
      <c r="AA238" s="537"/>
      <c r="AB238" s="537"/>
      <c r="AC238" s="537"/>
      <c r="AD238" s="537">
        <f t="shared" si="36"/>
        <v>0</v>
      </c>
      <c r="AE238" s="533"/>
      <c r="AF238" s="538"/>
      <c r="AG238" s="538"/>
      <c r="AH238" s="538"/>
      <c r="AI238" s="538"/>
      <c r="AJ238" s="538"/>
      <c r="AK238" s="538"/>
      <c r="AL238" s="538"/>
      <c r="AM238" s="538"/>
      <c r="AN238" s="538"/>
      <c r="AO238" s="538"/>
      <c r="AP238" s="538"/>
      <c r="AQ238" s="538"/>
      <c r="AR238" s="1284">
        <f t="shared" si="39"/>
        <v>0</v>
      </c>
      <c r="AS238" s="1284">
        <f t="shared" si="34"/>
        <v>0</v>
      </c>
      <c r="AT238" s="1297">
        <f t="shared" si="35"/>
        <v>0</v>
      </c>
    </row>
    <row r="239" spans="1:46" s="539" customFormat="1" ht="16.399999999999999" customHeight="1" x14ac:dyDescent="0.35">
      <c r="A239" s="528" t="s">
        <v>782</v>
      </c>
      <c r="B239" s="528" t="s">
        <v>783</v>
      </c>
      <c r="C239" s="529" t="s">
        <v>1418</v>
      </c>
      <c r="D239" s="529"/>
      <c r="E239" s="529"/>
      <c r="F239" s="529"/>
      <c r="G239" s="529"/>
      <c r="H239" s="530" t="s">
        <v>1419</v>
      </c>
      <c r="I239" s="530" t="s">
        <v>1420</v>
      </c>
      <c r="J239" s="542"/>
      <c r="K239" s="529"/>
      <c r="L239" s="529"/>
      <c r="M239" s="529"/>
      <c r="N239" s="542"/>
      <c r="O239" s="530" t="s">
        <v>1420</v>
      </c>
      <c r="P239" s="542"/>
      <c r="Q239" s="542"/>
      <c r="R239" s="532">
        <f ca="1">SUM(R240:R252)</f>
        <v>324611759</v>
      </c>
      <c r="S239" s="532">
        <f t="shared" ref="S239:AC239" ca="1" si="40">SUM(S240:S252)</f>
        <v>362673399</v>
      </c>
      <c r="T239" s="532">
        <f t="shared" ca="1" si="40"/>
        <v>317799016</v>
      </c>
      <c r="U239" s="532">
        <f t="shared" ca="1" si="40"/>
        <v>326665871</v>
      </c>
      <c r="V239" s="532">
        <f t="shared" ca="1" si="40"/>
        <v>322059151</v>
      </c>
      <c r="W239" s="532">
        <f t="shared" ca="1" si="40"/>
        <v>326665871</v>
      </c>
      <c r="X239" s="532">
        <f t="shared" ca="1" si="40"/>
        <v>323710253</v>
      </c>
      <c r="Y239" s="532">
        <f t="shared" ca="1" si="40"/>
        <v>323710253</v>
      </c>
      <c r="Z239" s="532">
        <f t="shared" ca="1" si="40"/>
        <v>327068883</v>
      </c>
      <c r="AA239" s="532">
        <f t="shared" ca="1" si="40"/>
        <v>320754635</v>
      </c>
      <c r="AB239" s="532">
        <f t="shared" ca="1" si="40"/>
        <v>326665871</v>
      </c>
      <c r="AC239" s="532">
        <f t="shared" ca="1" si="40"/>
        <v>323710253</v>
      </c>
      <c r="AD239" s="532">
        <f ca="1">SUM(AD240:AD252)</f>
        <v>3926095215</v>
      </c>
      <c r="AE239" s="533"/>
      <c r="AF239" s="532">
        <f t="shared" ref="AF239:AR239" ca="1" si="41">SUM(AF240:AF252)</f>
        <v>243721723</v>
      </c>
      <c r="AG239" s="532">
        <f t="shared" ca="1" si="41"/>
        <v>250067020</v>
      </c>
      <c r="AH239" s="532">
        <f t="shared" ca="1" si="41"/>
        <v>225008057</v>
      </c>
      <c r="AI239" s="532">
        <f t="shared" ca="1" si="41"/>
        <v>265555050</v>
      </c>
      <c r="AJ239" s="532">
        <f t="shared" ca="1" si="41"/>
        <v>242148620</v>
      </c>
      <c r="AK239" s="532">
        <f t="shared" ca="1" si="41"/>
        <v>222211098</v>
      </c>
      <c r="AL239" s="532">
        <f t="shared" ca="1" si="41"/>
        <v>222206521</v>
      </c>
      <c r="AM239" s="532">
        <f t="shared" ca="1" si="41"/>
        <v>235042360</v>
      </c>
      <c r="AN239" s="532">
        <f t="shared" ca="1" si="41"/>
        <v>222647852</v>
      </c>
      <c r="AO239" s="532">
        <f t="shared" ca="1" si="41"/>
        <v>256828696.26295623</v>
      </c>
      <c r="AP239" s="532">
        <f t="shared" ca="1" si="41"/>
        <v>256828696.26295623</v>
      </c>
      <c r="AQ239" s="532">
        <f t="shared" ca="1" si="41"/>
        <v>256828696.26295623</v>
      </c>
      <c r="AR239" s="1283">
        <f t="shared" ca="1" si="41"/>
        <v>2899094389.7888689</v>
      </c>
      <c r="AS239" s="1283">
        <f t="shared" ca="1" si="34"/>
        <v>1027000825.2111311</v>
      </c>
      <c r="AT239" s="1298">
        <f t="shared" ca="1" si="35"/>
        <v>0.35424884019934377</v>
      </c>
    </row>
    <row r="240" spans="1:46" s="539" customFormat="1" ht="16.399999999999999" customHeight="1" outlineLevel="1" x14ac:dyDescent="0.35">
      <c r="A240" s="534" t="s">
        <v>782</v>
      </c>
      <c r="B240" s="534" t="s">
        <v>783</v>
      </c>
      <c r="C240" s="535" t="s">
        <v>1418</v>
      </c>
      <c r="D240" s="536" t="s">
        <v>195</v>
      </c>
      <c r="E240" s="536" t="s">
        <v>835</v>
      </c>
      <c r="F240" s="536" t="s">
        <v>836</v>
      </c>
      <c r="G240" s="536" t="s">
        <v>611</v>
      </c>
      <c r="H240" s="536" t="s">
        <v>1160</v>
      </c>
      <c r="I240" s="535" t="s">
        <v>1421</v>
      </c>
      <c r="J240" s="536" t="s">
        <v>461</v>
      </c>
      <c r="K240" s="536" t="s">
        <v>569</v>
      </c>
      <c r="L240" s="535" t="s">
        <v>838</v>
      </c>
      <c r="M240" s="536" t="s">
        <v>839</v>
      </c>
      <c r="N240" s="536"/>
      <c r="O240" s="535"/>
      <c r="P240" s="536"/>
      <c r="Q240" s="536"/>
      <c r="R240" s="537">
        <f ca="1">SUMIF(CPQL!$D$5:$W$68,'FORM OH'!$I$240,CPQL!K5:K68)</f>
        <v>231983584</v>
      </c>
      <c r="S240" s="537">
        <f ca="1">SUMIF(CPQL!$D$5:$W$68,'FORM OH'!$I$240,CPQL!L5:L68)</f>
        <v>233617224</v>
      </c>
      <c r="T240" s="537">
        <f ca="1">SUMIF(CPQL!$D$5:$W$68,'FORM OH'!$I$240,CPQL!M5:M68)</f>
        <v>226794841</v>
      </c>
      <c r="U240" s="537">
        <f ca="1">SUMIF(CPQL!$D$5:$W$68,'FORM OH'!$I$240,CPQL!N5:N68)</f>
        <v>234989696</v>
      </c>
      <c r="V240" s="537">
        <f ca="1">SUMIF(CPQL!$D$5:$W$68,'FORM OH'!$I$240,CPQL!O5:O68)</f>
        <v>228702976</v>
      </c>
      <c r="W240" s="537">
        <f ca="1">SUMIF(CPQL!$D$5:$W$68,'FORM OH'!$I$240,CPQL!P5:P68)</f>
        <v>234989696</v>
      </c>
      <c r="X240" s="537">
        <f ca="1">SUMIF(CPQL!$D$5:$W$68,'FORM OH'!$I$240,CPQL!Q5:Q68)</f>
        <v>232258078</v>
      </c>
      <c r="Y240" s="537">
        <f ca="1">SUMIF(CPQL!$D$5:$W$68,'FORM OH'!$I$240,CPQL!R5:R68)</f>
        <v>232258078</v>
      </c>
      <c r="Z240" s="537">
        <f ca="1">SUMIF(CPQL!$D$5:$W$68,'FORM OH'!$I$240,CPQL!S5:S68)</f>
        <v>234440708</v>
      </c>
      <c r="AA240" s="537">
        <f ca="1">SUMIF(CPQL!$D$5:$W$68,'FORM OH'!$I$240,CPQL!T5:T68)</f>
        <v>229526460</v>
      </c>
      <c r="AB240" s="537">
        <f ca="1">SUMIF(CPQL!$D$5:$W$68,'FORM OH'!$I$240,CPQL!U5:U68)</f>
        <v>234989696</v>
      </c>
      <c r="AC240" s="537">
        <f ca="1">SUMIF(CPQL!$D$5:$W$68,'FORM OH'!$I$240,CPQL!V5:V68)</f>
        <v>232258078</v>
      </c>
      <c r="AD240" s="537">
        <f t="shared" ref="AD240:AD272" ca="1" si="42">SUM(R240:AC240)</f>
        <v>2786809115</v>
      </c>
      <c r="AE240" s="533"/>
      <c r="AF240" s="537">
        <f ca="1">SUMIF(CPQL!$D$5:$W$68,'FORM OH'!$I$240,CPQL!Y5:Y68)</f>
        <v>190705181</v>
      </c>
      <c r="AG240" s="537">
        <f ca="1">SUMIF(CPQL!$D$5:$W$68,'FORM OH'!$I$240,CPQL!Z5:Z68)</f>
        <v>193716888</v>
      </c>
      <c r="AH240" s="537">
        <f ca="1">SUMIF(CPQL!$D$5:$W$68,'FORM OH'!$I$240,CPQL!AA5:AA68)</f>
        <v>171808909</v>
      </c>
      <c r="AI240" s="537">
        <f ca="1">SUMIF(CPQL!$D$5:$W$68,'FORM OH'!$I$240,CPQL!AB5:AB68)</f>
        <v>209656919</v>
      </c>
      <c r="AJ240" s="537">
        <f ca="1">SUMIF(CPQL!$D$5:$W$68,'FORM OH'!$I$240,CPQL!AC5:AC68)</f>
        <v>190102972</v>
      </c>
      <c r="AK240" s="537">
        <f ca="1">SUMIF(CPQL!$D$5:$W$68,'FORM OH'!$I$240,CPQL!AD5:AD68)</f>
        <v>165743660</v>
      </c>
      <c r="AL240" s="537">
        <f ca="1">SUMIF(CPQL!$D$5:$W$68,'FORM OH'!$I$240,CPQL!AE5:AE68)</f>
        <v>163581380</v>
      </c>
      <c r="AM240" s="537">
        <f ca="1">SUMIF(CPQL!$D$5:$W$68,'FORM OH'!$I$240,CPQL!AF5:AF68)</f>
        <v>177224222</v>
      </c>
      <c r="AN240" s="537">
        <f ca="1">SUMIF(CPQL!$D$5:$W$68,'FORM OH'!$I$240,CPQL!AG5:AG68)</f>
        <v>169296094</v>
      </c>
      <c r="AO240" s="537">
        <f ca="1">SUMIF(CPQL!$D$5:$W$68,'FORM OH'!$I$240,CPQL!AH5:AH68)</f>
        <v>190479156</v>
      </c>
      <c r="AP240" s="537">
        <f ca="1">SUMIF(CPQL!$D$5:$W$68,'FORM OH'!$I$240,CPQL!AI5:AI68)</f>
        <v>190479156</v>
      </c>
      <c r="AQ240" s="537">
        <f ca="1">SUMIF(CPQL!$D$5:$W$68,'FORM OH'!$I$240,CPQL!AJ5:AJ68)</f>
        <v>190479156</v>
      </c>
      <c r="AR240" s="1284">
        <f t="shared" ca="1" si="39"/>
        <v>2203273693</v>
      </c>
      <c r="AS240" s="1284">
        <f t="shared" ca="1" si="34"/>
        <v>583535422</v>
      </c>
      <c r="AT240" s="1297">
        <f t="shared" ca="1" si="35"/>
        <v>0.26484926673156622</v>
      </c>
    </row>
    <row r="241" spans="1:46" s="539" customFormat="1" ht="16.399999999999999" customHeight="1" outlineLevel="1" x14ac:dyDescent="0.35">
      <c r="A241" s="534" t="s">
        <v>782</v>
      </c>
      <c r="B241" s="534" t="s">
        <v>783</v>
      </c>
      <c r="C241" s="535" t="s">
        <v>1418</v>
      </c>
      <c r="D241" s="536" t="s">
        <v>195</v>
      </c>
      <c r="E241" s="536" t="s">
        <v>835</v>
      </c>
      <c r="F241" s="536" t="s">
        <v>836</v>
      </c>
      <c r="G241" s="536" t="s">
        <v>611</v>
      </c>
      <c r="H241" s="536" t="s">
        <v>1160</v>
      </c>
      <c r="I241" s="535" t="s">
        <v>1422</v>
      </c>
      <c r="J241" s="536" t="s">
        <v>462</v>
      </c>
      <c r="K241" s="536" t="s">
        <v>574</v>
      </c>
      <c r="L241" s="535" t="s">
        <v>840</v>
      </c>
      <c r="M241" s="536" t="s">
        <v>841</v>
      </c>
      <c r="N241" s="536"/>
      <c r="O241" s="535"/>
      <c r="P241" s="536"/>
      <c r="Q241" s="536"/>
      <c r="R241" s="537">
        <f ca="1">SUMIF(CPQL!$D$5:$W$68,'FORM OH'!$I$241,CPQL!K5:K68)</f>
        <v>17624181</v>
      </c>
      <c r="S241" s="537">
        <f ca="1">SUMIF(CPQL!$D$5:$W$68,'FORM OH'!$I$241,CPQL!L5:L68)</f>
        <v>17624181</v>
      </c>
      <c r="T241" s="537">
        <f ca="1">SUMIF(CPQL!$D$5:$W$68,'FORM OH'!$I$241,CPQL!M5:M68)</f>
        <v>17624181</v>
      </c>
      <c r="U241" s="537">
        <f ca="1">SUMIF(CPQL!$D$5:$W$68,'FORM OH'!$I$241,CPQL!N5:N68)</f>
        <v>17624181</v>
      </c>
      <c r="V241" s="537">
        <f ca="1">SUMIF(CPQL!$D$5:$W$68,'FORM OH'!$I$241,CPQL!O5:O68)</f>
        <v>17624181</v>
      </c>
      <c r="W241" s="537">
        <f ca="1">SUMIF(CPQL!$D$5:$W$68,'FORM OH'!$I$241,CPQL!P5:P68)</f>
        <v>17624181</v>
      </c>
      <c r="X241" s="537">
        <f ca="1">SUMIF(CPQL!$D$5:$W$68,'FORM OH'!$I$241,CPQL!Q5:Q68)</f>
        <v>17624181</v>
      </c>
      <c r="Y241" s="537">
        <f ca="1">SUMIF(CPQL!$D$5:$W$68,'FORM OH'!$I$241,CPQL!R5:R68)</f>
        <v>17624181</v>
      </c>
      <c r="Z241" s="537">
        <f ca="1">SUMIF(CPQL!$D$5:$W$68,'FORM OH'!$I$241,CPQL!S5:S68)</f>
        <v>17624181</v>
      </c>
      <c r="AA241" s="537">
        <f ca="1">SUMIF(CPQL!$D$5:$W$68,'FORM OH'!$I$241,CPQL!T5:T68)</f>
        <v>17624181</v>
      </c>
      <c r="AB241" s="537">
        <f ca="1">SUMIF(CPQL!$D$5:$W$68,'FORM OH'!$I$241,CPQL!U5:U68)</f>
        <v>17624181</v>
      </c>
      <c r="AC241" s="537">
        <f ca="1">SUMIF(CPQL!$D$5:$W$68,'FORM OH'!$I$241,CPQL!V5:V68)</f>
        <v>17624181</v>
      </c>
      <c r="AD241" s="537">
        <f t="shared" ca="1" si="42"/>
        <v>211490172</v>
      </c>
      <c r="AE241" s="533"/>
      <c r="AF241" s="537">
        <f ca="1">SUMIF(CPQL!$D$5:$W$68,'FORM OH'!$I$241,CPQL!Y5:Y68)</f>
        <v>14840167</v>
      </c>
      <c r="AG241" s="537">
        <f ca="1">SUMIF(CPQL!$D$5:$W$68,'FORM OH'!$I$241,CPQL!Z5:Z68)</f>
        <v>14840167</v>
      </c>
      <c r="AH241" s="537">
        <f ca="1">SUMIF(CPQL!$D$5:$W$68,'FORM OH'!$I$241,CPQL!AA5:AA68)</f>
        <v>12756833</v>
      </c>
      <c r="AI241" s="537">
        <f ca="1">SUMIF(CPQL!$D$5:$W$68,'FORM OH'!$I$241,CPQL!AB5:AB68)</f>
        <v>14923500</v>
      </c>
      <c r="AJ241" s="537">
        <f ca="1">SUMIF(CPQL!$D$5:$W$68,'FORM OH'!$I$241,CPQL!AC5:AC68)</f>
        <v>12756833</v>
      </c>
      <c r="AK241" s="537">
        <f ca="1">SUMIF(CPQL!$D$5:$W$68,'FORM OH'!$I$241,CPQL!AD5:AD68)</f>
        <v>14608685</v>
      </c>
      <c r="AL241" s="537">
        <f ca="1">SUMIF(CPQL!$D$5:$W$68,'FORM OH'!$I$241,CPQL!AE5:AE68)</f>
        <v>15525352</v>
      </c>
      <c r="AM241" s="537">
        <f ca="1">SUMIF(CPQL!$D$5:$W$68,'FORM OH'!$I$241,CPQL!AF5:AF68)</f>
        <v>15525352</v>
      </c>
      <c r="AN241" s="537">
        <f ca="1">SUMIF(CPQL!$D$5:$W$68,'FORM OH'!$I$241,CPQL!AG5:AG68)</f>
        <v>13460352</v>
      </c>
      <c r="AO241" s="537">
        <f ca="1">SUMIF(CPQL!$D$5:$W$68,'FORM OH'!$I$241,CPQL!AH5:AH68)</f>
        <v>15106184.944444457</v>
      </c>
      <c r="AP241" s="537">
        <f ca="1">SUMIF(CPQL!$D$5:$W$68,'FORM OH'!$I$241,CPQL!AI5:AI68)</f>
        <v>15106184.944444457</v>
      </c>
      <c r="AQ241" s="537">
        <f ca="1">SUMIF(CPQL!$D$5:$W$68,'FORM OH'!$I$241,CPQL!AJ5:AJ68)</f>
        <v>15106184.944444457</v>
      </c>
      <c r="AR241" s="1284">
        <f t="shared" ca="1" si="39"/>
        <v>174555795.83333334</v>
      </c>
      <c r="AS241" s="1284">
        <f t="shared" ca="1" si="34"/>
        <v>36934376.166666657</v>
      </c>
      <c r="AT241" s="1297">
        <f t="shared" ca="1" si="35"/>
        <v>0.21159066068440238</v>
      </c>
    </row>
    <row r="242" spans="1:46" s="539" customFormat="1" ht="16.399999999999999" customHeight="1" outlineLevel="1" x14ac:dyDescent="0.35">
      <c r="A242" s="534" t="s">
        <v>782</v>
      </c>
      <c r="B242" s="534" t="s">
        <v>783</v>
      </c>
      <c r="C242" s="535" t="s">
        <v>1418</v>
      </c>
      <c r="D242" s="536" t="s">
        <v>195</v>
      </c>
      <c r="E242" s="536" t="s">
        <v>835</v>
      </c>
      <c r="F242" s="536" t="s">
        <v>842</v>
      </c>
      <c r="G242" s="536" t="s">
        <v>611</v>
      </c>
      <c r="H242" s="536" t="s">
        <v>1160</v>
      </c>
      <c r="I242" s="535" t="s">
        <v>1423</v>
      </c>
      <c r="J242" s="536" t="s">
        <v>463</v>
      </c>
      <c r="K242" s="536" t="s">
        <v>570</v>
      </c>
      <c r="L242" s="535" t="s">
        <v>794</v>
      </c>
      <c r="M242" s="536" t="s">
        <v>795</v>
      </c>
      <c r="N242" s="536"/>
      <c r="O242" s="535"/>
      <c r="P242" s="536"/>
      <c r="Q242" s="536"/>
      <c r="R242" s="537">
        <f ca="1">SUMIF(CPQL!$D$5:$W$68,'FORM OH'!$I$242,CPQL!K5:K68)</f>
        <v>43405987</v>
      </c>
      <c r="S242" s="537">
        <f ca="1">SUMIF(CPQL!$D$5:$W$68,'FORM OH'!$I$242,CPQL!L5:L68)</f>
        <v>43405987</v>
      </c>
      <c r="T242" s="537">
        <f ca="1">SUMIF(CPQL!$D$5:$W$68,'FORM OH'!$I$242,CPQL!M5:M68)</f>
        <v>43405987</v>
      </c>
      <c r="U242" s="537">
        <f ca="1">SUMIF(CPQL!$D$5:$W$68,'FORM OH'!$I$242,CPQL!N5:N68)</f>
        <v>43405987</v>
      </c>
      <c r="V242" s="537">
        <f ca="1">SUMIF(CPQL!$D$5:$W$68,'FORM OH'!$I$242,CPQL!O5:O68)</f>
        <v>43405987</v>
      </c>
      <c r="W242" s="537">
        <f ca="1">SUMIF(CPQL!$D$5:$W$68,'FORM OH'!$I$242,CPQL!P5:P68)</f>
        <v>43405987</v>
      </c>
      <c r="X242" s="537">
        <f ca="1">SUMIF(CPQL!$D$5:$W$68,'FORM OH'!$I$242,CPQL!Q5:Q68)</f>
        <v>43405987</v>
      </c>
      <c r="Y242" s="537">
        <f ca="1">SUMIF(CPQL!$D$5:$W$68,'FORM OH'!$I$242,CPQL!R5:R68)</f>
        <v>43405987</v>
      </c>
      <c r="Z242" s="537">
        <f ca="1">SUMIF(CPQL!$D$5:$W$68,'FORM OH'!$I$242,CPQL!S5:S68)</f>
        <v>43405987</v>
      </c>
      <c r="AA242" s="537">
        <f ca="1">SUMIF(CPQL!$D$5:$W$68,'FORM OH'!$I$242,CPQL!T5:T68)</f>
        <v>43405987</v>
      </c>
      <c r="AB242" s="537">
        <f ca="1">SUMIF(CPQL!$D$5:$W$68,'FORM OH'!$I$242,CPQL!U5:U68)</f>
        <v>43405987</v>
      </c>
      <c r="AC242" s="537">
        <f ca="1">SUMIF(CPQL!$D$5:$W$68,'FORM OH'!$I$242,CPQL!V5:V68)</f>
        <v>43405987</v>
      </c>
      <c r="AD242" s="537">
        <f t="shared" ca="1" si="42"/>
        <v>520871844</v>
      </c>
      <c r="AE242" s="533"/>
      <c r="AF242" s="537">
        <f ca="1">SUMIF(CPQL!$D$5:$W$68,'FORM OH'!$I$242,CPQL!Y5:Y68)</f>
        <v>21723540</v>
      </c>
      <c r="AG242" s="537">
        <f ca="1">SUMIF(CPQL!$D$5:$W$68,'FORM OH'!$I$242,CPQL!Z5:Z68)</f>
        <v>25957130</v>
      </c>
      <c r="AH242" s="537">
        <f ca="1">SUMIF(CPQL!$D$5:$W$68,'FORM OH'!$I$242,CPQL!AA5:AA68)</f>
        <v>25831130</v>
      </c>
      <c r="AI242" s="537">
        <f ca="1">SUMIF(CPQL!$D$5:$W$68,'FORM OH'!$I$242,CPQL!AB5:AB68)</f>
        <v>24270130</v>
      </c>
      <c r="AJ242" s="537">
        <f ca="1">SUMIF(CPQL!$D$5:$W$68,'FORM OH'!$I$242,CPQL!AC5:AC68)</f>
        <v>24770130</v>
      </c>
      <c r="AK242" s="537">
        <f ca="1">SUMIF(CPQL!$D$5:$W$68,'FORM OH'!$I$242,CPQL!AD5:AD68)</f>
        <v>24770130</v>
      </c>
      <c r="AL242" s="537">
        <f ca="1">SUMIF(CPQL!$D$5:$W$68,'FORM OH'!$I$242,CPQL!AE5:AE68)</f>
        <v>23377430</v>
      </c>
      <c r="AM242" s="537">
        <f ca="1">SUMIF(CPQL!$D$5:$W$68,'FORM OH'!$I$242,CPQL!AF5:AF68)</f>
        <v>23377430</v>
      </c>
      <c r="AN242" s="537">
        <f ca="1">SUMIF(CPQL!$D$5:$W$68,'FORM OH'!$I$242,CPQL!AG5:AG68)</f>
        <v>23377430</v>
      </c>
      <c r="AO242" s="537">
        <f ca="1">SUMIF(CPQL!$D$5:$W$68,'FORM OH'!$I$242,CPQL!AH5:AH68)</f>
        <v>29242510.476190448</v>
      </c>
      <c r="AP242" s="537">
        <f ca="1">SUMIF(CPQL!$D$5:$W$68,'FORM OH'!$I$242,CPQL!AI5:AI68)</f>
        <v>29242510.476190448</v>
      </c>
      <c r="AQ242" s="537">
        <f ca="1">SUMIF(CPQL!$D$5:$W$68,'FORM OH'!$I$242,CPQL!AJ5:AJ68)</f>
        <v>29242510.476190448</v>
      </c>
      <c r="AR242" s="1284">
        <f t="shared" ca="1" si="39"/>
        <v>305182011.42857134</v>
      </c>
      <c r="AS242" s="1284">
        <f t="shared" ca="1" si="34"/>
        <v>215689832.57142866</v>
      </c>
      <c r="AT242" s="1297">
        <f t="shared" ca="1" si="35"/>
        <v>0.70675801487045198</v>
      </c>
    </row>
    <row r="243" spans="1:46" s="539" customFormat="1" ht="16.399999999999999" customHeight="1" outlineLevel="1" x14ac:dyDescent="0.35">
      <c r="A243" s="534" t="s">
        <v>782</v>
      </c>
      <c r="B243" s="534" t="s">
        <v>783</v>
      </c>
      <c r="C243" s="535" t="s">
        <v>1418</v>
      </c>
      <c r="D243" s="536" t="s">
        <v>195</v>
      </c>
      <c r="E243" s="536" t="s">
        <v>835</v>
      </c>
      <c r="F243" s="536" t="s">
        <v>843</v>
      </c>
      <c r="G243" s="536" t="s">
        <v>611</v>
      </c>
      <c r="H243" s="536" t="s">
        <v>844</v>
      </c>
      <c r="I243" s="535" t="s">
        <v>1424</v>
      </c>
      <c r="J243" s="536" t="s">
        <v>846</v>
      </c>
      <c r="K243" s="536" t="s">
        <v>574</v>
      </c>
      <c r="L243" s="535" t="s">
        <v>845</v>
      </c>
      <c r="M243" s="536" t="s">
        <v>846</v>
      </c>
      <c r="N243" s="536"/>
      <c r="O243" s="535"/>
      <c r="P243" s="536"/>
      <c r="Q243" s="536"/>
      <c r="R243" s="537">
        <f ca="1">SUMIF(CPQL!$D$5:$W$68,'FORM OH'!$I$243,CPQL!K5:K68)</f>
        <v>0</v>
      </c>
      <c r="S243" s="537">
        <f ca="1">SUMIF(CPQL!$D$5:$W$68,'FORM OH'!$I$243,CPQL!L5:L68)</f>
        <v>0</v>
      </c>
      <c r="T243" s="537">
        <f ca="1">SUMIF(CPQL!$D$5:$W$68,'FORM OH'!$I$243,CPQL!M5:M68)</f>
        <v>0</v>
      </c>
      <c r="U243" s="537">
        <f ca="1">SUMIF(CPQL!$D$5:$W$68,'FORM OH'!$I$243,CPQL!N5:N68)</f>
        <v>0</v>
      </c>
      <c r="V243" s="537">
        <f ca="1">SUMIF(CPQL!$D$5:$W$68,'FORM OH'!$I$243,CPQL!O5:O68)</f>
        <v>0</v>
      </c>
      <c r="W243" s="537">
        <f ca="1">SUMIF(CPQL!$D$5:$W$68,'FORM OH'!$I$243,CPQL!P5:P68)</f>
        <v>0</v>
      </c>
      <c r="X243" s="537">
        <f ca="1">SUMIF(CPQL!$D$5:$W$68,'FORM OH'!$I$243,CPQL!Q5:Q68)</f>
        <v>0</v>
      </c>
      <c r="Y243" s="537">
        <f ca="1">SUMIF(CPQL!$D$5:$W$68,'FORM OH'!$I$243,CPQL!R5:R68)</f>
        <v>0</v>
      </c>
      <c r="Z243" s="537">
        <f ca="1">SUMIF(CPQL!$D$5:$W$68,'FORM OH'!$I$243,CPQL!S5:S68)</f>
        <v>0</v>
      </c>
      <c r="AA243" s="537">
        <f ca="1">SUMIF(CPQL!$D$5:$W$68,'FORM OH'!$I$243,CPQL!T5:T68)</f>
        <v>0</v>
      </c>
      <c r="AB243" s="537">
        <f ca="1">SUMIF(CPQL!$D$5:$W$68,'FORM OH'!$I$243,CPQL!U5:U68)</f>
        <v>0</v>
      </c>
      <c r="AC243" s="537">
        <f ca="1">SUMIF(CPQL!$D$5:$W$68,'FORM OH'!$I$243,CPQL!V5:V68)</f>
        <v>0</v>
      </c>
      <c r="AD243" s="537">
        <f t="shared" ca="1" si="42"/>
        <v>0</v>
      </c>
      <c r="AE243" s="533"/>
      <c r="AF243" s="537">
        <f ca="1">SUMIF(CPQL!$D$5:$W$68,'FORM OH'!$I$243,CPQL!Y5:Y68)</f>
        <v>0</v>
      </c>
      <c r="AG243" s="537">
        <f ca="1">SUMIF(CPQL!$D$5:$W$68,'FORM OH'!$I$243,CPQL!Z5:Z68)</f>
        <v>0</v>
      </c>
      <c r="AH243" s="537">
        <f ca="1">SUMIF(CPQL!$D$5:$W$68,'FORM OH'!$I$243,CPQL!AA5:AA68)</f>
        <v>0</v>
      </c>
      <c r="AI243" s="537">
        <f ca="1">SUMIF(CPQL!$D$5:$W$68,'FORM OH'!$I$243,CPQL!AB5:AB68)</f>
        <v>0</v>
      </c>
      <c r="AJ243" s="537">
        <f ca="1">SUMIF(CPQL!$D$5:$W$68,'FORM OH'!$I$243,CPQL!AC5:AC68)</f>
        <v>0</v>
      </c>
      <c r="AK243" s="537">
        <f ca="1">SUMIF(CPQL!$D$5:$W$68,'FORM OH'!$I$243,CPQL!AD5:AD68)</f>
        <v>0</v>
      </c>
      <c r="AL243" s="537">
        <f ca="1">SUMIF(CPQL!$D$5:$W$68,'FORM OH'!$I$243,CPQL!AE5:AE68)</f>
        <v>0</v>
      </c>
      <c r="AM243" s="537">
        <f ca="1">SUMIF(CPQL!$D$5:$W$68,'FORM OH'!$I$243,CPQL!AF5:AF68)</f>
        <v>0</v>
      </c>
      <c r="AN243" s="537">
        <f ca="1">SUMIF(CPQL!$D$5:$W$68,'FORM OH'!$I$243,CPQL!AG5:AG68)</f>
        <v>0</v>
      </c>
      <c r="AO243" s="537">
        <f ca="1">SUMIF(CPQL!$D$5:$W$68,'FORM OH'!$I$243,CPQL!AH5:AH68)</f>
        <v>0</v>
      </c>
      <c r="AP243" s="537">
        <f ca="1">SUMIF(CPQL!$D$5:$W$68,'FORM OH'!$I$243,CPQL!AI5:AI68)</f>
        <v>0</v>
      </c>
      <c r="AQ243" s="537">
        <f ca="1">SUMIF(CPQL!$D$5:$W$68,'FORM OH'!$I$243,CPQL!AJ5:AJ68)</f>
        <v>0</v>
      </c>
      <c r="AR243" s="1284">
        <f t="shared" ca="1" si="39"/>
        <v>0</v>
      </c>
      <c r="AS243" s="1284">
        <f t="shared" ca="1" si="34"/>
        <v>0</v>
      </c>
      <c r="AT243" s="1297">
        <f t="shared" ca="1" si="35"/>
        <v>0</v>
      </c>
    </row>
    <row r="244" spans="1:46" s="539" customFormat="1" ht="16.399999999999999" customHeight="1" outlineLevel="1" x14ac:dyDescent="0.35">
      <c r="A244" s="534" t="s">
        <v>782</v>
      </c>
      <c r="B244" s="534" t="s">
        <v>783</v>
      </c>
      <c r="C244" s="535" t="s">
        <v>1418</v>
      </c>
      <c r="D244" s="536" t="s">
        <v>195</v>
      </c>
      <c r="E244" s="536" t="s">
        <v>835</v>
      </c>
      <c r="F244" s="536" t="s">
        <v>847</v>
      </c>
      <c r="G244" s="536" t="s">
        <v>611</v>
      </c>
      <c r="H244" s="536" t="s">
        <v>848</v>
      </c>
      <c r="I244" s="535" t="s">
        <v>1425</v>
      </c>
      <c r="J244" s="536" t="s">
        <v>465</v>
      </c>
      <c r="K244" s="536" t="s">
        <v>570</v>
      </c>
      <c r="L244" s="535" t="s">
        <v>802</v>
      </c>
      <c r="M244" s="536" t="s">
        <v>803</v>
      </c>
      <c r="N244" s="536"/>
      <c r="O244" s="535"/>
      <c r="P244" s="536"/>
      <c r="Q244" s="536"/>
      <c r="R244" s="537">
        <f ca="1">SUMIF(CPQL!$D$5:$W$68,'FORM OH'!$I$244,CPQL!K5:K68)</f>
        <v>1400000</v>
      </c>
      <c r="S244" s="537">
        <f ca="1">SUMIF(CPQL!$D$5:$W$68,'FORM OH'!$I$244,CPQL!L5:L68)</f>
        <v>0</v>
      </c>
      <c r="T244" s="537">
        <f ca="1">SUMIF(CPQL!$D$5:$W$68,'FORM OH'!$I$244,CPQL!M5:M68)</f>
        <v>0</v>
      </c>
      <c r="U244" s="537">
        <f ca="1">SUMIF(CPQL!$D$5:$W$68,'FORM OH'!$I$244,CPQL!N5:N68)</f>
        <v>0</v>
      </c>
      <c r="V244" s="537">
        <f ca="1">SUMIF(CPQL!$D$5:$W$68,'FORM OH'!$I$244,CPQL!O5:O68)</f>
        <v>2800000</v>
      </c>
      <c r="W244" s="537">
        <f ca="1">SUMIF(CPQL!$D$5:$W$68,'FORM OH'!$I$244,CPQL!P5:P68)</f>
        <v>0</v>
      </c>
      <c r="X244" s="537">
        <f ca="1">SUMIF(CPQL!$D$5:$W$68,'FORM OH'!$I$244,CPQL!Q5:Q68)</f>
        <v>0</v>
      </c>
      <c r="Y244" s="537">
        <f ca="1">SUMIF(CPQL!$D$5:$W$68,'FORM OH'!$I$244,CPQL!R5:R68)</f>
        <v>0</v>
      </c>
      <c r="Z244" s="537">
        <f ca="1">SUMIF(CPQL!$D$5:$W$68,'FORM OH'!$I$244,CPQL!S5:S68)</f>
        <v>1400000</v>
      </c>
      <c r="AA244" s="537">
        <f ca="1">SUMIF(CPQL!$D$5:$W$68,'FORM OH'!$I$244,CPQL!T5:T68)</f>
        <v>0</v>
      </c>
      <c r="AB244" s="537">
        <f ca="1">SUMIF(CPQL!$D$5:$W$68,'FORM OH'!$I$244,CPQL!U5:U68)</f>
        <v>0</v>
      </c>
      <c r="AC244" s="537">
        <f ca="1">SUMIF(CPQL!$D$5:$W$68,'FORM OH'!$I$244,CPQL!V5:V68)</f>
        <v>0</v>
      </c>
      <c r="AD244" s="537">
        <f t="shared" ca="1" si="42"/>
        <v>5600000</v>
      </c>
      <c r="AE244" s="533"/>
      <c r="AF244" s="537">
        <f ca="1">SUMIF(CPQL!$D$5:$W$68,'FORM OH'!$I$244,CPQL!Y5:Y68)</f>
        <v>13652835</v>
      </c>
      <c r="AG244" s="537">
        <f ca="1">SUMIF(CPQL!$D$5:$W$68,'FORM OH'!$I$244,CPQL!Z5:Z68)</f>
        <v>13652835</v>
      </c>
      <c r="AH244" s="537">
        <f ca="1">SUMIF(CPQL!$D$5:$W$68,'FORM OH'!$I$244,CPQL!AA5:AA68)</f>
        <v>11736185</v>
      </c>
      <c r="AI244" s="537">
        <f ca="1">SUMIF(CPQL!$D$5:$W$68,'FORM OH'!$I$244,CPQL!AB5:AB68)</f>
        <v>13729501</v>
      </c>
      <c r="AJ244" s="537">
        <f ca="1">SUMIF(CPQL!$D$5:$W$68,'FORM OH'!$I$244,CPQL!AC5:AC68)</f>
        <v>11736185</v>
      </c>
      <c r="AK244" s="537">
        <f ca="1">SUMIF(CPQL!$D$5:$W$68,'FORM OH'!$I$244,CPQL!AD5:AD68)</f>
        <v>13439873</v>
      </c>
      <c r="AL244" s="537">
        <f ca="1">SUMIF(CPQL!$D$5:$W$68,'FORM OH'!$I$244,CPQL!AE5:AE68)</f>
        <v>14283199</v>
      </c>
      <c r="AM244" s="537">
        <f ca="1">SUMIF(CPQL!$D$5:$W$68,'FORM OH'!$I$244,CPQL!AF5:AF68)</f>
        <v>14283199</v>
      </c>
      <c r="AN244" s="537">
        <f ca="1">SUMIF(CPQL!$D$5:$W$68,'FORM OH'!$I$244,CPQL!AG5:AG68)</f>
        <v>12383416</v>
      </c>
      <c r="AO244" s="537">
        <f ca="1">SUMIF(CPQL!$D$5:$W$68,'FORM OH'!$I$244,CPQL!AH5:AH68)</f>
        <v>17368687.842321347</v>
      </c>
      <c r="AP244" s="537">
        <f ca="1">SUMIF(CPQL!$D$5:$W$68,'FORM OH'!$I$244,CPQL!AI5:AI68)</f>
        <v>17368687.842321347</v>
      </c>
      <c r="AQ244" s="537">
        <f ca="1">SUMIF(CPQL!$D$5:$W$68,'FORM OH'!$I$244,CPQL!AJ5:AJ68)</f>
        <v>17368687.842321347</v>
      </c>
      <c r="AR244" s="1284">
        <f t="shared" ca="1" si="39"/>
        <v>171003291.52696401</v>
      </c>
      <c r="AS244" s="1284">
        <f t="shared" ca="1" si="34"/>
        <v>-165403291.52696401</v>
      </c>
      <c r="AT244" s="1297">
        <f t="shared" ca="1" si="35"/>
        <v>-0.96725209234281329</v>
      </c>
    </row>
    <row r="245" spans="1:46" s="539" customFormat="1" ht="16.399999999999999" customHeight="1" outlineLevel="1" x14ac:dyDescent="0.35">
      <c r="A245" s="534" t="s">
        <v>782</v>
      </c>
      <c r="B245" s="534" t="s">
        <v>783</v>
      </c>
      <c r="C245" s="535" t="s">
        <v>1418</v>
      </c>
      <c r="D245" s="536" t="s">
        <v>195</v>
      </c>
      <c r="E245" s="536" t="s">
        <v>835</v>
      </c>
      <c r="F245" s="536" t="s">
        <v>847</v>
      </c>
      <c r="G245" s="536" t="s">
        <v>611</v>
      </c>
      <c r="H245" s="536" t="s">
        <v>848</v>
      </c>
      <c r="I245" s="535" t="s">
        <v>1426</v>
      </c>
      <c r="J245" s="536" t="s">
        <v>584</v>
      </c>
      <c r="K245" s="536" t="s">
        <v>574</v>
      </c>
      <c r="L245" s="535" t="s">
        <v>804</v>
      </c>
      <c r="M245" s="536"/>
      <c r="N245" s="536"/>
      <c r="O245" s="535"/>
      <c r="P245" s="536"/>
      <c r="Q245" s="536"/>
      <c r="R245" s="537">
        <f ca="1">SUMIF(CPQL!$D$5:$W$68,'FORM OH'!$I$245,CPQL!K5:K68)</f>
        <v>23931782</v>
      </c>
      <c r="S245" s="537">
        <f ca="1">SUMIF(CPQL!$D$5:$W$68,'FORM OH'!$I$245,CPQL!L5:L68)</f>
        <v>23931782</v>
      </c>
      <c r="T245" s="537">
        <f ca="1">SUMIF(CPQL!$D$5:$W$68,'FORM OH'!$I$245,CPQL!M5:M68)</f>
        <v>23931782</v>
      </c>
      <c r="U245" s="537">
        <f ca="1">SUMIF(CPQL!$D$5:$W$68,'FORM OH'!$I$245,CPQL!N5:N68)</f>
        <v>23931782</v>
      </c>
      <c r="V245" s="537">
        <f ca="1">SUMIF(CPQL!$D$5:$W$68,'FORM OH'!$I$245,CPQL!O5:O68)</f>
        <v>23931782</v>
      </c>
      <c r="W245" s="537">
        <f ca="1">SUMIF(CPQL!$D$5:$W$68,'FORM OH'!$I$245,CPQL!P5:P68)</f>
        <v>23931782</v>
      </c>
      <c r="X245" s="537">
        <f ca="1">SUMIF(CPQL!$D$5:$W$68,'FORM OH'!$I$245,CPQL!Q5:Q68)</f>
        <v>23931782</v>
      </c>
      <c r="Y245" s="537">
        <f ca="1">SUMIF(CPQL!$D$5:$W$68,'FORM OH'!$I$245,CPQL!R5:R68)</f>
        <v>23931782</v>
      </c>
      <c r="Z245" s="537">
        <f ca="1">SUMIF(CPQL!$D$5:$W$68,'FORM OH'!$I$245,CPQL!S5:S68)</f>
        <v>23931782</v>
      </c>
      <c r="AA245" s="537">
        <f ca="1">SUMIF(CPQL!$D$5:$W$68,'FORM OH'!$I$245,CPQL!T5:T68)</f>
        <v>23931782</v>
      </c>
      <c r="AB245" s="537">
        <f ca="1">SUMIF(CPQL!$D$5:$W$68,'FORM OH'!$I$245,CPQL!U5:U68)</f>
        <v>23931782</v>
      </c>
      <c r="AC245" s="537">
        <f ca="1">SUMIF(CPQL!$D$5:$W$68,'FORM OH'!$I$245,CPQL!V5:V68)</f>
        <v>23931782</v>
      </c>
      <c r="AD245" s="537">
        <f t="shared" ca="1" si="42"/>
        <v>287181384</v>
      </c>
      <c r="AE245" s="533"/>
      <c r="AF245" s="537">
        <f ca="1">SUMIF(CPQL!$D$5:$W$68,'FORM OH'!$I$245,CPQL!Y5:Y68)</f>
        <v>0</v>
      </c>
      <c r="AG245" s="537">
        <f ca="1">SUMIF(CPQL!$D$5:$W$68,'FORM OH'!$I$245,CPQL!Z5:Z68)</f>
        <v>0</v>
      </c>
      <c r="AH245" s="537">
        <f ca="1">SUMIF(CPQL!$D$5:$W$68,'FORM OH'!$I$245,CPQL!AA5:AA68)</f>
        <v>0</v>
      </c>
      <c r="AI245" s="537">
        <f ca="1">SUMIF(CPQL!$D$5:$W$68,'FORM OH'!$I$245,CPQL!AB5:AB68)</f>
        <v>0</v>
      </c>
      <c r="AJ245" s="537">
        <f ca="1">SUMIF(CPQL!$D$5:$W$68,'FORM OH'!$I$245,CPQL!AC5:AC68)</f>
        <v>0</v>
      </c>
      <c r="AK245" s="537">
        <f ca="1">SUMIF(CPQL!$D$5:$W$68,'FORM OH'!$I$245,CPQL!AD5:AD68)</f>
        <v>0</v>
      </c>
      <c r="AL245" s="537">
        <f ca="1">SUMIF(CPQL!$D$5:$W$68,'FORM OH'!$I$245,CPQL!AE5:AE68)</f>
        <v>0</v>
      </c>
      <c r="AM245" s="537">
        <f ca="1">SUMIF(CPQL!$D$5:$W$68,'FORM OH'!$I$245,CPQL!AF5:AF68)</f>
        <v>0</v>
      </c>
      <c r="AN245" s="537">
        <f ca="1">SUMIF(CPQL!$D$5:$W$68,'FORM OH'!$I$245,CPQL!AG5:AG68)</f>
        <v>0</v>
      </c>
      <c r="AO245" s="537">
        <f ca="1">SUMIF(CPQL!$D$5:$W$68,'FORM OH'!$I$245,CPQL!AH5:AH68)</f>
        <v>0</v>
      </c>
      <c r="AP245" s="537">
        <f ca="1">SUMIF(CPQL!$D$5:$W$68,'FORM OH'!$I$245,CPQL!AI5:AI68)</f>
        <v>0</v>
      </c>
      <c r="AQ245" s="537">
        <f ca="1">SUMIF(CPQL!$D$5:$W$68,'FORM OH'!$I$245,CPQL!AJ5:AJ68)</f>
        <v>0</v>
      </c>
      <c r="AR245" s="1284">
        <f t="shared" ca="1" si="39"/>
        <v>0</v>
      </c>
      <c r="AS245" s="1284">
        <f t="shared" ca="1" si="34"/>
        <v>287181384</v>
      </c>
      <c r="AT245" s="1297">
        <f t="shared" ca="1" si="35"/>
        <v>0</v>
      </c>
    </row>
    <row r="246" spans="1:46" s="539" customFormat="1" ht="16.399999999999999" customHeight="1" outlineLevel="1" x14ac:dyDescent="0.35">
      <c r="A246" s="534" t="s">
        <v>782</v>
      </c>
      <c r="B246" s="534" t="s">
        <v>783</v>
      </c>
      <c r="C246" s="535" t="s">
        <v>1418</v>
      </c>
      <c r="D246" s="536" t="s">
        <v>195</v>
      </c>
      <c r="E246" s="536" t="s">
        <v>835</v>
      </c>
      <c r="F246" s="536" t="s">
        <v>849</v>
      </c>
      <c r="G246" s="536" t="s">
        <v>611</v>
      </c>
      <c r="H246" s="536" t="s">
        <v>850</v>
      </c>
      <c r="I246" s="535" t="s">
        <v>1427</v>
      </c>
      <c r="J246" s="536" t="s">
        <v>466</v>
      </c>
      <c r="K246" s="536" t="s">
        <v>574</v>
      </c>
      <c r="L246" s="535" t="s">
        <v>807</v>
      </c>
      <c r="M246" s="536" t="s">
        <v>808</v>
      </c>
      <c r="N246" s="536"/>
      <c r="O246" s="535"/>
      <c r="P246" s="536"/>
      <c r="Q246" s="536"/>
      <c r="R246" s="537">
        <f ca="1">SUMIF(CPQL!$D$5:$W$68,'FORM OH'!$I$246,CPQL!K5:K68)</f>
        <v>0</v>
      </c>
      <c r="S246" s="537">
        <f ca="1">SUMIF(CPQL!$D$5:$W$68,'FORM OH'!$I$246,CPQL!L5:L68)</f>
        <v>0</v>
      </c>
      <c r="T246" s="537">
        <f ca="1">SUMIF(CPQL!$D$5:$W$68,'FORM OH'!$I$246,CPQL!M5:M68)</f>
        <v>0</v>
      </c>
      <c r="U246" s="537">
        <f ca="1">SUMIF(CPQL!$D$5:$W$68,'FORM OH'!$I$246,CPQL!N5:N68)</f>
        <v>0</v>
      </c>
      <c r="V246" s="537">
        <f ca="1">SUMIF(CPQL!$D$5:$W$68,'FORM OH'!$I$246,CPQL!O5:O68)</f>
        <v>0</v>
      </c>
      <c r="W246" s="537">
        <f ca="1">SUMIF(CPQL!$D$5:$W$68,'FORM OH'!$I$246,CPQL!P5:P68)</f>
        <v>0</v>
      </c>
      <c r="X246" s="537">
        <f ca="1">SUMIF(CPQL!$D$5:$W$68,'FORM OH'!$I$246,CPQL!Q5:Q68)</f>
        <v>0</v>
      </c>
      <c r="Y246" s="537">
        <f ca="1">SUMIF(CPQL!$D$5:$W$68,'FORM OH'!$I$246,CPQL!R5:R68)</f>
        <v>0</v>
      </c>
      <c r="Z246" s="537">
        <f ca="1">SUMIF(CPQL!$D$5:$W$68,'FORM OH'!$I$246,CPQL!S5:S68)</f>
        <v>0</v>
      </c>
      <c r="AA246" s="537">
        <f ca="1">SUMIF(CPQL!$D$5:$W$68,'FORM OH'!$I$246,CPQL!T5:T68)</f>
        <v>0</v>
      </c>
      <c r="AB246" s="537">
        <f ca="1">SUMIF(CPQL!$D$5:$W$68,'FORM OH'!$I$246,CPQL!U5:U68)</f>
        <v>0</v>
      </c>
      <c r="AC246" s="537">
        <f ca="1">SUMIF(CPQL!$D$5:$W$68,'FORM OH'!$I$246,CPQL!V5:V68)</f>
        <v>0</v>
      </c>
      <c r="AD246" s="537">
        <f t="shared" ca="1" si="42"/>
        <v>0</v>
      </c>
      <c r="AE246" s="533"/>
      <c r="AF246" s="537">
        <f ca="1">SUMIF(CPQL!$D$5:$W$68,'FORM OH'!$I$246,CPQL!Y5:Y68)</f>
        <v>0</v>
      </c>
      <c r="AG246" s="537">
        <f ca="1">SUMIF(CPQL!$D$5:$W$68,'FORM OH'!$I$246,CPQL!Z5:Z68)</f>
        <v>0</v>
      </c>
      <c r="AH246" s="537">
        <f ca="1">SUMIF(CPQL!$D$5:$W$68,'FORM OH'!$I$246,CPQL!AA5:AA68)</f>
        <v>0</v>
      </c>
      <c r="AI246" s="537">
        <f ca="1">SUMIF(CPQL!$D$5:$W$68,'FORM OH'!$I$246,CPQL!AB5:AB68)</f>
        <v>0</v>
      </c>
      <c r="AJ246" s="537">
        <f ca="1">SUMIF(CPQL!$D$5:$W$68,'FORM OH'!$I$246,CPQL!AC5:AC68)</f>
        <v>0</v>
      </c>
      <c r="AK246" s="537">
        <f ca="1">SUMIF(CPQL!$D$5:$W$68,'FORM OH'!$I$246,CPQL!AD5:AD68)</f>
        <v>0</v>
      </c>
      <c r="AL246" s="537">
        <f ca="1">SUMIF(CPQL!$D$5:$W$68,'FORM OH'!$I$246,CPQL!AE5:AE68)</f>
        <v>0</v>
      </c>
      <c r="AM246" s="537">
        <f ca="1">SUMIF(CPQL!$D$5:$W$68,'FORM OH'!$I$246,CPQL!AF5:AF68)</f>
        <v>0</v>
      </c>
      <c r="AN246" s="537">
        <f ca="1">SUMIF(CPQL!$D$5:$W$68,'FORM OH'!$I$246,CPQL!AG5:AG68)</f>
        <v>0</v>
      </c>
      <c r="AO246" s="537">
        <f ca="1">SUMIF(CPQL!$D$5:$W$68,'FORM OH'!$I$246,CPQL!AH5:AH68)</f>
        <v>0</v>
      </c>
      <c r="AP246" s="537">
        <f ca="1">SUMIF(CPQL!$D$5:$W$68,'FORM OH'!$I$246,CPQL!AI5:AI68)</f>
        <v>0</v>
      </c>
      <c r="AQ246" s="537">
        <f ca="1">SUMIF(CPQL!$D$5:$W$68,'FORM OH'!$I$246,CPQL!AJ5:AJ68)</f>
        <v>0</v>
      </c>
      <c r="AR246" s="1284">
        <f t="shared" ca="1" si="39"/>
        <v>0</v>
      </c>
      <c r="AS246" s="1284">
        <f t="shared" ca="1" si="34"/>
        <v>0</v>
      </c>
      <c r="AT246" s="1297">
        <f t="shared" ca="1" si="35"/>
        <v>0</v>
      </c>
    </row>
    <row r="247" spans="1:46" s="539" customFormat="1" ht="16.399999999999999" customHeight="1" outlineLevel="1" x14ac:dyDescent="0.35">
      <c r="A247" s="534" t="s">
        <v>782</v>
      </c>
      <c r="B247" s="534" t="s">
        <v>783</v>
      </c>
      <c r="C247" s="535" t="s">
        <v>1418</v>
      </c>
      <c r="D247" s="536" t="s">
        <v>195</v>
      </c>
      <c r="E247" s="536" t="s">
        <v>835</v>
      </c>
      <c r="F247" s="536" t="s">
        <v>849</v>
      </c>
      <c r="G247" s="536" t="s">
        <v>611</v>
      </c>
      <c r="H247" s="536" t="s">
        <v>850</v>
      </c>
      <c r="I247" s="535" t="s">
        <v>1428</v>
      </c>
      <c r="J247" s="536" t="s">
        <v>851</v>
      </c>
      <c r="K247" s="536" t="s">
        <v>574</v>
      </c>
      <c r="L247" s="535" t="s">
        <v>852</v>
      </c>
      <c r="M247" s="536" t="s">
        <v>853</v>
      </c>
      <c r="N247" s="536"/>
      <c r="O247" s="535"/>
      <c r="P247" s="536"/>
      <c r="Q247" s="536"/>
      <c r="R247" s="537">
        <f ca="1">SUMIF(CPQL!$D$5:$W$68,'FORM OH'!$I$247,CPQL!K5:K68)</f>
        <v>0</v>
      </c>
      <c r="S247" s="537">
        <f ca="1">SUMIF(CPQL!$D$5:$W$68,'FORM OH'!$I$247,CPQL!L5:L68)</f>
        <v>0</v>
      </c>
      <c r="T247" s="537">
        <f ca="1">SUMIF(CPQL!$D$5:$W$68,'FORM OH'!$I$247,CPQL!M5:M68)</f>
        <v>0</v>
      </c>
      <c r="U247" s="537">
        <f ca="1">SUMIF(CPQL!$D$5:$W$68,'FORM OH'!$I$247,CPQL!N5:N68)</f>
        <v>0</v>
      </c>
      <c r="V247" s="537">
        <f ca="1">SUMIF(CPQL!$D$5:$W$68,'FORM OH'!$I$247,CPQL!O5:O68)</f>
        <v>0</v>
      </c>
      <c r="W247" s="537">
        <f ca="1">SUMIF(CPQL!$D$5:$W$68,'FORM OH'!$I$247,CPQL!P5:P68)</f>
        <v>0</v>
      </c>
      <c r="X247" s="537">
        <f ca="1">SUMIF(CPQL!$D$5:$W$68,'FORM OH'!$I$247,CPQL!Q5:Q68)</f>
        <v>0</v>
      </c>
      <c r="Y247" s="537">
        <f ca="1">SUMIF(CPQL!$D$5:$W$68,'FORM OH'!$I$247,CPQL!R5:R68)</f>
        <v>0</v>
      </c>
      <c r="Z247" s="537">
        <f ca="1">SUMIF(CPQL!$D$5:$W$68,'FORM OH'!$I$247,CPQL!S5:S68)</f>
        <v>0</v>
      </c>
      <c r="AA247" s="537">
        <f ca="1">SUMIF(CPQL!$D$5:$W$68,'FORM OH'!$I$247,CPQL!T5:T68)</f>
        <v>0</v>
      </c>
      <c r="AB247" s="537">
        <f ca="1">SUMIF(CPQL!$D$5:$W$68,'FORM OH'!$I$247,CPQL!U5:U68)</f>
        <v>0</v>
      </c>
      <c r="AC247" s="537">
        <f ca="1">SUMIF(CPQL!$D$5:$W$68,'FORM OH'!$I$247,CPQL!V5:V68)</f>
        <v>0</v>
      </c>
      <c r="AD247" s="537">
        <f t="shared" ca="1" si="42"/>
        <v>0</v>
      </c>
      <c r="AE247" s="533"/>
      <c r="AF247" s="537">
        <f ca="1">SUMIF(CPQL!$D$5:$W$68,'FORM OH'!$I$247,CPQL!Y5:Y68)</f>
        <v>0</v>
      </c>
      <c r="AG247" s="537">
        <f ca="1">SUMIF(CPQL!$D$5:$W$68,'FORM OH'!$I$247,CPQL!Z5:Z68)</f>
        <v>0</v>
      </c>
      <c r="AH247" s="537">
        <f ca="1">SUMIF(CPQL!$D$5:$W$68,'FORM OH'!$I$247,CPQL!AA5:AA68)</f>
        <v>0</v>
      </c>
      <c r="AI247" s="537">
        <f ca="1">SUMIF(CPQL!$D$5:$W$68,'FORM OH'!$I$247,CPQL!AB5:AB68)</f>
        <v>0</v>
      </c>
      <c r="AJ247" s="537">
        <f ca="1">SUMIF(CPQL!$D$5:$W$68,'FORM OH'!$I$247,CPQL!AC5:AC68)</f>
        <v>0</v>
      </c>
      <c r="AK247" s="537">
        <f ca="1">SUMIF(CPQL!$D$5:$W$68,'FORM OH'!$I$247,CPQL!AD5:AD68)</f>
        <v>0</v>
      </c>
      <c r="AL247" s="537">
        <f ca="1">SUMIF(CPQL!$D$5:$W$68,'FORM OH'!$I$247,CPQL!AE5:AE68)</f>
        <v>0</v>
      </c>
      <c r="AM247" s="537">
        <f ca="1">SUMIF(CPQL!$D$5:$W$68,'FORM OH'!$I$247,CPQL!AF5:AF68)</f>
        <v>0</v>
      </c>
      <c r="AN247" s="537">
        <f ca="1">SUMIF(CPQL!$D$5:$W$68,'FORM OH'!$I$247,CPQL!AG5:AG68)</f>
        <v>0</v>
      </c>
      <c r="AO247" s="537">
        <f ca="1">SUMIF(CPQL!$D$5:$W$68,'FORM OH'!$I$247,CPQL!AH5:AH68)</f>
        <v>0</v>
      </c>
      <c r="AP247" s="537">
        <f ca="1">SUMIF(CPQL!$D$5:$W$68,'FORM OH'!$I$247,CPQL!AI5:AI68)</f>
        <v>0</v>
      </c>
      <c r="AQ247" s="537">
        <f ca="1">SUMIF(CPQL!$D$5:$W$68,'FORM OH'!$I$247,CPQL!AJ5:AJ68)</f>
        <v>0</v>
      </c>
      <c r="AR247" s="1284">
        <f t="shared" ca="1" si="39"/>
        <v>0</v>
      </c>
      <c r="AS247" s="1284">
        <f t="shared" ca="1" si="34"/>
        <v>0</v>
      </c>
      <c r="AT247" s="1297">
        <f t="shared" ca="1" si="35"/>
        <v>0</v>
      </c>
    </row>
    <row r="248" spans="1:46" s="539" customFormat="1" ht="16.399999999999999" customHeight="1" outlineLevel="1" x14ac:dyDescent="0.35">
      <c r="A248" s="534" t="s">
        <v>782</v>
      </c>
      <c r="B248" s="534" t="s">
        <v>783</v>
      </c>
      <c r="C248" s="535" t="s">
        <v>1418</v>
      </c>
      <c r="D248" s="536" t="s">
        <v>195</v>
      </c>
      <c r="E248" s="536" t="s">
        <v>835</v>
      </c>
      <c r="F248" s="536" t="s">
        <v>849</v>
      </c>
      <c r="G248" s="536" t="s">
        <v>611</v>
      </c>
      <c r="H248" s="536" t="s">
        <v>850</v>
      </c>
      <c r="I248" s="535" t="s">
        <v>1429</v>
      </c>
      <c r="J248" s="536" t="s">
        <v>855</v>
      </c>
      <c r="K248" s="536" t="s">
        <v>811</v>
      </c>
      <c r="L248" s="535" t="s">
        <v>812</v>
      </c>
      <c r="M248" s="536" t="s">
        <v>813</v>
      </c>
      <c r="N248" s="536"/>
      <c r="O248" s="535"/>
      <c r="P248" s="536"/>
      <c r="Q248" s="536"/>
      <c r="R248" s="537">
        <f ca="1">SUMIF(CPQL!$D$5:$W$68,'FORM OH'!$I$248,CPQL!K5:K68)</f>
        <v>0</v>
      </c>
      <c r="S248" s="537">
        <f ca="1">SUMIF(CPQL!$D$5:$W$68,'FORM OH'!$I$248,CPQL!L5:L68)</f>
        <v>0</v>
      </c>
      <c r="T248" s="537">
        <f ca="1">SUMIF(CPQL!$D$5:$W$68,'FORM OH'!$I$248,CPQL!M5:M68)</f>
        <v>0</v>
      </c>
      <c r="U248" s="537">
        <f ca="1">SUMIF(CPQL!$D$5:$W$68,'FORM OH'!$I$248,CPQL!N5:N68)</f>
        <v>0</v>
      </c>
      <c r="V248" s="537">
        <f ca="1">SUMIF(CPQL!$D$5:$W$68,'FORM OH'!$I$248,CPQL!O5:O68)</f>
        <v>0</v>
      </c>
      <c r="W248" s="537">
        <f ca="1">SUMIF(CPQL!$D$5:$W$68,'FORM OH'!$I$248,CPQL!P5:P68)</f>
        <v>0</v>
      </c>
      <c r="X248" s="537">
        <f ca="1">SUMIF(CPQL!$D$5:$W$68,'FORM OH'!$I$248,CPQL!Q5:Q68)</f>
        <v>0</v>
      </c>
      <c r="Y248" s="537">
        <f ca="1">SUMIF(CPQL!$D$5:$W$68,'FORM OH'!$I$248,CPQL!R5:R68)</f>
        <v>0</v>
      </c>
      <c r="Z248" s="537">
        <f ca="1">SUMIF(CPQL!$D$5:$W$68,'FORM OH'!$I$248,CPQL!S5:S68)</f>
        <v>0</v>
      </c>
      <c r="AA248" s="537">
        <f ca="1">SUMIF(CPQL!$D$5:$W$68,'FORM OH'!$I$248,CPQL!T5:T68)</f>
        <v>0</v>
      </c>
      <c r="AB248" s="537">
        <f ca="1">SUMIF(CPQL!$D$5:$W$68,'FORM OH'!$I$248,CPQL!U5:U68)</f>
        <v>0</v>
      </c>
      <c r="AC248" s="537">
        <f ca="1">SUMIF(CPQL!$D$5:$W$68,'FORM OH'!$I$248,CPQL!V5:V68)</f>
        <v>0</v>
      </c>
      <c r="AD248" s="537">
        <f t="shared" ca="1" si="42"/>
        <v>0</v>
      </c>
      <c r="AE248" s="533"/>
      <c r="AF248" s="537">
        <f ca="1">SUMIF(CPQL!$D$5:$W$68,'FORM OH'!$I$248,CPQL!Y5:Y68)</f>
        <v>0</v>
      </c>
      <c r="AG248" s="537">
        <f ca="1">SUMIF(CPQL!$D$5:$W$68,'FORM OH'!$I$248,CPQL!Z5:Z68)</f>
        <v>0</v>
      </c>
      <c r="AH248" s="537">
        <f ca="1">SUMIF(CPQL!$D$5:$W$68,'FORM OH'!$I$248,CPQL!AA5:AA68)</f>
        <v>0</v>
      </c>
      <c r="AI248" s="537">
        <f ca="1">SUMIF(CPQL!$D$5:$W$68,'FORM OH'!$I$248,CPQL!AB5:AB68)</f>
        <v>0</v>
      </c>
      <c r="AJ248" s="537">
        <f ca="1">SUMIF(CPQL!$D$5:$W$68,'FORM OH'!$I$248,CPQL!AC5:AC68)</f>
        <v>0</v>
      </c>
      <c r="AK248" s="537">
        <f ca="1">SUMIF(CPQL!$D$5:$W$68,'FORM OH'!$I$248,CPQL!AD5:AD68)</f>
        <v>0</v>
      </c>
      <c r="AL248" s="537">
        <f ca="1">SUMIF(CPQL!$D$5:$W$68,'FORM OH'!$I$248,CPQL!AE5:AE68)</f>
        <v>0</v>
      </c>
      <c r="AM248" s="537">
        <f ca="1">SUMIF(CPQL!$D$5:$W$68,'FORM OH'!$I$248,CPQL!AF5:AF68)</f>
        <v>0</v>
      </c>
      <c r="AN248" s="537">
        <f ca="1">SUMIF(CPQL!$D$5:$W$68,'FORM OH'!$I$248,CPQL!AG5:AG68)</f>
        <v>0</v>
      </c>
      <c r="AO248" s="537">
        <f ca="1">SUMIF(CPQL!$D$5:$W$68,'FORM OH'!$I$248,CPQL!AH5:AH68)</f>
        <v>0</v>
      </c>
      <c r="AP248" s="537">
        <f ca="1">SUMIF(CPQL!$D$5:$W$68,'FORM OH'!$I$248,CPQL!AI5:AI68)</f>
        <v>0</v>
      </c>
      <c r="AQ248" s="537">
        <f ca="1">SUMIF(CPQL!$D$5:$W$68,'FORM OH'!$I$248,CPQL!AJ5:AJ68)</f>
        <v>0</v>
      </c>
      <c r="AR248" s="1284">
        <f t="shared" ca="1" si="39"/>
        <v>0</v>
      </c>
      <c r="AS248" s="1284">
        <f t="shared" ca="1" si="34"/>
        <v>0</v>
      </c>
      <c r="AT248" s="1297">
        <f t="shared" ca="1" si="35"/>
        <v>0</v>
      </c>
    </row>
    <row r="249" spans="1:46" s="539" customFormat="1" ht="16.399999999999999" customHeight="1" outlineLevel="1" x14ac:dyDescent="0.35">
      <c r="A249" s="534" t="s">
        <v>782</v>
      </c>
      <c r="B249" s="534" t="s">
        <v>783</v>
      </c>
      <c r="C249" s="535" t="s">
        <v>1418</v>
      </c>
      <c r="D249" s="536" t="s">
        <v>195</v>
      </c>
      <c r="E249" s="536" t="s">
        <v>835</v>
      </c>
      <c r="F249" s="536" t="s">
        <v>856</v>
      </c>
      <c r="G249" s="536" t="s">
        <v>611</v>
      </c>
      <c r="H249" s="536" t="s">
        <v>850</v>
      </c>
      <c r="I249" s="535" t="s">
        <v>1430</v>
      </c>
      <c r="J249" s="536" t="s">
        <v>467</v>
      </c>
      <c r="K249" s="536" t="s">
        <v>570</v>
      </c>
      <c r="L249" s="535" t="s">
        <v>858</v>
      </c>
      <c r="M249" s="536" t="s">
        <v>859</v>
      </c>
      <c r="N249" s="536"/>
      <c r="O249" s="535"/>
      <c r="P249" s="536"/>
      <c r="Q249" s="536"/>
      <c r="R249" s="537">
        <f ca="1">SUMIF(CPQL!$D$5:$W$68,'FORM OH'!$I$249,CPQL!K5:K68)</f>
        <v>5600000</v>
      </c>
      <c r="S249" s="537">
        <f ca="1">SUMIF(CPQL!$D$5:$W$68,'FORM OH'!$I$249,CPQL!L5:L68)</f>
        <v>4928000</v>
      </c>
      <c r="T249" s="537">
        <f ca="1">SUMIF(CPQL!$D$5:$W$68,'FORM OH'!$I$249,CPQL!M5:M68)</f>
        <v>5376000</v>
      </c>
      <c r="U249" s="537">
        <f ca="1">SUMIF(CPQL!$D$5:$W$68,'FORM OH'!$I$249,CPQL!N5:N68)</f>
        <v>6048000</v>
      </c>
      <c r="V249" s="537">
        <f ca="1">SUMIF(CPQL!$D$5:$W$68,'FORM OH'!$I$249,CPQL!O5:O68)</f>
        <v>4928000</v>
      </c>
      <c r="W249" s="537">
        <f ca="1">SUMIF(CPQL!$D$5:$W$68,'FORM OH'!$I$249,CPQL!P5:P68)</f>
        <v>6048000</v>
      </c>
      <c r="X249" s="537">
        <f ca="1">SUMIF(CPQL!$D$5:$W$68,'FORM OH'!$I$249,CPQL!Q5:Q68)</f>
        <v>5824000</v>
      </c>
      <c r="Y249" s="537">
        <f ca="1">SUMIF(CPQL!$D$5:$W$68,'FORM OH'!$I$249,CPQL!R5:R68)</f>
        <v>5824000</v>
      </c>
      <c r="Z249" s="537">
        <f ca="1">SUMIF(CPQL!$D$5:$W$68,'FORM OH'!$I$249,CPQL!S5:S68)</f>
        <v>5600000</v>
      </c>
      <c r="AA249" s="537">
        <f ca="1">SUMIF(CPQL!$D$5:$W$68,'FORM OH'!$I$249,CPQL!T5:T68)</f>
        <v>5600000</v>
      </c>
      <c r="AB249" s="537">
        <f ca="1">SUMIF(CPQL!$D$5:$W$68,'FORM OH'!$I$249,CPQL!U5:U68)</f>
        <v>6048000</v>
      </c>
      <c r="AC249" s="537">
        <f ca="1">SUMIF(CPQL!$D$5:$W$68,'FORM OH'!$I$249,CPQL!V5:V68)</f>
        <v>5824000</v>
      </c>
      <c r="AD249" s="537">
        <f t="shared" ca="1" si="42"/>
        <v>67648000</v>
      </c>
      <c r="AE249" s="533"/>
      <c r="AF249" s="537">
        <f ca="1">SUMIF(CPQL!$D$5:$W$68,'FORM OH'!$I$249,CPQL!Y5:Y68)</f>
        <v>2800000</v>
      </c>
      <c r="AG249" s="537">
        <f ca="1">SUMIF(CPQL!$D$5:$W$68,'FORM OH'!$I$249,CPQL!Z5:Z68)</f>
        <v>1900000</v>
      </c>
      <c r="AH249" s="537">
        <f ca="1">SUMIF(CPQL!$D$5:$W$68,'FORM OH'!$I$249,CPQL!AA5:AA68)</f>
        <v>2875000</v>
      </c>
      <c r="AI249" s="537">
        <f ca="1">SUMIF(CPQL!$D$5:$W$68,'FORM OH'!$I$249,CPQL!AB5:AB68)</f>
        <v>2975000</v>
      </c>
      <c r="AJ249" s="537">
        <f ca="1">SUMIF(CPQL!$D$5:$W$68,'FORM OH'!$I$249,CPQL!AC5:AC68)</f>
        <v>2782500</v>
      </c>
      <c r="AK249" s="537">
        <f ca="1">SUMIF(CPQL!$D$5:$W$68,'FORM OH'!$I$249,CPQL!AD5:AD68)</f>
        <v>3648750</v>
      </c>
      <c r="AL249" s="537">
        <f ca="1">SUMIF(CPQL!$D$5:$W$68,'FORM OH'!$I$249,CPQL!AE5:AE68)</f>
        <v>5439160</v>
      </c>
      <c r="AM249" s="537">
        <f ca="1">SUMIF(CPQL!$D$5:$W$68,'FORM OH'!$I$249,CPQL!AF5:AF68)</f>
        <v>4632157</v>
      </c>
      <c r="AN249" s="537">
        <f ca="1">SUMIF(CPQL!$D$5:$W$68,'FORM OH'!$I$249,CPQL!AG5:AG68)</f>
        <v>4130560</v>
      </c>
      <c r="AO249" s="537">
        <f ca="1">SUMIF(CPQL!$D$5:$W$68,'FORM OH'!$I$249,CPQL!AH5:AH68)</f>
        <v>4632157</v>
      </c>
      <c r="AP249" s="537">
        <f ca="1">SUMIF(CPQL!$D$5:$W$68,'FORM OH'!$I$249,CPQL!AI5:AI68)</f>
        <v>4632157</v>
      </c>
      <c r="AQ249" s="537">
        <f ca="1">SUMIF(CPQL!$D$5:$W$68,'FORM OH'!$I$249,CPQL!AJ5:AJ68)</f>
        <v>4632157</v>
      </c>
      <c r="AR249" s="1284">
        <f t="shared" ca="1" si="39"/>
        <v>45079598</v>
      </c>
      <c r="AS249" s="1284">
        <f t="shared" ca="1" si="34"/>
        <v>22568402</v>
      </c>
      <c r="AT249" s="1297">
        <f t="shared" ca="1" si="35"/>
        <v>0.5006344998906157</v>
      </c>
    </row>
    <row r="250" spans="1:46" s="539" customFormat="1" ht="16.399999999999999" customHeight="1" outlineLevel="1" x14ac:dyDescent="0.35">
      <c r="A250" s="534" t="s">
        <v>782</v>
      </c>
      <c r="B250" s="534" t="s">
        <v>783</v>
      </c>
      <c r="C250" s="535" t="s">
        <v>1418</v>
      </c>
      <c r="D250" s="536" t="s">
        <v>817</v>
      </c>
      <c r="E250" s="536" t="s">
        <v>818</v>
      </c>
      <c r="F250" s="536" t="s">
        <v>860</v>
      </c>
      <c r="G250" s="536" t="s">
        <v>1431</v>
      </c>
      <c r="H250" s="536" t="s">
        <v>861</v>
      </c>
      <c r="I250" s="535" t="s">
        <v>1432</v>
      </c>
      <c r="J250" s="536" t="s">
        <v>863</v>
      </c>
      <c r="K250" s="536" t="s">
        <v>597</v>
      </c>
      <c r="L250" s="535" t="s">
        <v>864</v>
      </c>
      <c r="M250" s="536" t="s">
        <v>865</v>
      </c>
      <c r="N250" s="536"/>
      <c r="O250" s="535"/>
      <c r="P250" s="536"/>
      <c r="Q250" s="536"/>
      <c r="R250" s="537">
        <f ca="1">SUMIF(CPQL!$D$5:$W$68,'FORM OH'!$I$250,CPQL!K5:K68)</f>
        <v>0</v>
      </c>
      <c r="S250" s="537">
        <f ca="1">SUMIF(CPQL!$D$5:$W$68,'FORM OH'!$I$250,CPQL!L5:L68)</f>
        <v>0</v>
      </c>
      <c r="T250" s="537">
        <f ca="1">SUMIF(CPQL!$D$5:$W$68,'FORM OH'!$I$250,CPQL!M5:M68)</f>
        <v>0</v>
      </c>
      <c r="U250" s="537">
        <f ca="1">SUMIF(CPQL!$D$5:$W$68,'FORM OH'!$I$250,CPQL!N5:N68)</f>
        <v>0</v>
      </c>
      <c r="V250" s="537">
        <f ca="1">SUMIF(CPQL!$D$5:$W$68,'FORM OH'!$I$250,CPQL!O5:O68)</f>
        <v>0</v>
      </c>
      <c r="W250" s="537">
        <f ca="1">SUMIF(CPQL!$D$5:$W$68,'FORM OH'!$I$250,CPQL!P5:P68)</f>
        <v>0</v>
      </c>
      <c r="X250" s="537">
        <f ca="1">SUMIF(CPQL!$D$5:$W$68,'FORM OH'!$I$250,CPQL!Q5:Q68)</f>
        <v>0</v>
      </c>
      <c r="Y250" s="537">
        <f ca="1">SUMIF(CPQL!$D$5:$W$68,'FORM OH'!$I$250,CPQL!R5:R68)</f>
        <v>0</v>
      </c>
      <c r="Z250" s="537">
        <f ca="1">SUMIF(CPQL!$D$5:$W$68,'FORM OH'!$I$250,CPQL!S5:S68)</f>
        <v>0</v>
      </c>
      <c r="AA250" s="537">
        <f ca="1">SUMIF(CPQL!$D$5:$W$68,'FORM OH'!$I$250,CPQL!T5:T68)</f>
        <v>0</v>
      </c>
      <c r="AB250" s="537">
        <f ca="1">SUMIF(CPQL!$D$5:$W$68,'FORM OH'!$I$250,CPQL!U5:U68)</f>
        <v>0</v>
      </c>
      <c r="AC250" s="537">
        <f ca="1">SUMIF(CPQL!$D$5:$W$68,'FORM OH'!$I$250,CPQL!V5:V68)</f>
        <v>0</v>
      </c>
      <c r="AD250" s="537">
        <f t="shared" ca="1" si="42"/>
        <v>0</v>
      </c>
      <c r="AE250" s="533"/>
      <c r="AF250" s="537">
        <f ca="1">SUMIF(CPQL!$D$5:$W$68,'FORM OH'!$I$250,CPQL!Y5:Y68)</f>
        <v>0</v>
      </c>
      <c r="AG250" s="537">
        <f ca="1">SUMIF(CPQL!$D$5:$W$68,'FORM OH'!$I$250,CPQL!Z5:Z68)</f>
        <v>0</v>
      </c>
      <c r="AH250" s="537">
        <f ca="1">SUMIF(CPQL!$D$5:$W$68,'FORM OH'!$I$250,CPQL!AA5:AA68)</f>
        <v>0</v>
      </c>
      <c r="AI250" s="537">
        <f ca="1">SUMIF(CPQL!$D$5:$W$68,'FORM OH'!$I$250,CPQL!AB5:AB68)</f>
        <v>0</v>
      </c>
      <c r="AJ250" s="537">
        <f ca="1">SUMIF(CPQL!$D$5:$W$68,'FORM OH'!$I$250,CPQL!AC5:AC68)</f>
        <v>0</v>
      </c>
      <c r="AK250" s="537">
        <f ca="1">SUMIF(CPQL!$D$5:$W$68,'FORM OH'!$I$250,CPQL!AD5:AD68)</f>
        <v>0</v>
      </c>
      <c r="AL250" s="537">
        <f ca="1">SUMIF(CPQL!$D$5:$W$68,'FORM OH'!$I$250,CPQL!AE5:AE68)</f>
        <v>0</v>
      </c>
      <c r="AM250" s="537">
        <f ca="1">SUMIF(CPQL!$D$5:$W$68,'FORM OH'!$I$250,CPQL!AF5:AF68)</f>
        <v>0</v>
      </c>
      <c r="AN250" s="537">
        <f ca="1">SUMIF(CPQL!$D$5:$W$68,'FORM OH'!$I$250,CPQL!AG5:AG68)</f>
        <v>0</v>
      </c>
      <c r="AO250" s="537">
        <f ca="1">SUMIF(CPQL!$D$5:$W$68,'FORM OH'!$I$250,CPQL!AH5:AH68)</f>
        <v>0</v>
      </c>
      <c r="AP250" s="537">
        <f ca="1">SUMIF(CPQL!$D$5:$W$68,'FORM OH'!$I$250,CPQL!AI5:AI68)</f>
        <v>0</v>
      </c>
      <c r="AQ250" s="537">
        <f ca="1">SUMIF(CPQL!$D$5:$W$68,'FORM OH'!$I$250,CPQL!AJ5:AJ68)</f>
        <v>0</v>
      </c>
      <c r="AR250" s="1284">
        <f t="shared" ca="1" si="39"/>
        <v>0</v>
      </c>
      <c r="AS250" s="1284">
        <f t="shared" ca="1" si="34"/>
        <v>0</v>
      </c>
      <c r="AT250" s="1297">
        <f t="shared" ca="1" si="35"/>
        <v>0</v>
      </c>
    </row>
    <row r="251" spans="1:46" s="539" customFormat="1" ht="16.399999999999999" customHeight="1" outlineLevel="1" x14ac:dyDescent="0.35">
      <c r="A251" s="534" t="s">
        <v>782</v>
      </c>
      <c r="B251" s="534" t="s">
        <v>783</v>
      </c>
      <c r="C251" s="535" t="s">
        <v>1418</v>
      </c>
      <c r="D251" s="536" t="s">
        <v>817</v>
      </c>
      <c r="E251" s="536" t="s">
        <v>818</v>
      </c>
      <c r="F251" s="536" t="s">
        <v>819</v>
      </c>
      <c r="G251" s="536" t="s">
        <v>1431</v>
      </c>
      <c r="H251" s="536" t="s">
        <v>821</v>
      </c>
      <c r="I251" s="535" t="s">
        <v>1433</v>
      </c>
      <c r="J251" s="536" t="s">
        <v>430</v>
      </c>
      <c r="K251" s="536" t="s">
        <v>570</v>
      </c>
      <c r="L251" s="535" t="s">
        <v>822</v>
      </c>
      <c r="M251" s="536" t="s">
        <v>823</v>
      </c>
      <c r="N251" s="536"/>
      <c r="O251" s="535"/>
      <c r="P251" s="536"/>
      <c r="Q251" s="536"/>
      <c r="R251" s="537">
        <f ca="1">SUMIF(CPQL!$D$5:$W$68,'FORM OH'!$I$251,CPQL!K5:K68)</f>
        <v>666225</v>
      </c>
      <c r="S251" s="537">
        <f ca="1">SUMIF(CPQL!$D$5:$W$68,'FORM OH'!$I$251,CPQL!L5:L68)</f>
        <v>666225</v>
      </c>
      <c r="T251" s="537">
        <f ca="1">SUMIF(CPQL!$D$5:$W$68,'FORM OH'!$I$251,CPQL!M5:M68)</f>
        <v>666225</v>
      </c>
      <c r="U251" s="537">
        <f ca="1">SUMIF(CPQL!$D$5:$W$68,'FORM OH'!$I$251,CPQL!N5:N68)</f>
        <v>666225</v>
      </c>
      <c r="V251" s="537">
        <f ca="1">SUMIF(CPQL!$D$5:$W$68,'FORM OH'!$I$251,CPQL!O5:O68)</f>
        <v>666225</v>
      </c>
      <c r="W251" s="537">
        <f ca="1">SUMIF(CPQL!$D$5:$W$68,'FORM OH'!$I$251,CPQL!P5:P68)</f>
        <v>666225</v>
      </c>
      <c r="X251" s="537">
        <f ca="1">SUMIF(CPQL!$D$5:$W$68,'FORM OH'!$I$251,CPQL!Q5:Q68)</f>
        <v>666225</v>
      </c>
      <c r="Y251" s="537">
        <f ca="1">SUMIF(CPQL!$D$5:$W$68,'FORM OH'!$I$251,CPQL!R5:R68)</f>
        <v>666225</v>
      </c>
      <c r="Z251" s="537">
        <f ca="1">SUMIF(CPQL!$D$5:$W$68,'FORM OH'!$I$251,CPQL!S5:S68)</f>
        <v>666225</v>
      </c>
      <c r="AA251" s="537">
        <f ca="1">SUMIF(CPQL!$D$5:$W$68,'FORM OH'!$I$251,CPQL!T5:T68)</f>
        <v>666225</v>
      </c>
      <c r="AB251" s="537">
        <f ca="1">SUMIF(CPQL!$D$5:$W$68,'FORM OH'!$I$251,CPQL!U5:U68)</f>
        <v>666225</v>
      </c>
      <c r="AC251" s="537">
        <f ca="1">SUMIF(CPQL!$D$5:$W$68,'FORM OH'!$I$251,CPQL!V5:V68)</f>
        <v>666225</v>
      </c>
      <c r="AD251" s="537">
        <f t="shared" ca="1" si="42"/>
        <v>7994700</v>
      </c>
      <c r="AE251" s="533"/>
      <c r="AF251" s="537">
        <f ca="1">SUMIF(CPQL!$D$5:$W$68,'FORM OH'!$I$251,CPQL!Y5:Y68)</f>
        <v>0</v>
      </c>
      <c r="AG251" s="537">
        <f ca="1">SUMIF(CPQL!$D$5:$W$68,'FORM OH'!$I$251,CPQL!Z5:Z68)</f>
        <v>0</v>
      </c>
      <c r="AH251" s="537">
        <f ca="1">SUMIF(CPQL!$D$5:$W$68,'FORM OH'!$I$251,CPQL!AA5:AA68)</f>
        <v>0</v>
      </c>
      <c r="AI251" s="537">
        <f ca="1">SUMIF(CPQL!$D$5:$W$68,'FORM OH'!$I$251,CPQL!AB5:AB68)</f>
        <v>0</v>
      </c>
      <c r="AJ251" s="537">
        <f ca="1">SUMIF(CPQL!$D$5:$W$68,'FORM OH'!$I$251,CPQL!AC5:AC68)</f>
        <v>0</v>
      </c>
      <c r="AK251" s="537">
        <f ca="1">SUMIF(CPQL!$D$5:$W$68,'FORM OH'!$I$251,CPQL!AD5:AD68)</f>
        <v>0</v>
      </c>
      <c r="AL251" s="537">
        <f ca="1">SUMIF(CPQL!$D$5:$W$68,'FORM OH'!$I$251,CPQL!AE5:AE68)</f>
        <v>0</v>
      </c>
      <c r="AM251" s="537">
        <f ca="1">SUMIF(CPQL!$D$5:$W$68,'FORM OH'!$I$251,CPQL!AF5:AF68)</f>
        <v>0</v>
      </c>
      <c r="AN251" s="537">
        <f ca="1">SUMIF(CPQL!$D$5:$W$68,'FORM OH'!$I$251,CPQL!AG5:AG68)</f>
        <v>0</v>
      </c>
      <c r="AO251" s="537">
        <f ca="1">SUMIF(CPQL!$D$5:$W$68,'FORM OH'!$I$251,CPQL!AH5:AH68)</f>
        <v>0</v>
      </c>
      <c r="AP251" s="537">
        <f ca="1">SUMIF(CPQL!$D$5:$W$68,'FORM OH'!$I$251,CPQL!AI5:AI68)</f>
        <v>0</v>
      </c>
      <c r="AQ251" s="537">
        <f ca="1">SUMIF(CPQL!$D$5:$W$68,'FORM OH'!$I$251,CPQL!AJ5:AJ68)</f>
        <v>0</v>
      </c>
      <c r="AR251" s="1284">
        <f t="shared" ca="1" si="39"/>
        <v>0</v>
      </c>
      <c r="AS251" s="1284">
        <f t="shared" ca="1" si="34"/>
        <v>7994700</v>
      </c>
      <c r="AT251" s="1297">
        <f t="shared" ca="1" si="35"/>
        <v>0</v>
      </c>
    </row>
    <row r="252" spans="1:46" s="539" customFormat="1" ht="16.399999999999999" customHeight="1" outlineLevel="1" x14ac:dyDescent="0.35">
      <c r="A252" s="534" t="s">
        <v>782</v>
      </c>
      <c r="B252" s="534" t="s">
        <v>783</v>
      </c>
      <c r="C252" s="535" t="s">
        <v>1418</v>
      </c>
      <c r="D252" s="536" t="s">
        <v>817</v>
      </c>
      <c r="E252" s="536" t="s">
        <v>818</v>
      </c>
      <c r="F252" s="536" t="s">
        <v>824</v>
      </c>
      <c r="G252" s="536" t="s">
        <v>1431</v>
      </c>
      <c r="H252" s="536" t="s">
        <v>848</v>
      </c>
      <c r="I252" s="535" t="s">
        <v>1434</v>
      </c>
      <c r="J252" s="536" t="s">
        <v>431</v>
      </c>
      <c r="K252" s="536" t="s">
        <v>570</v>
      </c>
      <c r="L252" s="535" t="s">
        <v>825</v>
      </c>
      <c r="M252" s="536" t="s">
        <v>826</v>
      </c>
      <c r="N252" s="536"/>
      <c r="O252" s="535"/>
      <c r="P252" s="536"/>
      <c r="Q252" s="536"/>
      <c r="R252" s="537">
        <f ca="1">SUMIF(CPQL!$D$5:$W$68,'FORM OH'!$I$252,CPQL!K5:K68)</f>
        <v>0</v>
      </c>
      <c r="S252" s="537">
        <f ca="1">SUMIF(CPQL!$D$5:$W$68,'FORM OH'!$I$252,CPQL!L5:L68)</f>
        <v>38500000</v>
      </c>
      <c r="T252" s="537">
        <f ca="1">SUMIF(CPQL!$D$5:$W$68,'FORM OH'!$I$252,CPQL!M5:M68)</f>
        <v>0</v>
      </c>
      <c r="U252" s="537">
        <f ca="1">SUMIF(CPQL!$D$5:$W$68,'FORM OH'!$I$252,CPQL!N5:N68)</f>
        <v>0</v>
      </c>
      <c r="V252" s="537">
        <f ca="1">SUMIF(CPQL!$D$5:$W$68,'FORM OH'!$I$252,CPQL!O5:O68)</f>
        <v>0</v>
      </c>
      <c r="W252" s="537">
        <f ca="1">SUMIF(CPQL!$D$5:$W$68,'FORM OH'!$I$252,CPQL!P5:P68)</f>
        <v>0</v>
      </c>
      <c r="X252" s="537">
        <f ca="1">SUMIF(CPQL!$D$5:$W$68,'FORM OH'!$I$252,CPQL!Q5:Q68)</f>
        <v>0</v>
      </c>
      <c r="Y252" s="537">
        <f ca="1">SUMIF(CPQL!$D$5:$W$68,'FORM OH'!$I$252,CPQL!R5:R68)</f>
        <v>0</v>
      </c>
      <c r="Z252" s="537">
        <f ca="1">SUMIF(CPQL!$D$5:$W$68,'FORM OH'!$I$252,CPQL!S5:S68)</f>
        <v>0</v>
      </c>
      <c r="AA252" s="537">
        <f ca="1">SUMIF(CPQL!$D$5:$W$68,'FORM OH'!$I$252,CPQL!T5:T68)</f>
        <v>0</v>
      </c>
      <c r="AB252" s="537">
        <f ca="1">SUMIF(CPQL!$D$5:$W$68,'FORM OH'!$I$252,CPQL!U5:U68)</f>
        <v>0</v>
      </c>
      <c r="AC252" s="537">
        <f ca="1">SUMIF(CPQL!$D$5:$W$68,'FORM OH'!$I$252,CPQL!V5:V68)</f>
        <v>0</v>
      </c>
      <c r="AD252" s="537">
        <f t="shared" ca="1" si="42"/>
        <v>38500000</v>
      </c>
      <c r="AE252" s="533"/>
      <c r="AF252" s="537">
        <f ca="1">SUMIF(CPQL!$D$5:$W$68,'FORM OH'!$I$252,CPQL!Y5:Y68)</f>
        <v>0</v>
      </c>
      <c r="AG252" s="537">
        <f ca="1">SUMIF(CPQL!$D$5:$W$68,'FORM OH'!$I$252,CPQL!Z5:Z68)</f>
        <v>0</v>
      </c>
      <c r="AH252" s="537">
        <f ca="1">SUMIF(CPQL!$D$5:$W$68,'FORM OH'!$I$252,CPQL!AA5:AA68)</f>
        <v>0</v>
      </c>
      <c r="AI252" s="537">
        <f ca="1">SUMIF(CPQL!$D$5:$W$68,'FORM OH'!$I$252,CPQL!AB5:AB68)</f>
        <v>0</v>
      </c>
      <c r="AJ252" s="537">
        <f ca="1">SUMIF(CPQL!$D$5:$W$68,'FORM OH'!$I$252,CPQL!AC5:AC68)</f>
        <v>0</v>
      </c>
      <c r="AK252" s="537">
        <f ca="1">SUMIF(CPQL!$D$5:$W$68,'FORM OH'!$I$252,CPQL!AD5:AD68)</f>
        <v>0</v>
      </c>
      <c r="AL252" s="537">
        <f ca="1">SUMIF(CPQL!$D$5:$W$68,'FORM OH'!$I$252,CPQL!AE5:AE68)</f>
        <v>0</v>
      </c>
      <c r="AM252" s="537">
        <f ca="1">SUMIF(CPQL!$D$5:$W$68,'FORM OH'!$I$252,CPQL!AF5:AF68)</f>
        <v>0</v>
      </c>
      <c r="AN252" s="537">
        <f ca="1">SUMIF(CPQL!$D$5:$W$68,'FORM OH'!$I$252,CPQL!AG5:AG68)</f>
        <v>0</v>
      </c>
      <c r="AO252" s="537">
        <f ca="1">SUMIF(CPQL!$D$5:$W$68,'FORM OH'!$I$252,CPQL!AH5:AH68)</f>
        <v>0</v>
      </c>
      <c r="AP252" s="537">
        <f ca="1">SUMIF(CPQL!$D$5:$W$68,'FORM OH'!$I$252,CPQL!AI5:AI68)</f>
        <v>0</v>
      </c>
      <c r="AQ252" s="537">
        <f ca="1">SUMIF(CPQL!$D$5:$W$68,'FORM OH'!$I$252,CPQL!AJ5:AJ68)</f>
        <v>0</v>
      </c>
      <c r="AR252" s="1284">
        <f t="shared" ca="1" si="39"/>
        <v>0</v>
      </c>
      <c r="AS252" s="1284">
        <f t="shared" ca="1" si="34"/>
        <v>38500000</v>
      </c>
      <c r="AT252" s="1297">
        <f t="shared" ca="1" si="35"/>
        <v>0</v>
      </c>
    </row>
    <row r="253" spans="1:46" s="539" customFormat="1" ht="16.399999999999999" customHeight="1" x14ac:dyDescent="0.35">
      <c r="A253" s="528" t="s">
        <v>782</v>
      </c>
      <c r="B253" s="528" t="s">
        <v>783</v>
      </c>
      <c r="C253" s="529" t="s">
        <v>1418</v>
      </c>
      <c r="D253" s="529"/>
      <c r="E253" s="529"/>
      <c r="F253" s="529"/>
      <c r="G253" s="529"/>
      <c r="H253" s="530" t="s">
        <v>1435</v>
      </c>
      <c r="I253" s="530" t="s">
        <v>1436</v>
      </c>
      <c r="J253" s="542"/>
      <c r="K253" s="529"/>
      <c r="L253" s="529"/>
      <c r="M253" s="529"/>
      <c r="N253" s="542"/>
      <c r="O253" s="530" t="s">
        <v>1436</v>
      </c>
      <c r="P253" s="542"/>
      <c r="Q253" s="542"/>
      <c r="R253" s="532">
        <f ca="1">SUM(R254:R340)</f>
        <v>136269034.36747622</v>
      </c>
      <c r="S253" s="532">
        <f t="shared" ref="S253:AC253" ca="1" si="43">SUM(S254:S340)</f>
        <v>126291984.36747622</v>
      </c>
      <c r="T253" s="532">
        <f t="shared" ca="1" si="43"/>
        <v>109546172.36747622</v>
      </c>
      <c r="U253" s="532">
        <f t="shared" ca="1" si="43"/>
        <v>104108318.36747622</v>
      </c>
      <c r="V253" s="532">
        <f t="shared" ca="1" si="43"/>
        <v>108275602.36747622</v>
      </c>
      <c r="W253" s="532">
        <f t="shared" ca="1" si="43"/>
        <v>100570089.36747622</v>
      </c>
      <c r="X253" s="532">
        <f t="shared" ca="1" si="43"/>
        <v>103299274.36747622</v>
      </c>
      <c r="Y253" s="532">
        <f t="shared" ca="1" si="43"/>
        <v>159213790.3674762</v>
      </c>
      <c r="Z253" s="532">
        <f t="shared" ca="1" si="43"/>
        <v>97683450.367476225</v>
      </c>
      <c r="AA253" s="532">
        <f t="shared" ca="1" si="43"/>
        <v>110602850.36747622</v>
      </c>
      <c r="AB253" s="532">
        <f t="shared" ca="1" si="43"/>
        <v>97155550.367476225</v>
      </c>
      <c r="AC253" s="532">
        <f t="shared" ca="1" si="43"/>
        <v>106839050.36747621</v>
      </c>
      <c r="AD253" s="532">
        <f ca="1">SUM(AD254:AD340)</f>
        <v>1359855167.4097145</v>
      </c>
      <c r="AE253" s="533"/>
      <c r="AF253" s="532">
        <f t="shared" ref="AF253:AR253" ca="1" si="44">SUM(AF254:AF340)</f>
        <v>68117503</v>
      </c>
      <c r="AG253" s="532">
        <f t="shared" ca="1" si="44"/>
        <v>39859046</v>
      </c>
      <c r="AH253" s="532">
        <f t="shared" ca="1" si="44"/>
        <v>40662602</v>
      </c>
      <c r="AI253" s="532">
        <f t="shared" ca="1" si="44"/>
        <v>42352804</v>
      </c>
      <c r="AJ253" s="532">
        <f t="shared" ca="1" si="44"/>
        <v>64925981</v>
      </c>
      <c r="AK253" s="532">
        <f t="shared" ca="1" si="44"/>
        <v>47922658</v>
      </c>
      <c r="AL253" s="532">
        <f t="shared" ca="1" si="44"/>
        <v>128914417</v>
      </c>
      <c r="AM253" s="532">
        <f t="shared" ca="1" si="44"/>
        <v>91681838</v>
      </c>
      <c r="AN253" s="532">
        <f t="shared" ca="1" si="44"/>
        <v>92484192</v>
      </c>
      <c r="AO253" s="532">
        <f t="shared" ca="1" si="44"/>
        <v>96685635</v>
      </c>
      <c r="AP253" s="532">
        <f t="shared" ca="1" si="44"/>
        <v>91523300</v>
      </c>
      <c r="AQ253" s="532">
        <f t="shared" ca="1" si="44"/>
        <v>96988568</v>
      </c>
      <c r="AR253" s="1283">
        <f t="shared" ca="1" si="44"/>
        <v>902118544</v>
      </c>
      <c r="AS253" s="1283">
        <f t="shared" ca="1" si="34"/>
        <v>457736623.40971446</v>
      </c>
      <c r="AT253" s="1298">
        <f t="shared" ca="1" si="35"/>
        <v>0.50740185583604902</v>
      </c>
    </row>
    <row r="254" spans="1:46" s="539" customFormat="1" ht="16.399999999999999" customHeight="1" outlineLevel="1" x14ac:dyDescent="0.35">
      <c r="A254" s="534" t="s">
        <v>782</v>
      </c>
      <c r="B254" s="534" t="s">
        <v>783</v>
      </c>
      <c r="C254" s="535" t="s">
        <v>1418</v>
      </c>
      <c r="D254" s="536" t="s">
        <v>817</v>
      </c>
      <c r="E254" s="536" t="s">
        <v>818</v>
      </c>
      <c r="F254" s="536" t="s">
        <v>871</v>
      </c>
      <c r="G254" s="536" t="s">
        <v>1431</v>
      </c>
      <c r="H254" s="536" t="s">
        <v>850</v>
      </c>
      <c r="I254" s="535" t="s">
        <v>1437</v>
      </c>
      <c r="J254" s="536" t="s">
        <v>877</v>
      </c>
      <c r="K254" s="536" t="s">
        <v>570</v>
      </c>
      <c r="L254" s="535" t="s">
        <v>874</v>
      </c>
      <c r="M254" s="536" t="s">
        <v>875</v>
      </c>
      <c r="N254" s="536"/>
      <c r="O254" s="535"/>
      <c r="P254" s="536"/>
      <c r="Q254" s="536"/>
      <c r="R254" s="537">
        <f ca="1">SUMIF(CPQL!$D$5:$W$68,'FORM OH'!$I$254,CPQL!K5:K68)</f>
        <v>0</v>
      </c>
      <c r="S254" s="537">
        <f ca="1">SUMIF(CPQL!$D$5:$W$68,'FORM OH'!$I$254,CPQL!L5:L68)</f>
        <v>0</v>
      </c>
      <c r="T254" s="537">
        <f ca="1">SUMIF(CPQL!$D$5:$W$68,'FORM OH'!$I$254,CPQL!M5:M68)</f>
        <v>0</v>
      </c>
      <c r="U254" s="537">
        <f ca="1">SUMIF(CPQL!$D$5:$W$68,'FORM OH'!$I$254,CPQL!N5:N68)</f>
        <v>0</v>
      </c>
      <c r="V254" s="537">
        <f ca="1">SUMIF(CPQL!$D$5:$W$68,'FORM OH'!$I$254,CPQL!O5:O68)</f>
        <v>0</v>
      </c>
      <c r="W254" s="537">
        <f ca="1">SUMIF(CPQL!$D$5:$W$68,'FORM OH'!$I$254,CPQL!P5:P68)</f>
        <v>0</v>
      </c>
      <c r="X254" s="537">
        <f ca="1">SUMIF(CPQL!$D$5:$W$68,'FORM OH'!$I$254,CPQL!Q5:Q68)</f>
        <v>0</v>
      </c>
      <c r="Y254" s="537">
        <f ca="1">SUMIF(CPQL!$D$5:$W$68,'FORM OH'!$I$254,CPQL!R5:R68)</f>
        <v>0</v>
      </c>
      <c r="Z254" s="537">
        <f ca="1">SUMIF(CPQL!$D$5:$W$68,'FORM OH'!$I$254,CPQL!S5:S68)</f>
        <v>0</v>
      </c>
      <c r="AA254" s="537">
        <f ca="1">SUMIF(CPQL!$D$5:$W$68,'FORM OH'!$I$254,CPQL!T5:T68)</f>
        <v>0</v>
      </c>
      <c r="AB254" s="537">
        <f ca="1">SUMIF(CPQL!$D$5:$W$68,'FORM OH'!$I$254,CPQL!U5:U68)</f>
        <v>0</v>
      </c>
      <c r="AC254" s="537">
        <f ca="1">SUMIF(CPQL!$D$5:$W$68,'FORM OH'!$I$254,CPQL!V5:V68)</f>
        <v>0</v>
      </c>
      <c r="AD254" s="537">
        <f t="shared" ca="1" si="42"/>
        <v>0</v>
      </c>
      <c r="AE254" s="533"/>
      <c r="AF254" s="537">
        <f ca="1">SUMIF(CPQL!$D$5:$W$68,'FORM OH'!$I$254,CPQL!Y5:Y68)</f>
        <v>0</v>
      </c>
      <c r="AG254" s="537">
        <f ca="1">SUMIF(CPQL!$D$5:$W$68,'FORM OH'!$I$254,CPQL!Z5:Z68)</f>
        <v>0</v>
      </c>
      <c r="AH254" s="537">
        <f ca="1">SUMIF(CPQL!$D$5:$W$68,'FORM OH'!$I$254,CPQL!AA5:AA68)</f>
        <v>0</v>
      </c>
      <c r="AI254" s="537">
        <f ca="1">SUMIF(CPQL!$D$5:$W$68,'FORM OH'!$I$254,CPQL!AB5:AB68)</f>
        <v>0</v>
      </c>
      <c r="AJ254" s="537">
        <f ca="1">SUMIF(CPQL!$D$5:$W$68,'FORM OH'!$I$254,CPQL!AC5:AC68)</f>
        <v>0</v>
      </c>
      <c r="AK254" s="537">
        <f ca="1">SUMIF(CPQL!$D$5:$W$68,'FORM OH'!$I$254,CPQL!AD5:AD68)</f>
        <v>0</v>
      </c>
      <c r="AL254" s="537">
        <f ca="1">SUMIF(CPQL!$D$5:$W$68,'FORM OH'!$I$254,CPQL!AE5:AE68)</f>
        <v>0</v>
      </c>
      <c r="AM254" s="537">
        <f ca="1">SUMIF(CPQL!$D$5:$W$68,'FORM OH'!$I$254,CPQL!AF5:AF68)</f>
        <v>0</v>
      </c>
      <c r="AN254" s="537">
        <f ca="1">SUMIF(CPQL!$D$5:$W$68,'FORM OH'!$I$254,CPQL!AG5:AG68)</f>
        <v>0</v>
      </c>
      <c r="AO254" s="537">
        <f ca="1">SUMIF(CPQL!$D$5:$W$68,'FORM OH'!$I$254,CPQL!AH5:AH68)</f>
        <v>0</v>
      </c>
      <c r="AP254" s="537">
        <f ca="1">SUMIF(CPQL!$D$5:$W$68,'FORM OH'!$I$254,CPQL!AI5:AI68)</f>
        <v>0</v>
      </c>
      <c r="AQ254" s="537">
        <f ca="1">SUMIF(CPQL!$D$5:$W$68,'FORM OH'!$I$254,CPQL!AJ5:AJ68)</f>
        <v>0</v>
      </c>
      <c r="AR254" s="1284">
        <f t="shared" ca="1" si="39"/>
        <v>0</v>
      </c>
      <c r="AS254" s="1284">
        <f t="shared" ca="1" si="34"/>
        <v>0</v>
      </c>
      <c r="AT254" s="1297">
        <f t="shared" ca="1" si="35"/>
        <v>0</v>
      </c>
    </row>
    <row r="255" spans="1:46" s="539" customFormat="1" ht="16.399999999999999" customHeight="1" outlineLevel="1" x14ac:dyDescent="0.35">
      <c r="A255" s="534" t="s">
        <v>782</v>
      </c>
      <c r="B255" s="534" t="s">
        <v>783</v>
      </c>
      <c r="C255" s="535" t="s">
        <v>1418</v>
      </c>
      <c r="D255" s="536" t="s">
        <v>817</v>
      </c>
      <c r="E255" s="536" t="s">
        <v>818</v>
      </c>
      <c r="F255" s="536" t="s">
        <v>883</v>
      </c>
      <c r="G255" s="536" t="s">
        <v>1431</v>
      </c>
      <c r="H255" s="536" t="s">
        <v>884</v>
      </c>
      <c r="I255" s="535" t="s">
        <v>1438</v>
      </c>
      <c r="J255" s="536" t="s">
        <v>902</v>
      </c>
      <c r="K255" s="536" t="s">
        <v>572</v>
      </c>
      <c r="L255" s="535" t="s">
        <v>903</v>
      </c>
      <c r="M255" s="536" t="s">
        <v>891</v>
      </c>
      <c r="N255" s="536"/>
      <c r="O255" s="535"/>
      <c r="P255" s="536"/>
      <c r="Q255" s="536"/>
      <c r="R255" s="537">
        <f ca="1">SUMIF(CPQL!$D$5:$W$68,'FORM OH'!$I$255,CPQL!K5:K68)</f>
        <v>0</v>
      </c>
      <c r="S255" s="537">
        <f ca="1">SUMIF(CPQL!$D$5:$W$68,'FORM OH'!$I$255,CPQL!L5:L68)</f>
        <v>0</v>
      </c>
      <c r="T255" s="537">
        <f ca="1">SUMIF(CPQL!$D$5:$W$68,'FORM OH'!$I$255,CPQL!M5:M68)</f>
        <v>0</v>
      </c>
      <c r="U255" s="537">
        <f ca="1">SUMIF(CPQL!$D$5:$W$68,'FORM OH'!$I$255,CPQL!N5:N68)</f>
        <v>0</v>
      </c>
      <c r="V255" s="537">
        <f ca="1">SUMIF(CPQL!$D$5:$W$68,'FORM OH'!$I$255,CPQL!O5:O68)</f>
        <v>0</v>
      </c>
      <c r="W255" s="537">
        <f ca="1">SUMIF(CPQL!$D$5:$W$68,'FORM OH'!$I$255,CPQL!P5:P68)</f>
        <v>0</v>
      </c>
      <c r="X255" s="537">
        <f ca="1">SUMIF(CPQL!$D$5:$W$68,'FORM OH'!$I$255,CPQL!Q5:Q68)</f>
        <v>0</v>
      </c>
      <c r="Y255" s="537">
        <f ca="1">SUMIF(CPQL!$D$5:$W$68,'FORM OH'!$I$255,CPQL!R5:R68)</f>
        <v>0</v>
      </c>
      <c r="Z255" s="537">
        <f ca="1">SUMIF(CPQL!$D$5:$W$68,'FORM OH'!$I$255,CPQL!S5:S68)</f>
        <v>0</v>
      </c>
      <c r="AA255" s="537">
        <f ca="1">SUMIF(CPQL!$D$5:$W$68,'FORM OH'!$I$255,CPQL!T5:T68)</f>
        <v>0</v>
      </c>
      <c r="AB255" s="537">
        <f ca="1">SUMIF(CPQL!$D$5:$W$68,'FORM OH'!$I$255,CPQL!U5:U68)</f>
        <v>0</v>
      </c>
      <c r="AC255" s="537">
        <f ca="1">SUMIF(CPQL!$D$5:$W$68,'FORM OH'!$I$255,CPQL!V5:V68)</f>
        <v>0</v>
      </c>
      <c r="AD255" s="537">
        <f t="shared" ca="1" si="42"/>
        <v>0</v>
      </c>
      <c r="AE255" s="533"/>
      <c r="AF255" s="537">
        <f ca="1">SUMIF(CPQL!$D$5:$W$68,'FORM OH'!$I$255,CPQL!Y5:Y68)</f>
        <v>0</v>
      </c>
      <c r="AG255" s="537">
        <f ca="1">SUMIF(CPQL!$D$5:$W$68,'FORM OH'!$I$255,CPQL!Z5:Z68)</f>
        <v>0</v>
      </c>
      <c r="AH255" s="537">
        <f ca="1">SUMIF(CPQL!$D$5:$W$68,'FORM OH'!$I$255,CPQL!AA5:AA68)</f>
        <v>0</v>
      </c>
      <c r="AI255" s="537">
        <f ca="1">SUMIF(CPQL!$D$5:$W$68,'FORM OH'!$I$255,CPQL!AB5:AB68)</f>
        <v>0</v>
      </c>
      <c r="AJ255" s="537">
        <f ca="1">SUMIF(CPQL!$D$5:$W$68,'FORM OH'!$I$255,CPQL!AC5:AC68)</f>
        <v>0</v>
      </c>
      <c r="AK255" s="537">
        <f ca="1">SUMIF(CPQL!$D$5:$W$68,'FORM OH'!$I$255,CPQL!AD5:AD68)</f>
        <v>0</v>
      </c>
      <c r="AL255" s="537">
        <f ca="1">SUMIF(CPQL!$D$5:$W$68,'FORM OH'!$I$255,CPQL!AE5:AE68)</f>
        <v>0</v>
      </c>
      <c r="AM255" s="537">
        <f ca="1">SUMIF(CPQL!$D$5:$W$68,'FORM OH'!$I$255,CPQL!AF5:AF68)</f>
        <v>0</v>
      </c>
      <c r="AN255" s="537">
        <f ca="1">SUMIF(CPQL!$D$5:$W$68,'FORM OH'!$I$255,CPQL!AG5:AG68)</f>
        <v>0</v>
      </c>
      <c r="AO255" s="537">
        <f ca="1">SUMIF(CPQL!$D$5:$W$68,'FORM OH'!$I$255,CPQL!AH5:AH68)</f>
        <v>0</v>
      </c>
      <c r="AP255" s="537">
        <f ca="1">SUMIF(CPQL!$D$5:$W$68,'FORM OH'!$I$255,CPQL!AI5:AI68)</f>
        <v>0</v>
      </c>
      <c r="AQ255" s="537">
        <f ca="1">SUMIF(CPQL!$D$5:$W$68,'FORM OH'!$I$255,CPQL!AJ5:AJ68)</f>
        <v>0</v>
      </c>
      <c r="AR255" s="1284">
        <f t="shared" ca="1" si="39"/>
        <v>0</v>
      </c>
      <c r="AS255" s="1284">
        <f t="shared" ca="1" si="34"/>
        <v>0</v>
      </c>
      <c r="AT255" s="1297">
        <f t="shared" ca="1" si="35"/>
        <v>0</v>
      </c>
    </row>
    <row r="256" spans="1:46" s="539" customFormat="1" ht="16.399999999999999" customHeight="1" outlineLevel="1" x14ac:dyDescent="0.35">
      <c r="A256" s="534" t="s">
        <v>782</v>
      </c>
      <c r="B256" s="534" t="s">
        <v>783</v>
      </c>
      <c r="C256" s="535" t="s">
        <v>1418</v>
      </c>
      <c r="D256" s="536" t="s">
        <v>817</v>
      </c>
      <c r="E256" s="536" t="s">
        <v>818</v>
      </c>
      <c r="F256" s="536" t="s">
        <v>923</v>
      </c>
      <c r="G256" s="536" t="s">
        <v>1431</v>
      </c>
      <c r="H256" s="536" t="s">
        <v>924</v>
      </c>
      <c r="I256" s="535" t="s">
        <v>1439</v>
      </c>
      <c r="J256" s="536" t="s">
        <v>433</v>
      </c>
      <c r="K256" s="536" t="s">
        <v>578</v>
      </c>
      <c r="L256" s="535" t="s">
        <v>926</v>
      </c>
      <c r="M256" s="536" t="s">
        <v>924</v>
      </c>
      <c r="N256" s="536"/>
      <c r="O256" s="535"/>
      <c r="P256" s="536"/>
      <c r="Q256" s="536"/>
      <c r="R256" s="537">
        <f ca="1">SUMIF(CPQL!$D$5:$W$68,'FORM OH'!$I$256,CPQL!K5:K68)</f>
        <v>0</v>
      </c>
      <c r="S256" s="537">
        <f ca="1">SUMIF(CPQL!$D$5:$W$68,'FORM OH'!$I$256,CPQL!L5:L68)</f>
        <v>0</v>
      </c>
      <c r="T256" s="537">
        <f ca="1">SUMIF(CPQL!$D$5:$W$68,'FORM OH'!$I$256,CPQL!M5:M68)</f>
        <v>0</v>
      </c>
      <c r="U256" s="537">
        <f ca="1">SUMIF(CPQL!$D$5:$W$68,'FORM OH'!$I$256,CPQL!N5:N68)</f>
        <v>0</v>
      </c>
      <c r="V256" s="537">
        <f ca="1">SUMIF(CPQL!$D$5:$W$68,'FORM OH'!$I$256,CPQL!O5:O68)</f>
        <v>0</v>
      </c>
      <c r="W256" s="537">
        <f ca="1">SUMIF(CPQL!$D$5:$W$68,'FORM OH'!$I$256,CPQL!P5:P68)</f>
        <v>0</v>
      </c>
      <c r="X256" s="537">
        <f ca="1">SUMIF(CPQL!$D$5:$W$68,'FORM OH'!$I$256,CPQL!Q5:Q68)</f>
        <v>0</v>
      </c>
      <c r="Y256" s="537">
        <f ca="1">SUMIF(CPQL!$D$5:$W$68,'FORM OH'!$I$256,CPQL!R5:R68)</f>
        <v>0</v>
      </c>
      <c r="Z256" s="537">
        <f ca="1">SUMIF(CPQL!$D$5:$W$68,'FORM OH'!$I$256,CPQL!S5:S68)</f>
        <v>0</v>
      </c>
      <c r="AA256" s="537">
        <f ca="1">SUMIF(CPQL!$D$5:$W$68,'FORM OH'!$I$256,CPQL!T5:T68)</f>
        <v>0</v>
      </c>
      <c r="AB256" s="537">
        <f ca="1">SUMIF(CPQL!$D$5:$W$68,'FORM OH'!$I$256,CPQL!U5:U68)</f>
        <v>0</v>
      </c>
      <c r="AC256" s="537">
        <f ca="1">SUMIF(CPQL!$D$5:$W$68,'FORM OH'!$I$256,CPQL!V5:V68)</f>
        <v>0</v>
      </c>
      <c r="AD256" s="537">
        <f t="shared" ca="1" si="42"/>
        <v>0</v>
      </c>
      <c r="AE256" s="533"/>
      <c r="AF256" s="537">
        <f ca="1">SUMIF(CPQL!$D$5:$W$68,'FORM OH'!$I$256,CPQL!Y5:Y68)</f>
        <v>0</v>
      </c>
      <c r="AG256" s="537">
        <f ca="1">SUMIF(CPQL!$D$5:$W$68,'FORM OH'!$I$256,CPQL!Z5:Z68)</f>
        <v>0</v>
      </c>
      <c r="AH256" s="537">
        <f ca="1">SUMIF(CPQL!$D$5:$W$68,'FORM OH'!$I$256,CPQL!AA5:AA68)</f>
        <v>0</v>
      </c>
      <c r="AI256" s="537">
        <f ca="1">SUMIF(CPQL!$D$5:$W$68,'FORM OH'!$I$256,CPQL!AB5:AB68)</f>
        <v>0</v>
      </c>
      <c r="AJ256" s="537">
        <f ca="1">SUMIF(CPQL!$D$5:$W$68,'FORM OH'!$I$256,CPQL!AC5:AC68)</f>
        <v>0</v>
      </c>
      <c r="AK256" s="537">
        <f ca="1">SUMIF(CPQL!$D$5:$W$68,'FORM OH'!$I$256,CPQL!AD5:AD68)</f>
        <v>0</v>
      </c>
      <c r="AL256" s="537">
        <f ca="1">SUMIF(CPQL!$D$5:$W$68,'FORM OH'!$I$256,CPQL!AE5:AE68)</f>
        <v>0</v>
      </c>
      <c r="AM256" s="537">
        <f ca="1">SUMIF(CPQL!$D$5:$W$68,'FORM OH'!$I$256,CPQL!AF5:AF68)</f>
        <v>0</v>
      </c>
      <c r="AN256" s="537">
        <f ca="1">SUMIF(CPQL!$D$5:$W$68,'FORM OH'!$I$256,CPQL!AG5:AG68)</f>
        <v>0</v>
      </c>
      <c r="AO256" s="537">
        <f ca="1">SUMIF(CPQL!$D$5:$W$68,'FORM OH'!$I$256,CPQL!AH5:AH68)</f>
        <v>0</v>
      </c>
      <c r="AP256" s="537">
        <f ca="1">SUMIF(CPQL!$D$5:$W$68,'FORM OH'!$I$256,CPQL!AI5:AI68)</f>
        <v>0</v>
      </c>
      <c r="AQ256" s="537">
        <f ca="1">SUMIF(CPQL!$D$5:$W$68,'FORM OH'!$I$256,CPQL!AJ5:AJ68)</f>
        <v>0</v>
      </c>
      <c r="AR256" s="1284">
        <f t="shared" ca="1" si="39"/>
        <v>0</v>
      </c>
      <c r="AS256" s="1284">
        <f t="shared" ca="1" si="34"/>
        <v>0</v>
      </c>
      <c r="AT256" s="1297">
        <f t="shared" ca="1" si="35"/>
        <v>0</v>
      </c>
    </row>
    <row r="257" spans="1:46" s="539" customFormat="1" ht="16.399999999999999" customHeight="1" outlineLevel="1" x14ac:dyDescent="0.35">
      <c r="A257" s="534" t="s">
        <v>782</v>
      </c>
      <c r="B257" s="534" t="s">
        <v>783</v>
      </c>
      <c r="C257" s="535" t="s">
        <v>1418</v>
      </c>
      <c r="D257" s="536" t="s">
        <v>817</v>
      </c>
      <c r="E257" s="536" t="s">
        <v>818</v>
      </c>
      <c r="F257" s="536" t="s">
        <v>927</v>
      </c>
      <c r="G257" s="536" t="s">
        <v>1431</v>
      </c>
      <c r="H257" s="536" t="s">
        <v>469</v>
      </c>
      <c r="I257" s="535" t="s">
        <v>1440</v>
      </c>
      <c r="J257" s="536" t="s">
        <v>473</v>
      </c>
      <c r="K257" s="536" t="s">
        <v>579</v>
      </c>
      <c r="L257" s="535" t="s">
        <v>930</v>
      </c>
      <c r="M257" s="536" t="s">
        <v>469</v>
      </c>
      <c r="N257" s="536"/>
      <c r="O257" s="535"/>
      <c r="P257" s="536"/>
      <c r="Q257" s="536"/>
      <c r="R257" s="537">
        <f ca="1">SUMIF(CPQL!$D$5:$W$68,'FORM OH'!$I$257,CPQL!K5:K68)</f>
        <v>0</v>
      </c>
      <c r="S257" s="537">
        <f ca="1">SUMIF(CPQL!$D$5:$W$68,'FORM OH'!$I$257,CPQL!L5:L68)</f>
        <v>0</v>
      </c>
      <c r="T257" s="537">
        <f ca="1">SUMIF(CPQL!$D$5:$W$68,'FORM OH'!$I$257,CPQL!M5:M68)</f>
        <v>0</v>
      </c>
      <c r="U257" s="537">
        <f ca="1">SUMIF(CPQL!$D$5:$W$68,'FORM OH'!$I$257,CPQL!N5:N68)</f>
        <v>0</v>
      </c>
      <c r="V257" s="537">
        <f ca="1">SUMIF(CPQL!$D$5:$W$68,'FORM OH'!$I$257,CPQL!O5:O68)</f>
        <v>0</v>
      </c>
      <c r="W257" s="537">
        <f ca="1">SUMIF(CPQL!$D$5:$W$68,'FORM OH'!$I$257,CPQL!P5:P68)</f>
        <v>0</v>
      </c>
      <c r="X257" s="537">
        <f ca="1">SUMIF(CPQL!$D$5:$W$68,'FORM OH'!$I$257,CPQL!Q5:Q68)</f>
        <v>0</v>
      </c>
      <c r="Y257" s="537">
        <f ca="1">SUMIF(CPQL!$D$5:$W$68,'FORM OH'!$I$257,CPQL!R5:R68)</f>
        <v>0</v>
      </c>
      <c r="Z257" s="537">
        <f ca="1">SUMIF(CPQL!$D$5:$W$68,'FORM OH'!$I$257,CPQL!S5:S68)</f>
        <v>0</v>
      </c>
      <c r="AA257" s="537">
        <f ca="1">SUMIF(CPQL!$D$5:$W$68,'FORM OH'!$I$257,CPQL!T5:T68)</f>
        <v>0</v>
      </c>
      <c r="AB257" s="537">
        <f ca="1">SUMIF(CPQL!$D$5:$W$68,'FORM OH'!$I$257,CPQL!U5:U68)</f>
        <v>0</v>
      </c>
      <c r="AC257" s="537">
        <f ca="1">SUMIF(CPQL!$D$5:$W$68,'FORM OH'!$I$257,CPQL!V5:V68)</f>
        <v>0</v>
      </c>
      <c r="AD257" s="537">
        <f t="shared" ca="1" si="42"/>
        <v>0</v>
      </c>
      <c r="AE257" s="533"/>
      <c r="AF257" s="537">
        <f ca="1">SUMIF(CPQL!$D$5:$W$68,'FORM OH'!$I$257,CPQL!Y5:Y68)</f>
        <v>0</v>
      </c>
      <c r="AG257" s="537">
        <f ca="1">SUMIF(CPQL!$D$5:$W$68,'FORM OH'!$I$257,CPQL!Z5:Z68)</f>
        <v>0</v>
      </c>
      <c r="AH257" s="537">
        <f ca="1">SUMIF(CPQL!$D$5:$W$68,'FORM OH'!$I$257,CPQL!AA5:AA68)</f>
        <v>0</v>
      </c>
      <c r="AI257" s="537">
        <f ca="1">SUMIF(CPQL!$D$5:$W$68,'FORM OH'!$I$257,CPQL!AB5:AB68)</f>
        <v>0</v>
      </c>
      <c r="AJ257" s="537">
        <f ca="1">SUMIF(CPQL!$D$5:$W$68,'FORM OH'!$I$257,CPQL!AC5:AC68)</f>
        <v>0</v>
      </c>
      <c r="AK257" s="537">
        <f ca="1">SUMIF(CPQL!$D$5:$W$68,'FORM OH'!$I$257,CPQL!AD5:AD68)</f>
        <v>0</v>
      </c>
      <c r="AL257" s="537">
        <f ca="1">SUMIF(CPQL!$D$5:$W$68,'FORM OH'!$I$257,CPQL!AE5:AE68)</f>
        <v>0</v>
      </c>
      <c r="AM257" s="537">
        <f ca="1">SUMIF(CPQL!$D$5:$W$68,'FORM OH'!$I$257,CPQL!AF5:AF68)</f>
        <v>0</v>
      </c>
      <c r="AN257" s="537">
        <f ca="1">SUMIF(CPQL!$D$5:$W$68,'FORM OH'!$I$257,CPQL!AG5:AG68)</f>
        <v>0</v>
      </c>
      <c r="AO257" s="537">
        <f ca="1">SUMIF(CPQL!$D$5:$W$68,'FORM OH'!$I$257,CPQL!AH5:AH68)</f>
        <v>0</v>
      </c>
      <c r="AP257" s="537">
        <f ca="1">SUMIF(CPQL!$D$5:$W$68,'FORM OH'!$I$257,CPQL!AI5:AI68)</f>
        <v>0</v>
      </c>
      <c r="AQ257" s="537">
        <f ca="1">SUMIF(CPQL!$D$5:$W$68,'FORM OH'!$I$257,CPQL!AJ5:AJ68)</f>
        <v>0</v>
      </c>
      <c r="AR257" s="1284">
        <f t="shared" ca="1" si="39"/>
        <v>0</v>
      </c>
      <c r="AS257" s="1284">
        <f t="shared" ca="1" si="34"/>
        <v>0</v>
      </c>
      <c r="AT257" s="1297">
        <f t="shared" ca="1" si="35"/>
        <v>0</v>
      </c>
    </row>
    <row r="258" spans="1:46" s="539" customFormat="1" ht="16.399999999999999" customHeight="1" outlineLevel="1" x14ac:dyDescent="0.35">
      <c r="A258" s="534" t="s">
        <v>782</v>
      </c>
      <c r="B258" s="534" t="s">
        <v>783</v>
      </c>
      <c r="C258" s="535" t="s">
        <v>1418</v>
      </c>
      <c r="D258" s="536" t="s">
        <v>817</v>
      </c>
      <c r="E258" s="536" t="s">
        <v>818</v>
      </c>
      <c r="F258" s="536" t="s">
        <v>927</v>
      </c>
      <c r="G258" s="536" t="s">
        <v>1431</v>
      </c>
      <c r="H258" s="536" t="s">
        <v>469</v>
      </c>
      <c r="I258" s="535" t="s">
        <v>1441</v>
      </c>
      <c r="J258" s="536" t="s">
        <v>473</v>
      </c>
      <c r="K258" s="536" t="s">
        <v>579</v>
      </c>
      <c r="L258" s="535" t="s">
        <v>930</v>
      </c>
      <c r="M258" s="536" t="s">
        <v>469</v>
      </c>
      <c r="N258" s="536"/>
      <c r="O258" s="535"/>
      <c r="P258" s="536"/>
      <c r="Q258" s="536"/>
      <c r="R258" s="537">
        <f ca="1">SUMIF(CPQL!$D$5:$W$68,'FORM OH'!$I$258,CPQL!K5:K68)</f>
        <v>0</v>
      </c>
      <c r="S258" s="537">
        <f ca="1">SUMIF(CPQL!$D$5:$W$68,'FORM OH'!$I$258,CPQL!L5:L68)</f>
        <v>0</v>
      </c>
      <c r="T258" s="537">
        <f ca="1">SUMIF(CPQL!$D$5:$W$68,'FORM OH'!$I$258,CPQL!M5:M68)</f>
        <v>0</v>
      </c>
      <c r="U258" s="537">
        <f ca="1">SUMIF(CPQL!$D$5:$W$68,'FORM OH'!$I$258,CPQL!N5:N68)</f>
        <v>0</v>
      </c>
      <c r="V258" s="537">
        <f ca="1">SUMIF(CPQL!$D$5:$W$68,'FORM OH'!$I$258,CPQL!O5:O68)</f>
        <v>0</v>
      </c>
      <c r="W258" s="537">
        <f ca="1">SUMIF(CPQL!$D$5:$W$68,'FORM OH'!$I$258,CPQL!P5:P68)</f>
        <v>0</v>
      </c>
      <c r="X258" s="537">
        <f ca="1">SUMIF(CPQL!$D$5:$W$68,'FORM OH'!$I$258,CPQL!Q5:Q68)</f>
        <v>0</v>
      </c>
      <c r="Y258" s="537">
        <f ca="1">SUMIF(CPQL!$D$5:$W$68,'FORM OH'!$I$258,CPQL!R5:R68)</f>
        <v>0</v>
      </c>
      <c r="Z258" s="537">
        <f ca="1">SUMIF(CPQL!$D$5:$W$68,'FORM OH'!$I$258,CPQL!S5:S68)</f>
        <v>0</v>
      </c>
      <c r="AA258" s="537">
        <f ca="1">SUMIF(CPQL!$D$5:$W$68,'FORM OH'!$I$258,CPQL!T5:T68)</f>
        <v>0</v>
      </c>
      <c r="AB258" s="537">
        <f ca="1">SUMIF(CPQL!$D$5:$W$68,'FORM OH'!$I$258,CPQL!U5:U68)</f>
        <v>0</v>
      </c>
      <c r="AC258" s="537">
        <f ca="1">SUMIF(CPQL!$D$5:$W$68,'FORM OH'!$I$258,CPQL!V5:V68)</f>
        <v>0</v>
      </c>
      <c r="AD258" s="537">
        <f t="shared" ca="1" si="42"/>
        <v>0</v>
      </c>
      <c r="AE258" s="533"/>
      <c r="AF258" s="537">
        <f ca="1">SUMIF(CPQL!$D$5:$W$68,'FORM OH'!$I$258,CPQL!Y5:Y68)</f>
        <v>0</v>
      </c>
      <c r="AG258" s="537">
        <f ca="1">SUMIF(CPQL!$D$5:$W$68,'FORM OH'!$I$258,CPQL!Z5:Z68)</f>
        <v>0</v>
      </c>
      <c r="AH258" s="537">
        <f ca="1">SUMIF(CPQL!$D$5:$W$68,'FORM OH'!$I$258,CPQL!AA5:AA68)</f>
        <v>0</v>
      </c>
      <c r="AI258" s="537">
        <f ca="1">SUMIF(CPQL!$D$5:$W$68,'FORM OH'!$I$258,CPQL!AB5:AB68)</f>
        <v>0</v>
      </c>
      <c r="AJ258" s="537">
        <f ca="1">SUMIF(CPQL!$D$5:$W$68,'FORM OH'!$I$258,CPQL!AC5:AC68)</f>
        <v>0</v>
      </c>
      <c r="AK258" s="537">
        <f ca="1">SUMIF(CPQL!$D$5:$W$68,'FORM OH'!$I$258,CPQL!AD5:AD68)</f>
        <v>0</v>
      </c>
      <c r="AL258" s="537">
        <f ca="1">SUMIF(CPQL!$D$5:$W$68,'FORM OH'!$I$258,CPQL!AE5:AE68)</f>
        <v>0</v>
      </c>
      <c r="AM258" s="537">
        <f ca="1">SUMIF(CPQL!$D$5:$W$68,'FORM OH'!$I$258,CPQL!AF5:AF68)</f>
        <v>0</v>
      </c>
      <c r="AN258" s="537">
        <f ca="1">SUMIF(CPQL!$D$5:$W$68,'FORM OH'!$I$258,CPQL!AG5:AG68)</f>
        <v>0</v>
      </c>
      <c r="AO258" s="537">
        <f ca="1">SUMIF(CPQL!$D$5:$W$68,'FORM OH'!$I$258,CPQL!AH5:AH68)</f>
        <v>0</v>
      </c>
      <c r="AP258" s="537">
        <f ca="1">SUMIF(CPQL!$D$5:$W$68,'FORM OH'!$I$258,CPQL!AI5:AI68)</f>
        <v>0</v>
      </c>
      <c r="AQ258" s="537">
        <f ca="1">SUMIF(CPQL!$D$5:$W$68,'FORM OH'!$I$258,CPQL!AJ5:AJ68)</f>
        <v>0</v>
      </c>
      <c r="AR258" s="1284">
        <f t="shared" ca="1" si="39"/>
        <v>0</v>
      </c>
      <c r="AS258" s="1284">
        <f t="shared" ca="1" si="34"/>
        <v>0</v>
      </c>
      <c r="AT258" s="1297">
        <f t="shared" ca="1" si="35"/>
        <v>0</v>
      </c>
    </row>
    <row r="259" spans="1:46" s="539" customFormat="1" ht="16.399999999999999" customHeight="1" outlineLevel="1" x14ac:dyDescent="0.35">
      <c r="A259" s="534" t="s">
        <v>782</v>
      </c>
      <c r="B259" s="534" t="s">
        <v>783</v>
      </c>
      <c r="C259" s="535" t="s">
        <v>1418</v>
      </c>
      <c r="D259" s="536" t="s">
        <v>817</v>
      </c>
      <c r="E259" s="536" t="s">
        <v>818</v>
      </c>
      <c r="F259" s="536" t="s">
        <v>1247</v>
      </c>
      <c r="G259" s="536" t="s">
        <v>1431</v>
      </c>
      <c r="H259" s="536" t="s">
        <v>1248</v>
      </c>
      <c r="I259" s="535" t="s">
        <v>1442</v>
      </c>
      <c r="J259" s="536" t="s">
        <v>474</v>
      </c>
      <c r="K259" s="536" t="s">
        <v>593</v>
      </c>
      <c r="L259" s="535" t="s">
        <v>1254</v>
      </c>
      <c r="M259" s="536" t="s">
        <v>1255</v>
      </c>
      <c r="N259" s="536"/>
      <c r="O259" s="535"/>
      <c r="P259" s="536"/>
      <c r="Q259" s="536"/>
      <c r="R259" s="537">
        <f ca="1">SUMIF(CPQL!$D$5:$W$68,'FORM OH'!$I$259,CPQL!K5:K68)</f>
        <v>455000</v>
      </c>
      <c r="S259" s="537">
        <f ca="1">SUMIF(CPQL!$D$5:$W$68,'FORM OH'!$I$259,CPQL!L5:L68)</f>
        <v>455000</v>
      </c>
      <c r="T259" s="537">
        <f ca="1">SUMIF(CPQL!$D$5:$W$68,'FORM OH'!$I$259,CPQL!M5:M68)</f>
        <v>455000</v>
      </c>
      <c r="U259" s="537">
        <f ca="1">SUMIF(CPQL!$D$5:$W$68,'FORM OH'!$I$259,CPQL!N5:N68)</f>
        <v>455000</v>
      </c>
      <c r="V259" s="537">
        <f ca="1">SUMIF(CPQL!$D$5:$W$68,'FORM OH'!$I$259,CPQL!O5:O68)</f>
        <v>455000</v>
      </c>
      <c r="W259" s="537">
        <f ca="1">SUMIF(CPQL!$D$5:$W$68,'FORM OH'!$I$259,CPQL!P5:P68)</f>
        <v>455000</v>
      </c>
      <c r="X259" s="537">
        <f ca="1">SUMIF(CPQL!$D$5:$W$68,'FORM OH'!$I$259,CPQL!Q5:Q68)</f>
        <v>455000</v>
      </c>
      <c r="Y259" s="537">
        <f ca="1">SUMIF(CPQL!$D$5:$W$68,'FORM OH'!$I$259,CPQL!R5:R68)</f>
        <v>455000</v>
      </c>
      <c r="Z259" s="537">
        <f ca="1">SUMIF(CPQL!$D$5:$W$68,'FORM OH'!$I$259,CPQL!S5:S68)</f>
        <v>455000</v>
      </c>
      <c r="AA259" s="537">
        <f ca="1">SUMIF(CPQL!$D$5:$W$68,'FORM OH'!$I$259,CPQL!T5:T68)</f>
        <v>455000</v>
      </c>
      <c r="AB259" s="537">
        <f ca="1">SUMIF(CPQL!$D$5:$W$68,'FORM OH'!$I$259,CPQL!U5:U68)</f>
        <v>455000</v>
      </c>
      <c r="AC259" s="537">
        <f ca="1">SUMIF(CPQL!$D$5:$W$68,'FORM OH'!$I$259,CPQL!V5:V68)</f>
        <v>455000</v>
      </c>
      <c r="AD259" s="537">
        <f t="shared" ca="1" si="42"/>
        <v>5460000</v>
      </c>
      <c r="AE259" s="533"/>
      <c r="AF259" s="537">
        <f ca="1">SUMIF(CPQL!$D$5:$W$68,'FORM OH'!$I$259,CPQL!Y5:Y68)</f>
        <v>219617</v>
      </c>
      <c r="AG259" s="537">
        <f ca="1">SUMIF(CPQL!$D$5:$W$68,'FORM OH'!$I$259,CPQL!Z5:Z68)</f>
        <v>130153</v>
      </c>
      <c r="AH259" s="537">
        <f ca="1">SUMIF(CPQL!$D$5:$W$68,'FORM OH'!$I$259,CPQL!AA5:AA68)</f>
        <v>163380</v>
      </c>
      <c r="AI259" s="537">
        <f ca="1">SUMIF(CPQL!$D$5:$W$68,'FORM OH'!$I$259,CPQL!AB5:AB68)</f>
        <v>319668</v>
      </c>
      <c r="AJ259" s="537">
        <f ca="1">SUMIF(CPQL!$D$5:$W$68,'FORM OH'!$I$259,CPQL!AC5:AC68)</f>
        <v>351497</v>
      </c>
      <c r="AK259" s="537">
        <f ca="1">SUMIF(CPQL!$D$5:$W$68,'FORM OH'!$I$259,CPQL!AD5:AD68)</f>
        <v>332325</v>
      </c>
      <c r="AL259" s="537">
        <f ca="1">SUMIF(CPQL!$D$5:$W$68,'FORM OH'!$I$259,CPQL!AE5:AE68)</f>
        <v>18182</v>
      </c>
      <c r="AM259" s="537">
        <f ca="1">SUMIF(CPQL!$D$5:$W$68,'FORM OH'!$I$259,CPQL!AF5:AF68)</f>
        <v>447981</v>
      </c>
      <c r="AN259" s="537">
        <f ca="1">SUMIF(CPQL!$D$5:$W$68,'FORM OH'!$I$259,CPQL!AG5:AG68)</f>
        <v>452722</v>
      </c>
      <c r="AO259" s="537">
        <f ca="1">SUMIF(CPQL!$D$5:$W$68,'FORM OH'!$I$259,CPQL!AH5:AH68)</f>
        <v>452722</v>
      </c>
      <c r="AP259" s="537">
        <f ca="1">SUMIF(CPQL!$D$5:$W$68,'FORM OH'!$I$259,CPQL!AI5:AI68)</f>
        <v>452722</v>
      </c>
      <c r="AQ259" s="537">
        <f ca="1">SUMIF(CPQL!$D$5:$W$68,'FORM OH'!$I$259,CPQL!AJ5:AJ68)</f>
        <v>452722</v>
      </c>
      <c r="AR259" s="1284">
        <f t="shared" ca="1" si="39"/>
        <v>3793691</v>
      </c>
      <c r="AS259" s="1284">
        <f t="shared" ca="1" si="34"/>
        <v>1666309</v>
      </c>
      <c r="AT259" s="1297">
        <f t="shared" ca="1" si="35"/>
        <v>0.43923160847839215</v>
      </c>
    </row>
    <row r="260" spans="1:46" s="539" customFormat="1" ht="16.399999999999999" customHeight="1" outlineLevel="1" x14ac:dyDescent="0.35">
      <c r="A260" s="534" t="s">
        <v>782</v>
      </c>
      <c r="B260" s="534" t="s">
        <v>783</v>
      </c>
      <c r="C260" s="535" t="s">
        <v>1418</v>
      </c>
      <c r="D260" s="536" t="s">
        <v>817</v>
      </c>
      <c r="E260" s="536" t="s">
        <v>818</v>
      </c>
      <c r="F260" s="536" t="s">
        <v>933</v>
      </c>
      <c r="G260" s="536" t="s">
        <v>1431</v>
      </c>
      <c r="H260" s="536" t="s">
        <v>1256</v>
      </c>
      <c r="I260" s="535" t="s">
        <v>1443</v>
      </c>
      <c r="J260" s="536" t="s">
        <v>475</v>
      </c>
      <c r="K260" s="536" t="s">
        <v>592</v>
      </c>
      <c r="L260" s="535" t="s">
        <v>1258</v>
      </c>
      <c r="M260" s="536" t="s">
        <v>1259</v>
      </c>
      <c r="N260" s="536"/>
      <c r="O260" s="535"/>
      <c r="P260" s="536"/>
      <c r="Q260" s="536"/>
      <c r="R260" s="537">
        <f ca="1">SUMIF(CPQL!$D$5:$W$68,'FORM OH'!$I$260,CPQL!K5:K68)</f>
        <v>101194.625</v>
      </c>
      <c r="S260" s="537">
        <f ca="1">SUMIF(CPQL!$D$5:$W$68,'FORM OH'!$I$260,CPQL!L5:L68)</f>
        <v>101194.625</v>
      </c>
      <c r="T260" s="537">
        <f ca="1">SUMIF(CPQL!$D$5:$W$68,'FORM OH'!$I$260,CPQL!M5:M68)</f>
        <v>101194.625</v>
      </c>
      <c r="U260" s="537">
        <f ca="1">SUMIF(CPQL!$D$5:$W$68,'FORM OH'!$I$260,CPQL!N5:N68)</f>
        <v>101194.625</v>
      </c>
      <c r="V260" s="537">
        <f ca="1">SUMIF(CPQL!$D$5:$W$68,'FORM OH'!$I$260,CPQL!O5:O68)</f>
        <v>101194.625</v>
      </c>
      <c r="W260" s="537">
        <f ca="1">SUMIF(CPQL!$D$5:$W$68,'FORM OH'!$I$260,CPQL!P5:P68)</f>
        <v>101194.625</v>
      </c>
      <c r="X260" s="537">
        <f ca="1">SUMIF(CPQL!$D$5:$W$68,'FORM OH'!$I$260,CPQL!Q5:Q68)</f>
        <v>101194.625</v>
      </c>
      <c r="Y260" s="537">
        <f ca="1">SUMIF(CPQL!$D$5:$W$68,'FORM OH'!$I$260,CPQL!R5:R68)</f>
        <v>101194.625</v>
      </c>
      <c r="Z260" s="537">
        <f ca="1">SUMIF(CPQL!$D$5:$W$68,'FORM OH'!$I$260,CPQL!S5:S68)</f>
        <v>101194.625</v>
      </c>
      <c r="AA260" s="537">
        <f ca="1">SUMIF(CPQL!$D$5:$W$68,'FORM OH'!$I$260,CPQL!T5:T68)</f>
        <v>101194.625</v>
      </c>
      <c r="AB260" s="537">
        <f ca="1">SUMIF(CPQL!$D$5:$W$68,'FORM OH'!$I$260,CPQL!U5:U68)</f>
        <v>101194.625</v>
      </c>
      <c r="AC260" s="537">
        <f ca="1">SUMIF(CPQL!$D$5:$W$68,'FORM OH'!$I$260,CPQL!V5:V68)</f>
        <v>101194.625</v>
      </c>
      <c r="AD260" s="537">
        <f t="shared" ca="1" si="42"/>
        <v>1214335.5</v>
      </c>
      <c r="AE260" s="533"/>
      <c r="AF260" s="537">
        <f ca="1">SUMIF(CPQL!$D$5:$W$68,'FORM OH'!$I$260,CPQL!Y5:Y68)</f>
        <v>0</v>
      </c>
      <c r="AG260" s="537">
        <f ca="1">SUMIF(CPQL!$D$5:$W$68,'FORM OH'!$I$260,CPQL!Z5:Z68)</f>
        <v>44000</v>
      </c>
      <c r="AH260" s="537">
        <f ca="1">SUMIF(CPQL!$D$5:$W$68,'FORM OH'!$I$260,CPQL!AA5:AA68)</f>
        <v>161209</v>
      </c>
      <c r="AI260" s="537">
        <f ca="1">SUMIF(CPQL!$D$5:$W$68,'FORM OH'!$I$260,CPQL!AB5:AB68)</f>
        <v>0</v>
      </c>
      <c r="AJ260" s="537">
        <f ca="1">SUMIF(CPQL!$D$5:$W$68,'FORM OH'!$I$260,CPQL!AC5:AC68)</f>
        <v>118981</v>
      </c>
      <c r="AK260" s="537">
        <f ca="1">SUMIF(CPQL!$D$5:$W$68,'FORM OH'!$I$260,CPQL!AD5:AD68)</f>
        <v>41204</v>
      </c>
      <c r="AL260" s="537">
        <f ca="1">SUMIF(CPQL!$D$5:$W$68,'FORM OH'!$I$260,CPQL!AE5:AE68)</f>
        <v>123611</v>
      </c>
      <c r="AM260" s="537">
        <f ca="1">SUMIF(CPQL!$D$5:$W$68,'FORM OH'!$I$260,CPQL!AF5:AF68)</f>
        <v>133500</v>
      </c>
      <c r="AN260" s="537">
        <f ca="1">SUMIF(CPQL!$D$5:$W$68,'FORM OH'!$I$260,CPQL!AG5:AG68)</f>
        <v>16667</v>
      </c>
      <c r="AO260" s="537">
        <f ca="1">SUMIF(CPQL!$D$5:$W$68,'FORM OH'!$I$260,CPQL!AH5:AH68)</f>
        <v>202504</v>
      </c>
      <c r="AP260" s="537">
        <f ca="1">SUMIF(CPQL!$D$5:$W$68,'FORM OH'!$I$260,CPQL!AI5:AI68)</f>
        <v>202504</v>
      </c>
      <c r="AQ260" s="537">
        <f ca="1">SUMIF(CPQL!$D$5:$W$68,'FORM OH'!$I$260,CPQL!AJ5:AJ68)</f>
        <v>202504</v>
      </c>
      <c r="AR260" s="1284">
        <f t="shared" ca="1" si="39"/>
        <v>1246684</v>
      </c>
      <c r="AS260" s="1284">
        <f t="shared" ca="1" si="34"/>
        <v>-32348.5</v>
      </c>
      <c r="AT260" s="1297">
        <f t="shared" ca="1" si="35"/>
        <v>-2.5947633883165261E-2</v>
      </c>
    </row>
    <row r="261" spans="1:46" s="539" customFormat="1" ht="16.399999999999999" customHeight="1" outlineLevel="1" x14ac:dyDescent="0.35">
      <c r="A261" s="534" t="s">
        <v>782</v>
      </c>
      <c r="B261" s="534" t="s">
        <v>783</v>
      </c>
      <c r="C261" s="535" t="s">
        <v>1418</v>
      </c>
      <c r="D261" s="536" t="s">
        <v>817</v>
      </c>
      <c r="E261" s="536" t="s">
        <v>818</v>
      </c>
      <c r="F261" s="536" t="s">
        <v>933</v>
      </c>
      <c r="G261" s="536" t="s">
        <v>1431</v>
      </c>
      <c r="H261" s="536" t="s">
        <v>1256</v>
      </c>
      <c r="I261" s="535" t="s">
        <v>1444</v>
      </c>
      <c r="J261" s="536" t="s">
        <v>434</v>
      </c>
      <c r="K261" s="536" t="s">
        <v>590</v>
      </c>
      <c r="L261" s="535" t="s">
        <v>936</v>
      </c>
      <c r="M261" s="536" t="s">
        <v>937</v>
      </c>
      <c r="N261" s="536"/>
      <c r="O261" s="535"/>
      <c r="P261" s="536"/>
      <c r="Q261" s="536"/>
      <c r="R261" s="537">
        <f ca="1">SUMIF(CPQL!$D$5:$W$68,'FORM OH'!$I$261,CPQL!K5:K68)</f>
        <v>21618395</v>
      </c>
      <c r="S261" s="537">
        <f ca="1">SUMIF(CPQL!$D$5:$W$68,'FORM OH'!$I$261,CPQL!L5:L68)</f>
        <v>21618395</v>
      </c>
      <c r="T261" s="537">
        <f ca="1">SUMIF(CPQL!$D$5:$W$68,'FORM OH'!$I$261,CPQL!M5:M68)</f>
        <v>20800487</v>
      </c>
      <c r="U261" s="537">
        <f ca="1">SUMIF(CPQL!$D$5:$W$68,'FORM OH'!$I$261,CPQL!N5:N68)</f>
        <v>20800479</v>
      </c>
      <c r="V261" s="537">
        <f ca="1">SUMIF(CPQL!$D$5:$W$68,'FORM OH'!$I$261,CPQL!O5:O68)</f>
        <v>20800471</v>
      </c>
      <c r="W261" s="537">
        <f ca="1">SUMIF(CPQL!$D$5:$W$68,'FORM OH'!$I$261,CPQL!P5:P68)</f>
        <v>20356645</v>
      </c>
      <c r="X261" s="537">
        <f ca="1">SUMIF(CPQL!$D$5:$W$68,'FORM OH'!$I$261,CPQL!Q5:Q68)</f>
        <v>20356645</v>
      </c>
      <c r="Y261" s="537">
        <f ca="1">SUMIF(CPQL!$D$5:$W$68,'FORM OH'!$I$261,CPQL!R5:R68)</f>
        <v>20212162</v>
      </c>
      <c r="Z261" s="537">
        <f ca="1">SUMIF(CPQL!$D$5:$W$68,'FORM OH'!$I$261,CPQL!S5:S68)</f>
        <v>20196673</v>
      </c>
      <c r="AA261" s="537">
        <f ca="1">SUMIF(CPQL!$D$5:$W$68,'FORM OH'!$I$261,CPQL!T5:T68)</f>
        <v>20196673</v>
      </c>
      <c r="AB261" s="537">
        <f ca="1">SUMIF(CPQL!$D$5:$W$68,'FORM OH'!$I$261,CPQL!U5:U68)</f>
        <v>20196673</v>
      </c>
      <c r="AC261" s="537">
        <f ca="1">SUMIF(CPQL!$D$5:$W$68,'FORM OH'!$I$261,CPQL!V5:V68)</f>
        <v>20196673</v>
      </c>
      <c r="AD261" s="537">
        <f t="shared" ca="1" si="42"/>
        <v>247350371</v>
      </c>
      <c r="AE261" s="533"/>
      <c r="AF261" s="537">
        <f ca="1">SUMIF(CPQL!$D$5:$W$68,'FORM OH'!$I$261,CPQL!Y5:Y68)</f>
        <v>22649003</v>
      </c>
      <c r="AG261" s="537">
        <f ca="1">SUMIF(CPQL!$D$5:$W$68,'FORM OH'!$I$261,CPQL!Z5:Z68)</f>
        <v>19149372</v>
      </c>
      <c r="AH261" s="537">
        <f ca="1">SUMIF(CPQL!$D$5:$W$68,'FORM OH'!$I$261,CPQL!AA5:AA68)</f>
        <v>19170145</v>
      </c>
      <c r="AI261" s="537">
        <f ca="1">SUMIF(CPQL!$D$5:$W$68,'FORM OH'!$I$261,CPQL!AB5:AB68)</f>
        <v>20850145</v>
      </c>
      <c r="AJ261" s="537">
        <f ca="1">SUMIF(CPQL!$D$5:$W$68,'FORM OH'!$I$261,CPQL!AC5:AC68)</f>
        <v>20029500</v>
      </c>
      <c r="AK261" s="537">
        <f ca="1">SUMIF(CPQL!$D$5:$W$68,'FORM OH'!$I$261,CPQL!AD5:AD68)</f>
        <v>19647280</v>
      </c>
      <c r="AL261" s="537">
        <f ca="1">SUMIF(CPQL!$D$5:$W$68,'FORM OH'!$I$261,CPQL!AE5:AE68)</f>
        <v>19618395</v>
      </c>
      <c r="AM261" s="537">
        <f ca="1">SUMIF(CPQL!$D$5:$W$68,'FORM OH'!$I$261,CPQL!AF5:AF68)</f>
        <v>19618395</v>
      </c>
      <c r="AN261" s="537">
        <f ca="1">SUMIF(CPQL!$D$5:$W$68,'FORM OH'!$I$261,CPQL!AG5:AG68)</f>
        <v>21298395</v>
      </c>
      <c r="AO261" s="537">
        <f ca="1">SUMIF(CPQL!$D$5:$W$68,'FORM OH'!$I$261,CPQL!AH5:AH68)</f>
        <v>21298395</v>
      </c>
      <c r="AP261" s="537">
        <f ca="1">SUMIF(CPQL!$D$5:$W$68,'FORM OH'!$I$261,CPQL!AI5:AI68)</f>
        <v>21298395</v>
      </c>
      <c r="AQ261" s="537">
        <f ca="1">SUMIF(CPQL!$D$5:$W$68,'FORM OH'!$I$261,CPQL!AJ5:AJ68)</f>
        <v>21298395</v>
      </c>
      <c r="AR261" s="1284">
        <f t="shared" ca="1" si="39"/>
        <v>245925815</v>
      </c>
      <c r="AS261" s="1284">
        <f t="shared" ca="1" si="34"/>
        <v>1424556</v>
      </c>
      <c r="AT261" s="1297">
        <f t="shared" ca="1" si="35"/>
        <v>5.7926249019445153E-3</v>
      </c>
    </row>
    <row r="262" spans="1:46" s="539" customFormat="1" ht="16.399999999999999" customHeight="1" outlineLevel="1" x14ac:dyDescent="0.35">
      <c r="A262" s="534" t="s">
        <v>782</v>
      </c>
      <c r="B262" s="534" t="s">
        <v>783</v>
      </c>
      <c r="C262" s="535" t="s">
        <v>1418</v>
      </c>
      <c r="D262" s="536" t="s">
        <v>817</v>
      </c>
      <c r="E262" s="536" t="s">
        <v>818</v>
      </c>
      <c r="F262" s="536" t="s">
        <v>933</v>
      </c>
      <c r="G262" s="536" t="s">
        <v>1431</v>
      </c>
      <c r="H262" s="536" t="s">
        <v>1256</v>
      </c>
      <c r="I262" s="535" t="s">
        <v>1445</v>
      </c>
      <c r="J262" s="536" t="s">
        <v>476</v>
      </c>
      <c r="K262" s="536" t="s">
        <v>591</v>
      </c>
      <c r="L262" s="535" t="s">
        <v>1446</v>
      </c>
      <c r="M262" s="536" t="s">
        <v>1447</v>
      </c>
      <c r="N262" s="536"/>
      <c r="O262" s="535"/>
      <c r="P262" s="536"/>
      <c r="Q262" s="536"/>
      <c r="R262" s="537">
        <f ca="1">SUMIF(CPQL!$D$5:$W$68,'FORM OH'!$I$262,CPQL!K5:K68)</f>
        <v>0</v>
      </c>
      <c r="S262" s="537">
        <f ca="1">SUMIF(CPQL!$D$5:$W$68,'FORM OH'!$I$262,CPQL!L5:L68)</f>
        <v>0</v>
      </c>
      <c r="T262" s="537">
        <f ca="1">SUMIF(CPQL!$D$5:$W$68,'FORM OH'!$I$262,CPQL!M5:M68)</f>
        <v>0</v>
      </c>
      <c r="U262" s="537">
        <f ca="1">SUMIF(CPQL!$D$5:$W$68,'FORM OH'!$I$262,CPQL!N5:N68)</f>
        <v>0</v>
      </c>
      <c r="V262" s="537">
        <f ca="1">SUMIF(CPQL!$D$5:$W$68,'FORM OH'!$I$262,CPQL!O5:O68)</f>
        <v>0</v>
      </c>
      <c r="W262" s="537">
        <f ca="1">SUMIF(CPQL!$D$5:$W$68,'FORM OH'!$I$262,CPQL!P5:P68)</f>
        <v>0</v>
      </c>
      <c r="X262" s="537">
        <f ca="1">SUMIF(CPQL!$D$5:$W$68,'FORM OH'!$I$262,CPQL!Q5:Q68)</f>
        <v>0</v>
      </c>
      <c r="Y262" s="537">
        <f ca="1">SUMIF(CPQL!$D$5:$W$68,'FORM OH'!$I$262,CPQL!R5:R68)</f>
        <v>0</v>
      </c>
      <c r="Z262" s="537">
        <f ca="1">SUMIF(CPQL!$D$5:$W$68,'FORM OH'!$I$262,CPQL!S5:S68)</f>
        <v>0</v>
      </c>
      <c r="AA262" s="537">
        <f ca="1">SUMIF(CPQL!$D$5:$W$68,'FORM OH'!$I$262,CPQL!T5:T68)</f>
        <v>0</v>
      </c>
      <c r="AB262" s="537">
        <f ca="1">SUMIF(CPQL!$D$5:$W$68,'FORM OH'!$I$262,CPQL!U5:U68)</f>
        <v>0</v>
      </c>
      <c r="AC262" s="537">
        <f ca="1">SUMIF(CPQL!$D$5:$W$68,'FORM OH'!$I$262,CPQL!V5:V68)</f>
        <v>0</v>
      </c>
      <c r="AD262" s="537">
        <f t="shared" ca="1" si="42"/>
        <v>0</v>
      </c>
      <c r="AE262" s="533"/>
      <c r="AF262" s="537">
        <f ca="1">SUMIF(CPQL!$D$5:$W$68,'FORM OH'!$I$262,CPQL!Y5:Y68)</f>
        <v>0</v>
      </c>
      <c r="AG262" s="537">
        <f ca="1">SUMIF(CPQL!$D$5:$W$68,'FORM OH'!$I$262,CPQL!Z5:Z68)</f>
        <v>0</v>
      </c>
      <c r="AH262" s="537">
        <f ca="1">SUMIF(CPQL!$D$5:$W$68,'FORM OH'!$I$262,CPQL!AA5:AA68)</f>
        <v>0</v>
      </c>
      <c r="AI262" s="537">
        <f ca="1">SUMIF(CPQL!$D$5:$W$68,'FORM OH'!$I$262,CPQL!AB5:AB68)</f>
        <v>0</v>
      </c>
      <c r="AJ262" s="537">
        <f ca="1">SUMIF(CPQL!$D$5:$W$68,'FORM OH'!$I$262,CPQL!AC5:AC68)</f>
        <v>0</v>
      </c>
      <c r="AK262" s="537">
        <f ca="1">SUMIF(CPQL!$D$5:$W$68,'FORM OH'!$I$262,CPQL!AD5:AD68)</f>
        <v>0</v>
      </c>
      <c r="AL262" s="537">
        <f ca="1">SUMIF(CPQL!$D$5:$W$68,'FORM OH'!$I$262,CPQL!AE5:AE68)</f>
        <v>0</v>
      </c>
      <c r="AM262" s="537">
        <f ca="1">SUMIF(CPQL!$D$5:$W$68,'FORM OH'!$I$262,CPQL!AF5:AF68)</f>
        <v>0</v>
      </c>
      <c r="AN262" s="537">
        <f ca="1">SUMIF(CPQL!$D$5:$W$68,'FORM OH'!$I$262,CPQL!AG5:AG68)</f>
        <v>0</v>
      </c>
      <c r="AO262" s="537">
        <f ca="1">SUMIF(CPQL!$D$5:$W$68,'FORM OH'!$I$262,CPQL!AH5:AH68)</f>
        <v>0</v>
      </c>
      <c r="AP262" s="537">
        <f ca="1">SUMIF(CPQL!$D$5:$W$68,'FORM OH'!$I$262,CPQL!AI5:AI68)</f>
        <v>0</v>
      </c>
      <c r="AQ262" s="537">
        <f ca="1">SUMIF(CPQL!$D$5:$W$68,'FORM OH'!$I$262,CPQL!AJ5:AJ68)</f>
        <v>0</v>
      </c>
      <c r="AR262" s="1284">
        <f t="shared" ca="1" si="39"/>
        <v>0</v>
      </c>
      <c r="AS262" s="1284">
        <f t="shared" ca="1" si="34"/>
        <v>0</v>
      </c>
      <c r="AT262" s="1297">
        <f t="shared" ca="1" si="35"/>
        <v>0</v>
      </c>
    </row>
    <row r="263" spans="1:46" s="539" customFormat="1" ht="16.399999999999999" customHeight="1" outlineLevel="1" x14ac:dyDescent="0.35">
      <c r="A263" s="534" t="s">
        <v>782</v>
      </c>
      <c r="B263" s="534" t="s">
        <v>783</v>
      </c>
      <c r="C263" s="535" t="s">
        <v>1418</v>
      </c>
      <c r="D263" s="536" t="s">
        <v>817</v>
      </c>
      <c r="E263" s="536" t="s">
        <v>818</v>
      </c>
      <c r="F263" s="536" t="s">
        <v>933</v>
      </c>
      <c r="G263" s="536" t="s">
        <v>1431</v>
      </c>
      <c r="H263" s="536" t="s">
        <v>1256</v>
      </c>
      <c r="I263" s="535" t="s">
        <v>1448</v>
      </c>
      <c r="J263" s="536" t="s">
        <v>477</v>
      </c>
      <c r="K263" s="536" t="s">
        <v>575</v>
      </c>
      <c r="L263" s="535" t="s">
        <v>1262</v>
      </c>
      <c r="M263" s="536" t="s">
        <v>1263</v>
      </c>
      <c r="N263" s="536"/>
      <c r="O263" s="535"/>
      <c r="P263" s="536"/>
      <c r="Q263" s="536"/>
      <c r="R263" s="537">
        <f ca="1">SUMIF(CPQL!$D$5:$W$68,'FORM OH'!$I$263,CPQL!K5:K68)</f>
        <v>0</v>
      </c>
      <c r="S263" s="537">
        <f ca="1">SUMIF(CPQL!$D$5:$W$68,'FORM OH'!$I$263,CPQL!L5:L68)</f>
        <v>0</v>
      </c>
      <c r="T263" s="537">
        <f ca="1">SUMIF(CPQL!$D$5:$W$68,'FORM OH'!$I$263,CPQL!M5:M68)</f>
        <v>0</v>
      </c>
      <c r="U263" s="537">
        <f ca="1">SUMIF(CPQL!$D$5:$W$68,'FORM OH'!$I$263,CPQL!N5:N68)</f>
        <v>0</v>
      </c>
      <c r="V263" s="537">
        <f ca="1">SUMIF(CPQL!$D$5:$W$68,'FORM OH'!$I$263,CPQL!O5:O68)</f>
        <v>0</v>
      </c>
      <c r="W263" s="537">
        <f ca="1">SUMIF(CPQL!$D$5:$W$68,'FORM OH'!$I$263,CPQL!P5:P68)</f>
        <v>0</v>
      </c>
      <c r="X263" s="537">
        <f ca="1">SUMIF(CPQL!$D$5:$W$68,'FORM OH'!$I$263,CPQL!Q5:Q68)</f>
        <v>0</v>
      </c>
      <c r="Y263" s="537">
        <f ca="1">SUMIF(CPQL!$D$5:$W$68,'FORM OH'!$I$263,CPQL!R5:R68)</f>
        <v>0</v>
      </c>
      <c r="Z263" s="537">
        <f ca="1">SUMIF(CPQL!$D$5:$W$68,'FORM OH'!$I$263,CPQL!S5:S68)</f>
        <v>0</v>
      </c>
      <c r="AA263" s="537">
        <f ca="1">SUMIF(CPQL!$D$5:$W$68,'FORM OH'!$I$263,CPQL!T5:T68)</f>
        <v>0</v>
      </c>
      <c r="AB263" s="537">
        <f ca="1">SUMIF(CPQL!$D$5:$W$68,'FORM OH'!$I$263,CPQL!U5:U68)</f>
        <v>0</v>
      </c>
      <c r="AC263" s="537">
        <f ca="1">SUMIF(CPQL!$D$5:$W$68,'FORM OH'!$I$263,CPQL!V5:V68)</f>
        <v>0</v>
      </c>
      <c r="AD263" s="537">
        <f t="shared" ca="1" si="42"/>
        <v>0</v>
      </c>
      <c r="AE263" s="533"/>
      <c r="AF263" s="537">
        <f ca="1">SUMIF(CPQL!$D$5:$W$68,'FORM OH'!$I$263,CPQL!Y5:Y68)</f>
        <v>0</v>
      </c>
      <c r="AG263" s="537">
        <f ca="1">SUMIF(CPQL!$D$5:$W$68,'FORM OH'!$I$263,CPQL!Z5:Z68)</f>
        <v>0</v>
      </c>
      <c r="AH263" s="537">
        <f ca="1">SUMIF(CPQL!$D$5:$W$68,'FORM OH'!$I$263,CPQL!AA5:AA68)</f>
        <v>0</v>
      </c>
      <c r="AI263" s="537">
        <f ca="1">SUMIF(CPQL!$D$5:$W$68,'FORM OH'!$I$263,CPQL!AB5:AB68)</f>
        <v>0</v>
      </c>
      <c r="AJ263" s="537">
        <f ca="1">SUMIF(CPQL!$D$5:$W$68,'FORM OH'!$I$263,CPQL!AC5:AC68)</f>
        <v>0</v>
      </c>
      <c r="AK263" s="537">
        <f ca="1">SUMIF(CPQL!$D$5:$W$68,'FORM OH'!$I$263,CPQL!AD5:AD68)</f>
        <v>0</v>
      </c>
      <c r="AL263" s="537">
        <f ca="1">SUMIF(CPQL!$D$5:$W$68,'FORM OH'!$I$263,CPQL!AE5:AE68)</f>
        <v>0</v>
      </c>
      <c r="AM263" s="537">
        <f ca="1">SUMIF(CPQL!$D$5:$W$68,'FORM OH'!$I$263,CPQL!AF5:AF68)</f>
        <v>0</v>
      </c>
      <c r="AN263" s="537">
        <f ca="1">SUMIF(CPQL!$D$5:$W$68,'FORM OH'!$I$263,CPQL!AG5:AG68)</f>
        <v>0</v>
      </c>
      <c r="AO263" s="537">
        <f ca="1">SUMIF(CPQL!$D$5:$W$68,'FORM OH'!$I$263,CPQL!AH5:AH68)</f>
        <v>0</v>
      </c>
      <c r="AP263" s="537">
        <f ca="1">SUMIF(CPQL!$D$5:$W$68,'FORM OH'!$I$263,CPQL!AI5:AI68)</f>
        <v>0</v>
      </c>
      <c r="AQ263" s="537">
        <f ca="1">SUMIF(CPQL!$D$5:$W$68,'FORM OH'!$I$263,CPQL!AJ5:AJ68)</f>
        <v>0</v>
      </c>
      <c r="AR263" s="1284">
        <f t="shared" ca="1" si="39"/>
        <v>0</v>
      </c>
      <c r="AS263" s="1284">
        <f t="shared" ca="1" si="34"/>
        <v>0</v>
      </c>
      <c r="AT263" s="1297">
        <f t="shared" ca="1" si="35"/>
        <v>0</v>
      </c>
    </row>
    <row r="264" spans="1:46" s="539" customFormat="1" ht="16.399999999999999" customHeight="1" outlineLevel="1" x14ac:dyDescent="0.35">
      <c r="A264" s="534" t="s">
        <v>782</v>
      </c>
      <c r="B264" s="534" t="s">
        <v>783</v>
      </c>
      <c r="C264" s="535" t="s">
        <v>1418</v>
      </c>
      <c r="D264" s="536" t="s">
        <v>817</v>
      </c>
      <c r="E264" s="536" t="s">
        <v>818</v>
      </c>
      <c r="F264" s="536" t="s">
        <v>1264</v>
      </c>
      <c r="G264" s="536" t="s">
        <v>1431</v>
      </c>
      <c r="H264" s="536" t="s">
        <v>1265</v>
      </c>
      <c r="I264" s="535" t="s">
        <v>1449</v>
      </c>
      <c r="J264" s="536" t="s">
        <v>478</v>
      </c>
      <c r="K264" s="536" t="s">
        <v>587</v>
      </c>
      <c r="L264" s="535" t="s">
        <v>1275</v>
      </c>
      <c r="M264" s="536" t="s">
        <v>1276</v>
      </c>
      <c r="N264" s="536"/>
      <c r="O264" s="535"/>
      <c r="P264" s="536"/>
      <c r="Q264" s="536"/>
      <c r="R264" s="537">
        <f ca="1">SUMIF(CPQL!$D$5:$W$68,'FORM OH'!$I$264,CPQL!K5:K68)</f>
        <v>0</v>
      </c>
      <c r="S264" s="537">
        <f ca="1">SUMIF(CPQL!$D$5:$W$68,'FORM OH'!$I$264,CPQL!L5:L68)</f>
        <v>0</v>
      </c>
      <c r="T264" s="537">
        <f ca="1">SUMIF(CPQL!$D$5:$W$68,'FORM OH'!$I$264,CPQL!M5:M68)</f>
        <v>0</v>
      </c>
      <c r="U264" s="537">
        <f ca="1">SUMIF(CPQL!$D$5:$W$68,'FORM OH'!$I$264,CPQL!N5:N68)</f>
        <v>0</v>
      </c>
      <c r="V264" s="537">
        <f ca="1">SUMIF(CPQL!$D$5:$W$68,'FORM OH'!$I$264,CPQL!O5:O68)</f>
        <v>0</v>
      </c>
      <c r="W264" s="537">
        <f ca="1">SUMIF(CPQL!$D$5:$W$68,'FORM OH'!$I$264,CPQL!P5:P68)</f>
        <v>0</v>
      </c>
      <c r="X264" s="537">
        <f ca="1">SUMIF(CPQL!$D$5:$W$68,'FORM OH'!$I$264,CPQL!Q5:Q68)</f>
        <v>0</v>
      </c>
      <c r="Y264" s="537">
        <f ca="1">SUMIF(CPQL!$D$5:$W$68,'FORM OH'!$I$264,CPQL!R5:R68)</f>
        <v>0</v>
      </c>
      <c r="Z264" s="537">
        <f ca="1">SUMIF(CPQL!$D$5:$W$68,'FORM OH'!$I$264,CPQL!S5:S68)</f>
        <v>0</v>
      </c>
      <c r="AA264" s="537">
        <f ca="1">SUMIF(CPQL!$D$5:$W$68,'FORM OH'!$I$264,CPQL!T5:T68)</f>
        <v>0</v>
      </c>
      <c r="AB264" s="537">
        <f ca="1">SUMIF(CPQL!$D$5:$W$68,'FORM OH'!$I$264,CPQL!U5:U68)</f>
        <v>0</v>
      </c>
      <c r="AC264" s="537">
        <f ca="1">SUMIF(CPQL!$D$5:$W$68,'FORM OH'!$I$264,CPQL!V5:V68)</f>
        <v>0</v>
      </c>
      <c r="AD264" s="537">
        <f t="shared" ca="1" si="42"/>
        <v>0</v>
      </c>
      <c r="AE264" s="533"/>
      <c r="AF264" s="537">
        <f ca="1">SUMIF(CPQL!$D$5:$W$68,'FORM OH'!$I$264,CPQL!Y5:Y68)</f>
        <v>0</v>
      </c>
      <c r="AG264" s="537">
        <f ca="1">SUMIF(CPQL!$D$5:$W$68,'FORM OH'!$I$264,CPQL!Z5:Z68)</f>
        <v>0</v>
      </c>
      <c r="AH264" s="537">
        <f ca="1">SUMIF(CPQL!$D$5:$W$68,'FORM OH'!$I$264,CPQL!AA5:AA68)</f>
        <v>0</v>
      </c>
      <c r="AI264" s="537">
        <f ca="1">SUMIF(CPQL!$D$5:$W$68,'FORM OH'!$I$264,CPQL!AB5:AB68)</f>
        <v>0</v>
      </c>
      <c r="AJ264" s="537">
        <f ca="1">SUMIF(CPQL!$D$5:$W$68,'FORM OH'!$I$264,CPQL!AC5:AC68)</f>
        <v>0</v>
      </c>
      <c r="AK264" s="537">
        <f ca="1">SUMIF(CPQL!$D$5:$W$68,'FORM OH'!$I$264,CPQL!AD5:AD68)</f>
        <v>0</v>
      </c>
      <c r="AL264" s="537">
        <f ca="1">SUMIF(CPQL!$D$5:$W$68,'FORM OH'!$I$264,CPQL!AE5:AE68)</f>
        <v>0</v>
      </c>
      <c r="AM264" s="537">
        <f ca="1">SUMIF(CPQL!$D$5:$W$68,'FORM OH'!$I$264,CPQL!AF5:AF68)</f>
        <v>0</v>
      </c>
      <c r="AN264" s="537">
        <f ca="1">SUMIF(CPQL!$D$5:$W$68,'FORM OH'!$I$264,CPQL!AG5:AG68)</f>
        <v>0</v>
      </c>
      <c r="AO264" s="537">
        <f ca="1">SUMIF(CPQL!$D$5:$W$68,'FORM OH'!$I$264,CPQL!AH5:AH68)</f>
        <v>0</v>
      </c>
      <c r="AP264" s="537">
        <f ca="1">SUMIF(CPQL!$D$5:$W$68,'FORM OH'!$I$264,CPQL!AI5:AI68)</f>
        <v>0</v>
      </c>
      <c r="AQ264" s="537">
        <f ca="1">SUMIF(CPQL!$D$5:$W$68,'FORM OH'!$I$264,CPQL!AJ5:AJ68)</f>
        <v>0</v>
      </c>
      <c r="AR264" s="1284">
        <f t="shared" ca="1" si="39"/>
        <v>0</v>
      </c>
      <c r="AS264" s="1284">
        <f t="shared" ca="1" si="34"/>
        <v>0</v>
      </c>
      <c r="AT264" s="1297">
        <f t="shared" ca="1" si="35"/>
        <v>0</v>
      </c>
    </row>
    <row r="265" spans="1:46" s="539" customFormat="1" ht="16.399999999999999" customHeight="1" outlineLevel="1" x14ac:dyDescent="0.35">
      <c r="A265" s="534" t="s">
        <v>782</v>
      </c>
      <c r="B265" s="534" t="s">
        <v>783</v>
      </c>
      <c r="C265" s="535" t="s">
        <v>1418</v>
      </c>
      <c r="D265" s="536" t="s">
        <v>817</v>
      </c>
      <c r="E265" s="536" t="s">
        <v>818</v>
      </c>
      <c r="F265" s="536" t="s">
        <v>1264</v>
      </c>
      <c r="G265" s="536" t="s">
        <v>1431</v>
      </c>
      <c r="H265" s="536" t="s">
        <v>1265</v>
      </c>
      <c r="I265" s="535" t="s">
        <v>1450</v>
      </c>
      <c r="J265" s="536" t="s">
        <v>1283</v>
      </c>
      <c r="K265" s="536" t="e">
        <v>#N/A</v>
      </c>
      <c r="L265" s="535" t="s">
        <v>1275</v>
      </c>
      <c r="M265" s="536"/>
      <c r="N265" s="536"/>
      <c r="O265" s="550"/>
      <c r="P265" s="536"/>
      <c r="Q265" s="536"/>
      <c r="R265" s="537">
        <f ca="1">SUMIF(CPQL!$D$5:$W$68,'FORM OH'!$I$265,CPQL!K5:K68)</f>
        <v>0</v>
      </c>
      <c r="S265" s="537">
        <f ca="1">SUMIF(CPQL!$D$5:$W$68,'FORM OH'!$I$265,CPQL!L5:L68)</f>
        <v>0</v>
      </c>
      <c r="T265" s="537">
        <f ca="1">SUMIF(CPQL!$D$5:$W$68,'FORM OH'!$I$265,CPQL!M5:M68)</f>
        <v>0</v>
      </c>
      <c r="U265" s="537">
        <f ca="1">SUMIF(CPQL!$D$5:$W$68,'FORM OH'!$I$265,CPQL!N5:N68)</f>
        <v>0</v>
      </c>
      <c r="V265" s="537">
        <f ca="1">SUMIF(CPQL!$D$5:$W$68,'FORM OH'!$I$265,CPQL!O5:O68)</f>
        <v>0</v>
      </c>
      <c r="W265" s="537">
        <f ca="1">SUMIF(CPQL!$D$5:$W$68,'FORM OH'!$I$265,CPQL!P5:P68)</f>
        <v>0</v>
      </c>
      <c r="X265" s="537">
        <f ca="1">SUMIF(CPQL!$D$5:$W$68,'FORM OH'!$I$265,CPQL!Q5:Q68)</f>
        <v>0</v>
      </c>
      <c r="Y265" s="537">
        <f ca="1">SUMIF(CPQL!$D$5:$W$68,'FORM OH'!$I$265,CPQL!R5:R68)</f>
        <v>0</v>
      </c>
      <c r="Z265" s="537">
        <f ca="1">SUMIF(CPQL!$D$5:$W$68,'FORM OH'!$I$265,CPQL!S5:S68)</f>
        <v>0</v>
      </c>
      <c r="AA265" s="537">
        <f ca="1">SUMIF(CPQL!$D$5:$W$68,'FORM OH'!$I$265,CPQL!T5:T68)</f>
        <v>0</v>
      </c>
      <c r="AB265" s="537">
        <f ca="1">SUMIF(CPQL!$D$5:$W$68,'FORM OH'!$I$265,CPQL!U5:U68)</f>
        <v>0</v>
      </c>
      <c r="AC265" s="537">
        <f ca="1">SUMIF(CPQL!$D$5:$W$68,'FORM OH'!$I$265,CPQL!V5:V68)</f>
        <v>0</v>
      </c>
      <c r="AD265" s="537">
        <f t="shared" ca="1" si="42"/>
        <v>0</v>
      </c>
      <c r="AE265" s="533"/>
      <c r="AF265" s="537">
        <f ca="1">SUMIF(CPQL!$D$5:$W$68,'FORM OH'!$I$265,CPQL!Y5:Y68)</f>
        <v>0</v>
      </c>
      <c r="AG265" s="537">
        <f ca="1">SUMIF(CPQL!$D$5:$W$68,'FORM OH'!$I$265,CPQL!Z5:Z68)</f>
        <v>0</v>
      </c>
      <c r="AH265" s="537">
        <f ca="1">SUMIF(CPQL!$D$5:$W$68,'FORM OH'!$I$265,CPQL!AA5:AA68)</f>
        <v>0</v>
      </c>
      <c r="AI265" s="537">
        <f ca="1">SUMIF(CPQL!$D$5:$W$68,'FORM OH'!$I$265,CPQL!AB5:AB68)</f>
        <v>0</v>
      </c>
      <c r="AJ265" s="537">
        <f ca="1">SUMIF(CPQL!$D$5:$W$68,'FORM OH'!$I$265,CPQL!AC5:AC68)</f>
        <v>0</v>
      </c>
      <c r="AK265" s="537">
        <f ca="1">SUMIF(CPQL!$D$5:$W$68,'FORM OH'!$I$265,CPQL!AD5:AD68)</f>
        <v>0</v>
      </c>
      <c r="AL265" s="537">
        <f ca="1">SUMIF(CPQL!$D$5:$W$68,'FORM OH'!$I$265,CPQL!AE5:AE68)</f>
        <v>0</v>
      </c>
      <c r="AM265" s="537">
        <f ca="1">SUMIF(CPQL!$D$5:$W$68,'FORM OH'!$I$265,CPQL!AF5:AF68)</f>
        <v>0</v>
      </c>
      <c r="AN265" s="537">
        <f ca="1">SUMIF(CPQL!$D$5:$W$68,'FORM OH'!$I$265,CPQL!AG5:AG68)</f>
        <v>0</v>
      </c>
      <c r="AO265" s="537">
        <f ca="1">SUMIF(CPQL!$D$5:$W$68,'FORM OH'!$I$265,CPQL!AH5:AH68)</f>
        <v>0</v>
      </c>
      <c r="AP265" s="537">
        <f ca="1">SUMIF(CPQL!$D$5:$W$68,'FORM OH'!$I$265,CPQL!AI5:AI68)</f>
        <v>0</v>
      </c>
      <c r="AQ265" s="537">
        <f ca="1">SUMIF(CPQL!$D$5:$W$68,'FORM OH'!$I$265,CPQL!AJ5:AJ68)</f>
        <v>0</v>
      </c>
      <c r="AR265" s="1284">
        <f t="shared" ca="1" si="39"/>
        <v>0</v>
      </c>
      <c r="AS265" s="1284">
        <f t="shared" ca="1" si="34"/>
        <v>0</v>
      </c>
      <c r="AT265" s="1297">
        <f t="shared" ca="1" si="35"/>
        <v>0</v>
      </c>
    </row>
    <row r="266" spans="1:46" s="539" customFormat="1" ht="16.399999999999999" customHeight="1" outlineLevel="1" x14ac:dyDescent="0.35">
      <c r="A266" s="534" t="s">
        <v>782</v>
      </c>
      <c r="B266" s="534" t="s">
        <v>783</v>
      </c>
      <c r="C266" s="535" t="s">
        <v>1418</v>
      </c>
      <c r="D266" s="536" t="s">
        <v>817</v>
      </c>
      <c r="E266" s="536" t="s">
        <v>818</v>
      </c>
      <c r="F266" s="536" t="s">
        <v>1264</v>
      </c>
      <c r="G266" s="536" t="s">
        <v>1431</v>
      </c>
      <c r="H266" s="536" t="s">
        <v>1265</v>
      </c>
      <c r="I266" s="535" t="s">
        <v>1451</v>
      </c>
      <c r="J266" s="536" t="s">
        <v>1288</v>
      </c>
      <c r="K266" s="536" t="e">
        <v>#N/A</v>
      </c>
      <c r="L266" s="535" t="s">
        <v>1275</v>
      </c>
      <c r="M266" s="536"/>
      <c r="N266" s="536"/>
      <c r="O266" s="550"/>
      <c r="P266" s="536"/>
      <c r="Q266" s="536"/>
      <c r="R266" s="537">
        <f ca="1">SUMIF(CPQL!$D$5:$W$68,'FORM OH'!$I$266,CPQL!K5:K68)</f>
        <v>0</v>
      </c>
      <c r="S266" s="537">
        <f ca="1">SUMIF(CPQL!$D$5:$W$68,'FORM OH'!$I$266,CPQL!L5:L68)</f>
        <v>0</v>
      </c>
      <c r="T266" s="537">
        <f ca="1">SUMIF(CPQL!$D$5:$W$68,'FORM OH'!$I$266,CPQL!M5:M68)</f>
        <v>0</v>
      </c>
      <c r="U266" s="537">
        <f ca="1">SUMIF(CPQL!$D$5:$W$68,'FORM OH'!$I$266,CPQL!N5:N68)</f>
        <v>0</v>
      </c>
      <c r="V266" s="537">
        <f ca="1">SUMIF(CPQL!$D$5:$W$68,'FORM OH'!$I$266,CPQL!O5:O68)</f>
        <v>0</v>
      </c>
      <c r="W266" s="537">
        <f ca="1">SUMIF(CPQL!$D$5:$W$68,'FORM OH'!$I$266,CPQL!P5:P68)</f>
        <v>0</v>
      </c>
      <c r="X266" s="537">
        <f ca="1">SUMIF(CPQL!$D$5:$W$68,'FORM OH'!$I$266,CPQL!Q5:Q68)</f>
        <v>0</v>
      </c>
      <c r="Y266" s="537">
        <f ca="1">SUMIF(CPQL!$D$5:$W$68,'FORM OH'!$I$266,CPQL!R5:R68)</f>
        <v>0</v>
      </c>
      <c r="Z266" s="537">
        <f ca="1">SUMIF(CPQL!$D$5:$W$68,'FORM OH'!$I$266,CPQL!S5:S68)</f>
        <v>0</v>
      </c>
      <c r="AA266" s="537">
        <f ca="1">SUMIF(CPQL!$D$5:$W$68,'FORM OH'!$I$266,CPQL!T5:T68)</f>
        <v>0</v>
      </c>
      <c r="AB266" s="537">
        <f ca="1">SUMIF(CPQL!$D$5:$W$68,'FORM OH'!$I$266,CPQL!U5:U68)</f>
        <v>0</v>
      </c>
      <c r="AC266" s="537">
        <f ca="1">SUMIF(CPQL!$D$5:$W$68,'FORM OH'!$I$266,CPQL!V5:V68)</f>
        <v>0</v>
      </c>
      <c r="AD266" s="537">
        <f t="shared" ca="1" si="42"/>
        <v>0</v>
      </c>
      <c r="AE266" s="533"/>
      <c r="AF266" s="537">
        <f ca="1">SUMIF(CPQL!$D$5:$W$68,'FORM OH'!$I$266,CPQL!Y5:Y68)</f>
        <v>0</v>
      </c>
      <c r="AG266" s="537">
        <f ca="1">SUMIF(CPQL!$D$5:$W$68,'FORM OH'!$I$266,CPQL!Z5:Z68)</f>
        <v>0</v>
      </c>
      <c r="AH266" s="537">
        <f ca="1">SUMIF(CPQL!$D$5:$W$68,'FORM OH'!$I$266,CPQL!AA5:AA68)</f>
        <v>0</v>
      </c>
      <c r="AI266" s="537">
        <f ca="1">SUMIF(CPQL!$D$5:$W$68,'FORM OH'!$I$266,CPQL!AB5:AB68)</f>
        <v>0</v>
      </c>
      <c r="AJ266" s="537">
        <f ca="1">SUMIF(CPQL!$D$5:$W$68,'FORM OH'!$I$266,CPQL!AC5:AC68)</f>
        <v>0</v>
      </c>
      <c r="AK266" s="537">
        <f ca="1">SUMIF(CPQL!$D$5:$W$68,'FORM OH'!$I$266,CPQL!AD5:AD68)</f>
        <v>0</v>
      </c>
      <c r="AL266" s="537">
        <f ca="1">SUMIF(CPQL!$D$5:$W$68,'FORM OH'!$I$266,CPQL!AE5:AE68)</f>
        <v>0</v>
      </c>
      <c r="AM266" s="537">
        <f ca="1">SUMIF(CPQL!$D$5:$W$68,'FORM OH'!$I$266,CPQL!AF5:AF68)</f>
        <v>0</v>
      </c>
      <c r="AN266" s="537">
        <f ca="1">SUMIF(CPQL!$D$5:$W$68,'FORM OH'!$I$266,CPQL!AG5:AG68)</f>
        <v>0</v>
      </c>
      <c r="AO266" s="537">
        <f ca="1">SUMIF(CPQL!$D$5:$W$68,'FORM OH'!$I$266,CPQL!AH5:AH68)</f>
        <v>0</v>
      </c>
      <c r="AP266" s="537">
        <f ca="1">SUMIF(CPQL!$D$5:$W$68,'FORM OH'!$I$266,CPQL!AI5:AI68)</f>
        <v>0</v>
      </c>
      <c r="AQ266" s="537">
        <f ca="1">SUMIF(CPQL!$D$5:$W$68,'FORM OH'!$I$266,CPQL!AJ5:AJ68)</f>
        <v>0</v>
      </c>
      <c r="AR266" s="1284">
        <f t="shared" ca="1" si="39"/>
        <v>0</v>
      </c>
      <c r="AS266" s="1284">
        <f t="shared" ca="1" si="34"/>
        <v>0</v>
      </c>
      <c r="AT266" s="1297">
        <f t="shared" ca="1" si="35"/>
        <v>0</v>
      </c>
    </row>
    <row r="267" spans="1:46" s="539" customFormat="1" ht="16.399999999999999" customHeight="1" outlineLevel="1" x14ac:dyDescent="0.35">
      <c r="A267" s="534" t="s">
        <v>782</v>
      </c>
      <c r="B267" s="534" t="s">
        <v>783</v>
      </c>
      <c r="C267" s="535" t="s">
        <v>1418</v>
      </c>
      <c r="D267" s="536" t="s">
        <v>817</v>
      </c>
      <c r="E267" s="536" t="s">
        <v>818</v>
      </c>
      <c r="F267" s="536" t="s">
        <v>1264</v>
      </c>
      <c r="G267" s="536" t="s">
        <v>1431</v>
      </c>
      <c r="H267" s="536" t="s">
        <v>1265</v>
      </c>
      <c r="I267" s="535" t="s">
        <v>1452</v>
      </c>
      <c r="J267" s="536" t="s">
        <v>1453</v>
      </c>
      <c r="K267" s="536" t="s">
        <v>587</v>
      </c>
      <c r="L267" s="535" t="s">
        <v>1275</v>
      </c>
      <c r="M267" s="536"/>
      <c r="N267" s="536"/>
      <c r="O267" s="535"/>
      <c r="P267" s="536"/>
      <c r="Q267" s="536"/>
      <c r="R267" s="537">
        <f ca="1">SUMIF(CPQL!$D$5:$W$68,'FORM OH'!$I$267,CPQL!K5:K68)</f>
        <v>0</v>
      </c>
      <c r="S267" s="537">
        <f ca="1">SUMIF(CPQL!$D$5:$W$68,'FORM OH'!$I$267,CPQL!L5:L68)</f>
        <v>0</v>
      </c>
      <c r="T267" s="537">
        <f ca="1">SUMIF(CPQL!$D$5:$W$68,'FORM OH'!$I$267,CPQL!M5:M68)</f>
        <v>0</v>
      </c>
      <c r="U267" s="537">
        <f ca="1">SUMIF(CPQL!$D$5:$W$68,'FORM OH'!$I$267,CPQL!N5:N68)</f>
        <v>0</v>
      </c>
      <c r="V267" s="537">
        <f ca="1">SUMIF(CPQL!$D$5:$W$68,'FORM OH'!$I$267,CPQL!O5:O68)</f>
        <v>0</v>
      </c>
      <c r="W267" s="537">
        <f ca="1">SUMIF(CPQL!$D$5:$W$68,'FORM OH'!$I$267,CPQL!P5:P68)</f>
        <v>0</v>
      </c>
      <c r="X267" s="537">
        <f ca="1">SUMIF(CPQL!$D$5:$W$68,'FORM OH'!$I$267,CPQL!Q5:Q68)</f>
        <v>0</v>
      </c>
      <c r="Y267" s="537">
        <f ca="1">SUMIF(CPQL!$D$5:$W$68,'FORM OH'!$I$267,CPQL!R5:R68)</f>
        <v>0</v>
      </c>
      <c r="Z267" s="537">
        <f ca="1">SUMIF(CPQL!$D$5:$W$68,'FORM OH'!$I$267,CPQL!S5:S68)</f>
        <v>0</v>
      </c>
      <c r="AA267" s="537">
        <f ca="1">SUMIF(CPQL!$D$5:$W$68,'FORM OH'!$I$267,CPQL!T5:T68)</f>
        <v>0</v>
      </c>
      <c r="AB267" s="537">
        <f ca="1">SUMIF(CPQL!$D$5:$W$68,'FORM OH'!$I$267,CPQL!U5:U68)</f>
        <v>0</v>
      </c>
      <c r="AC267" s="537">
        <f ca="1">SUMIF(CPQL!$D$5:$W$68,'FORM OH'!$I$267,CPQL!V5:V68)</f>
        <v>0</v>
      </c>
      <c r="AD267" s="537">
        <f t="shared" ca="1" si="42"/>
        <v>0</v>
      </c>
      <c r="AE267" s="533"/>
      <c r="AF267" s="537">
        <f ca="1">SUMIF(CPQL!$D$5:$W$68,'FORM OH'!$I$267,CPQL!Y5:Y68)</f>
        <v>0</v>
      </c>
      <c r="AG267" s="537">
        <f ca="1">SUMIF(CPQL!$D$5:$W$68,'FORM OH'!$I$267,CPQL!Z5:Z68)</f>
        <v>0</v>
      </c>
      <c r="AH267" s="537">
        <f ca="1">SUMIF(CPQL!$D$5:$W$68,'FORM OH'!$I$267,CPQL!AA5:AA68)</f>
        <v>0</v>
      </c>
      <c r="AI267" s="537">
        <f ca="1">SUMIF(CPQL!$D$5:$W$68,'FORM OH'!$I$267,CPQL!AB5:AB68)</f>
        <v>0</v>
      </c>
      <c r="AJ267" s="537">
        <f ca="1">SUMIF(CPQL!$D$5:$W$68,'FORM OH'!$I$267,CPQL!AC5:AC68)</f>
        <v>0</v>
      </c>
      <c r="AK267" s="537">
        <f ca="1">SUMIF(CPQL!$D$5:$W$68,'FORM OH'!$I$267,CPQL!AD5:AD68)</f>
        <v>0</v>
      </c>
      <c r="AL267" s="537">
        <f ca="1">SUMIF(CPQL!$D$5:$W$68,'FORM OH'!$I$267,CPQL!AE5:AE68)</f>
        <v>0</v>
      </c>
      <c r="AM267" s="537">
        <f ca="1">SUMIF(CPQL!$D$5:$W$68,'FORM OH'!$I$267,CPQL!AF5:AF68)</f>
        <v>0</v>
      </c>
      <c r="AN267" s="537">
        <f ca="1">SUMIF(CPQL!$D$5:$W$68,'FORM OH'!$I$267,CPQL!AG5:AG68)</f>
        <v>0</v>
      </c>
      <c r="AO267" s="537">
        <f ca="1">SUMIF(CPQL!$D$5:$W$68,'FORM OH'!$I$267,CPQL!AH5:AH68)</f>
        <v>0</v>
      </c>
      <c r="AP267" s="537">
        <f ca="1">SUMIF(CPQL!$D$5:$W$68,'FORM OH'!$I$267,CPQL!AI5:AI68)</f>
        <v>0</v>
      </c>
      <c r="AQ267" s="537">
        <f ca="1">SUMIF(CPQL!$D$5:$W$68,'FORM OH'!$I$267,CPQL!AJ5:AJ68)</f>
        <v>0</v>
      </c>
      <c r="AR267" s="1284">
        <f t="shared" ca="1" si="39"/>
        <v>0</v>
      </c>
      <c r="AS267" s="1284">
        <f t="shared" ref="AS267:AS330" ca="1" si="45">AD267-AR267</f>
        <v>0</v>
      </c>
      <c r="AT267" s="1297">
        <f t="shared" ref="AT267:AT330" ca="1" si="46">IFERROR(AS267/AR267,0)</f>
        <v>0</v>
      </c>
    </row>
    <row r="268" spans="1:46" s="539" customFormat="1" ht="16.399999999999999" customHeight="1" outlineLevel="1" x14ac:dyDescent="0.35">
      <c r="A268" s="534" t="s">
        <v>782</v>
      </c>
      <c r="B268" s="534" t="s">
        <v>783</v>
      </c>
      <c r="C268" s="535" t="s">
        <v>1418</v>
      </c>
      <c r="D268" s="536" t="s">
        <v>817</v>
      </c>
      <c r="E268" s="536" t="s">
        <v>818</v>
      </c>
      <c r="F268" s="536" t="s">
        <v>963</v>
      </c>
      <c r="G268" s="536" t="s">
        <v>1431</v>
      </c>
      <c r="H268" s="536" t="s">
        <v>964</v>
      </c>
      <c r="I268" s="535" t="s">
        <v>1454</v>
      </c>
      <c r="J268" s="536" t="s">
        <v>435</v>
      </c>
      <c r="K268" s="536" t="s">
        <v>580</v>
      </c>
      <c r="L268" s="535" t="s">
        <v>966</v>
      </c>
      <c r="M268" s="536" t="s">
        <v>967</v>
      </c>
      <c r="N268" s="536"/>
      <c r="O268" s="535"/>
      <c r="P268" s="536"/>
      <c r="Q268" s="536"/>
      <c r="R268" s="537">
        <f ca="1">SUMIF(CPQL!$D$5:$W$68,'FORM OH'!$I$268,CPQL!K5:K68)</f>
        <v>0</v>
      </c>
      <c r="S268" s="537">
        <f ca="1">SUMIF(CPQL!$D$5:$W$68,'FORM OH'!$I$268,CPQL!L5:L68)</f>
        <v>0</v>
      </c>
      <c r="T268" s="537">
        <f ca="1">SUMIF(CPQL!$D$5:$W$68,'FORM OH'!$I$268,CPQL!M5:M68)</f>
        <v>0</v>
      </c>
      <c r="U268" s="537">
        <f ca="1">SUMIF(CPQL!$D$5:$W$68,'FORM OH'!$I$268,CPQL!N5:N68)</f>
        <v>0</v>
      </c>
      <c r="V268" s="537">
        <f ca="1">SUMIF(CPQL!$D$5:$W$68,'FORM OH'!$I$268,CPQL!O5:O68)</f>
        <v>0</v>
      </c>
      <c r="W268" s="537">
        <f ca="1">SUMIF(CPQL!$D$5:$W$68,'FORM OH'!$I$268,CPQL!P5:P68)</f>
        <v>0</v>
      </c>
      <c r="X268" s="537">
        <f ca="1">SUMIF(CPQL!$D$5:$W$68,'FORM OH'!$I$268,CPQL!Q5:Q68)</f>
        <v>0</v>
      </c>
      <c r="Y268" s="537">
        <f ca="1">SUMIF(CPQL!$D$5:$W$68,'FORM OH'!$I$268,CPQL!R5:R68)</f>
        <v>0</v>
      </c>
      <c r="Z268" s="537">
        <f ca="1">SUMIF(CPQL!$D$5:$W$68,'FORM OH'!$I$268,CPQL!S5:S68)</f>
        <v>0</v>
      </c>
      <c r="AA268" s="537">
        <f ca="1">SUMIF(CPQL!$D$5:$W$68,'FORM OH'!$I$268,CPQL!T5:T68)</f>
        <v>0</v>
      </c>
      <c r="AB268" s="537">
        <f ca="1">SUMIF(CPQL!$D$5:$W$68,'FORM OH'!$I$268,CPQL!U5:U68)</f>
        <v>0</v>
      </c>
      <c r="AC268" s="537">
        <f ca="1">SUMIF(CPQL!$D$5:$W$68,'FORM OH'!$I$268,CPQL!V5:V68)</f>
        <v>0</v>
      </c>
      <c r="AD268" s="537">
        <f t="shared" ca="1" si="42"/>
        <v>0</v>
      </c>
      <c r="AE268" s="533"/>
      <c r="AF268" s="537">
        <f ca="1">SUMIF(CPQL!$D$5:$W$68,'FORM OH'!$I$268,CPQL!Y5:Y68)</f>
        <v>2491403</v>
      </c>
      <c r="AG268" s="537">
        <f ca="1">SUMIF(CPQL!$D$5:$W$68,'FORM OH'!$I$268,CPQL!Z5:Z68)</f>
        <v>3424735</v>
      </c>
      <c r="AH268" s="537">
        <f ca="1">SUMIF(CPQL!$D$5:$W$68,'FORM OH'!$I$268,CPQL!AA5:AA68)</f>
        <v>0</v>
      </c>
      <c r="AI268" s="537">
        <f ca="1">SUMIF(CPQL!$D$5:$W$68,'FORM OH'!$I$268,CPQL!AB5:AB68)</f>
        <v>2273919</v>
      </c>
      <c r="AJ268" s="537">
        <f ca="1">SUMIF(CPQL!$D$5:$W$68,'FORM OH'!$I$268,CPQL!AC5:AC68)</f>
        <v>2101599</v>
      </c>
      <c r="AK268" s="537">
        <f ca="1">SUMIF(CPQL!$D$5:$W$68,'FORM OH'!$I$268,CPQL!AD5:AD68)</f>
        <v>0</v>
      </c>
      <c r="AL268" s="537">
        <f ca="1">SUMIF(CPQL!$D$5:$W$68,'FORM OH'!$I$268,CPQL!AE5:AE68)</f>
        <v>1962501</v>
      </c>
      <c r="AM268" s="537">
        <f ca="1">SUMIF(CPQL!$D$5:$W$68,'FORM OH'!$I$268,CPQL!AF5:AF68)</f>
        <v>1962499</v>
      </c>
      <c r="AN268" s="537">
        <f ca="1">SUMIF(CPQL!$D$5:$W$68,'FORM OH'!$I$268,CPQL!AG5:AG68)</f>
        <v>587493</v>
      </c>
      <c r="AO268" s="537">
        <f ca="1">SUMIF(CPQL!$D$5:$W$68,'FORM OH'!$I$268,CPQL!AH5:AH68)</f>
        <v>587493</v>
      </c>
      <c r="AP268" s="537">
        <f ca="1">SUMIF(CPQL!$D$5:$W$68,'FORM OH'!$I$268,CPQL!AI5:AI68)</f>
        <v>587493</v>
      </c>
      <c r="AQ268" s="537">
        <f ca="1">SUMIF(CPQL!$D$5:$W$68,'FORM OH'!$I$268,CPQL!AJ5:AJ68)</f>
        <v>587493</v>
      </c>
      <c r="AR268" s="1284">
        <f t="shared" ca="1" si="39"/>
        <v>16566628</v>
      </c>
      <c r="AS268" s="1284">
        <f t="shared" ca="1" si="45"/>
        <v>-16566628</v>
      </c>
      <c r="AT268" s="1297">
        <f t="shared" ca="1" si="46"/>
        <v>-1</v>
      </c>
    </row>
    <row r="269" spans="1:46" s="539" customFormat="1" ht="16.399999999999999" customHeight="1" outlineLevel="1" x14ac:dyDescent="0.35">
      <c r="A269" s="534" t="s">
        <v>782</v>
      </c>
      <c r="B269" s="534" t="s">
        <v>783</v>
      </c>
      <c r="C269" s="535" t="s">
        <v>1418</v>
      </c>
      <c r="D269" s="536" t="s">
        <v>817</v>
      </c>
      <c r="E269" s="536" t="s">
        <v>818</v>
      </c>
      <c r="F269" s="536" t="s">
        <v>963</v>
      </c>
      <c r="G269" s="536" t="s">
        <v>1431</v>
      </c>
      <c r="H269" s="536" t="s">
        <v>964</v>
      </c>
      <c r="I269" s="535" t="s">
        <v>1455</v>
      </c>
      <c r="J269" s="536" t="s">
        <v>1456</v>
      </c>
      <c r="K269" s="536" t="s">
        <v>580</v>
      </c>
      <c r="L269" s="535" t="s">
        <v>969</v>
      </c>
      <c r="M269" s="536" t="s">
        <v>970</v>
      </c>
      <c r="N269" s="536"/>
      <c r="O269" s="535"/>
      <c r="P269" s="536"/>
      <c r="Q269" s="536"/>
      <c r="R269" s="537">
        <f ca="1">SUMIF(CPQL!$D$5:$W$68,'FORM OH'!$I$269,CPQL!K5:K68)</f>
        <v>0</v>
      </c>
      <c r="S269" s="537">
        <f ca="1">SUMIF(CPQL!$D$5:$W$68,'FORM OH'!$I$269,CPQL!L5:L68)</f>
        <v>0</v>
      </c>
      <c r="T269" s="537">
        <f ca="1">SUMIF(CPQL!$D$5:$W$68,'FORM OH'!$I$269,CPQL!M5:M68)</f>
        <v>0</v>
      </c>
      <c r="U269" s="537">
        <f ca="1">SUMIF(CPQL!$D$5:$W$68,'FORM OH'!$I$269,CPQL!N5:N68)</f>
        <v>0</v>
      </c>
      <c r="V269" s="537">
        <f ca="1">SUMIF(CPQL!$D$5:$W$68,'FORM OH'!$I$269,CPQL!O5:O68)</f>
        <v>0</v>
      </c>
      <c r="W269" s="537">
        <f ca="1">SUMIF(CPQL!$D$5:$W$68,'FORM OH'!$I$269,CPQL!P5:P68)</f>
        <v>0</v>
      </c>
      <c r="X269" s="537">
        <f ca="1">SUMIF(CPQL!$D$5:$W$68,'FORM OH'!$I$269,CPQL!Q5:Q68)</f>
        <v>0</v>
      </c>
      <c r="Y269" s="537">
        <f ca="1">SUMIF(CPQL!$D$5:$W$68,'FORM OH'!$I$269,CPQL!R5:R68)</f>
        <v>0</v>
      </c>
      <c r="Z269" s="537">
        <f ca="1">SUMIF(CPQL!$D$5:$W$68,'FORM OH'!$I$269,CPQL!S5:S68)</f>
        <v>0</v>
      </c>
      <c r="AA269" s="537">
        <f ca="1">SUMIF(CPQL!$D$5:$W$68,'FORM OH'!$I$269,CPQL!T5:T68)</f>
        <v>0</v>
      </c>
      <c r="AB269" s="537">
        <f ca="1">SUMIF(CPQL!$D$5:$W$68,'FORM OH'!$I$269,CPQL!U5:U68)</f>
        <v>0</v>
      </c>
      <c r="AC269" s="537">
        <f ca="1">SUMIF(CPQL!$D$5:$W$68,'FORM OH'!$I$269,CPQL!V5:V68)</f>
        <v>0</v>
      </c>
      <c r="AD269" s="537">
        <f t="shared" ca="1" si="42"/>
        <v>0</v>
      </c>
      <c r="AE269" s="533"/>
      <c r="AF269" s="537">
        <f ca="1">SUMIF(CPQL!$D$5:$W$68,'FORM OH'!$I$269,CPQL!Y5:Y68)</f>
        <v>0</v>
      </c>
      <c r="AG269" s="537">
        <f ca="1">SUMIF(CPQL!$D$5:$W$68,'FORM OH'!$I$269,CPQL!Z5:Z68)</f>
        <v>0</v>
      </c>
      <c r="AH269" s="537">
        <f ca="1">SUMIF(CPQL!$D$5:$W$68,'FORM OH'!$I$269,CPQL!AA5:AA68)</f>
        <v>0</v>
      </c>
      <c r="AI269" s="537">
        <f ca="1">SUMIF(CPQL!$D$5:$W$68,'FORM OH'!$I$269,CPQL!AB5:AB68)</f>
        <v>0</v>
      </c>
      <c r="AJ269" s="537">
        <f ca="1">SUMIF(CPQL!$D$5:$W$68,'FORM OH'!$I$269,CPQL!AC5:AC68)</f>
        <v>0</v>
      </c>
      <c r="AK269" s="537">
        <f ca="1">SUMIF(CPQL!$D$5:$W$68,'FORM OH'!$I$269,CPQL!AD5:AD68)</f>
        <v>0</v>
      </c>
      <c r="AL269" s="537">
        <f ca="1">SUMIF(CPQL!$D$5:$W$68,'FORM OH'!$I$269,CPQL!AE5:AE68)</f>
        <v>0</v>
      </c>
      <c r="AM269" s="537">
        <f ca="1">SUMIF(CPQL!$D$5:$W$68,'FORM OH'!$I$269,CPQL!AF5:AF68)</f>
        <v>0</v>
      </c>
      <c r="AN269" s="537">
        <f ca="1">SUMIF(CPQL!$D$5:$W$68,'FORM OH'!$I$269,CPQL!AG5:AG68)</f>
        <v>0</v>
      </c>
      <c r="AO269" s="537">
        <f ca="1">SUMIF(CPQL!$D$5:$W$68,'FORM OH'!$I$269,CPQL!AH5:AH68)</f>
        <v>0</v>
      </c>
      <c r="AP269" s="537">
        <f ca="1">SUMIF(CPQL!$D$5:$W$68,'FORM OH'!$I$269,CPQL!AI5:AI68)</f>
        <v>0</v>
      </c>
      <c r="AQ269" s="537">
        <f ca="1">SUMIF(CPQL!$D$5:$W$68,'FORM OH'!$I$269,CPQL!AJ5:AJ68)</f>
        <v>0</v>
      </c>
      <c r="AR269" s="1284">
        <f t="shared" ca="1" si="39"/>
        <v>0</v>
      </c>
      <c r="AS269" s="1284">
        <f t="shared" ca="1" si="45"/>
        <v>0</v>
      </c>
      <c r="AT269" s="1297">
        <f t="shared" ca="1" si="46"/>
        <v>0</v>
      </c>
    </row>
    <row r="270" spans="1:46" s="539" customFormat="1" ht="16.399999999999999" customHeight="1" outlineLevel="1" x14ac:dyDescent="0.35">
      <c r="A270" s="534" t="s">
        <v>782</v>
      </c>
      <c r="B270" s="534" t="s">
        <v>783</v>
      </c>
      <c r="C270" s="535" t="s">
        <v>1418</v>
      </c>
      <c r="D270" s="536" t="s">
        <v>817</v>
      </c>
      <c r="E270" s="536" t="s">
        <v>818</v>
      </c>
      <c r="F270" s="536" t="s">
        <v>963</v>
      </c>
      <c r="G270" s="536" t="s">
        <v>1431</v>
      </c>
      <c r="H270" s="536" t="s">
        <v>964</v>
      </c>
      <c r="I270" s="535" t="s">
        <v>1457</v>
      </c>
      <c r="J270" s="536" t="s">
        <v>436</v>
      </c>
      <c r="K270" s="536" t="s">
        <v>580</v>
      </c>
      <c r="L270" s="535" t="s">
        <v>972</v>
      </c>
      <c r="M270" s="536" t="s">
        <v>973</v>
      </c>
      <c r="N270" s="536"/>
      <c r="O270" s="535"/>
      <c r="P270" s="536"/>
      <c r="Q270" s="536"/>
      <c r="R270" s="537">
        <f ca="1">SUMIF(CPQL!$D$5:$W$68,'FORM OH'!$I$270,CPQL!K5:K68)</f>
        <v>6566102.222222222</v>
      </c>
      <c r="S270" s="537">
        <f ca="1">SUMIF(CPQL!$D$5:$W$68,'FORM OH'!$I$270,CPQL!L5:L68)</f>
        <v>4566102.222222222</v>
      </c>
      <c r="T270" s="537">
        <f ca="1">SUMIF(CPQL!$D$5:$W$68,'FORM OH'!$I$270,CPQL!M5:M68)</f>
        <v>4566102.222222222</v>
      </c>
      <c r="U270" s="537">
        <f ca="1">SUMIF(CPQL!$D$5:$W$68,'FORM OH'!$I$270,CPQL!N5:N68)</f>
        <v>5904819.222222222</v>
      </c>
      <c r="V270" s="537">
        <f ca="1">SUMIF(CPQL!$D$5:$W$68,'FORM OH'!$I$270,CPQL!O5:O68)</f>
        <v>3607211.222222222</v>
      </c>
      <c r="W270" s="537">
        <f ca="1">SUMIF(CPQL!$D$5:$W$68,'FORM OH'!$I$270,CPQL!P5:P68)</f>
        <v>2572222.222222222</v>
      </c>
      <c r="X270" s="537">
        <f ca="1">SUMIF(CPQL!$D$5:$W$68,'FORM OH'!$I$270,CPQL!Q5:Q68)</f>
        <v>4572222.222222222</v>
      </c>
      <c r="Y270" s="537">
        <f ca="1">SUMIF(CPQL!$D$5:$W$68,'FORM OH'!$I$270,CPQL!R5:R68)</f>
        <v>2572222.222222222</v>
      </c>
      <c r="Z270" s="537">
        <f ca="1">SUMIF(CPQL!$D$5:$W$68,'FORM OH'!$I$270,CPQL!S5:S68)</f>
        <v>2572222.222222222</v>
      </c>
      <c r="AA270" s="537">
        <f ca="1">SUMIF(CPQL!$D$5:$W$68,'FORM OH'!$I$270,CPQL!T5:T68)</f>
        <v>4572222.222222222</v>
      </c>
      <c r="AB270" s="537">
        <f ca="1">SUMIF(CPQL!$D$5:$W$68,'FORM OH'!$I$270,CPQL!U5:U68)</f>
        <v>2572222.222222222</v>
      </c>
      <c r="AC270" s="537">
        <f ca="1">SUMIF(CPQL!$D$5:$W$68,'FORM OH'!$I$270,CPQL!V5:V68)</f>
        <v>2572222.222222222</v>
      </c>
      <c r="AD270" s="537">
        <f t="shared" ca="1" si="42"/>
        <v>47215892.666666679</v>
      </c>
      <c r="AE270" s="533"/>
      <c r="AF270" s="537">
        <f ca="1">SUMIF(CPQL!$D$5:$W$68,'FORM OH'!$I$270,CPQL!Y5:Y68)</f>
        <v>5935925</v>
      </c>
      <c r="AG270" s="537">
        <f ca="1">SUMIF(CPQL!$D$5:$W$68,'FORM OH'!$I$270,CPQL!Z5:Z68)</f>
        <v>3925925</v>
      </c>
      <c r="AH270" s="537">
        <f ca="1">SUMIF(CPQL!$D$5:$W$68,'FORM OH'!$I$270,CPQL!AA5:AA68)</f>
        <v>3617216</v>
      </c>
      <c r="AI270" s="537">
        <f ca="1">SUMIF(CPQL!$D$5:$W$68,'FORM OH'!$I$270,CPQL!AB5:AB68)</f>
        <v>3617213</v>
      </c>
      <c r="AJ270" s="537">
        <f ca="1">SUMIF(CPQL!$D$5:$W$68,'FORM OH'!$I$270,CPQL!AC5:AC68)</f>
        <v>4025393</v>
      </c>
      <c r="AK270" s="537">
        <f ca="1">SUMIF(CPQL!$D$5:$W$68,'FORM OH'!$I$270,CPQL!AD5:AD68)</f>
        <v>7931547</v>
      </c>
      <c r="AL270" s="537">
        <f ca="1">SUMIF(CPQL!$D$5:$W$68,'FORM OH'!$I$270,CPQL!AE5:AE68)</f>
        <v>4505547</v>
      </c>
      <c r="AM270" s="537">
        <f ca="1">SUMIF(CPQL!$D$5:$W$68,'FORM OH'!$I$270,CPQL!AF5:AF68)</f>
        <v>4235547</v>
      </c>
      <c r="AN270" s="537">
        <f ca="1">SUMIF(CPQL!$D$5:$W$68,'FORM OH'!$I$270,CPQL!AG5:AG68)</f>
        <v>3322210</v>
      </c>
      <c r="AO270" s="537">
        <f ca="1">SUMIF(CPQL!$D$5:$W$68,'FORM OH'!$I$270,CPQL!AH5:AH68)</f>
        <v>1993880</v>
      </c>
      <c r="AP270" s="537">
        <f ca="1">SUMIF(CPQL!$D$5:$W$68,'FORM OH'!$I$270,CPQL!AI5:AI68)</f>
        <v>1993880</v>
      </c>
      <c r="AQ270" s="537">
        <f ca="1">SUMIF(CPQL!$D$5:$W$68,'FORM OH'!$I$270,CPQL!AJ5:AJ68)</f>
        <v>1993880</v>
      </c>
      <c r="AR270" s="1284">
        <f t="shared" ca="1" si="39"/>
        <v>47098163</v>
      </c>
      <c r="AS270" s="1284">
        <f t="shared" ca="1" si="45"/>
        <v>117729.66666667908</v>
      </c>
      <c r="AT270" s="1297">
        <f t="shared" ca="1" si="46"/>
        <v>2.499665786682149E-3</v>
      </c>
    </row>
    <row r="271" spans="1:46" s="539" customFormat="1" ht="16.399999999999999" customHeight="1" outlineLevel="1" x14ac:dyDescent="0.35">
      <c r="A271" s="534" t="s">
        <v>782</v>
      </c>
      <c r="B271" s="534" t="s">
        <v>783</v>
      </c>
      <c r="C271" s="535" t="s">
        <v>1418</v>
      </c>
      <c r="D271" s="536" t="s">
        <v>817</v>
      </c>
      <c r="E271" s="536" t="s">
        <v>818</v>
      </c>
      <c r="F271" s="536" t="s">
        <v>963</v>
      </c>
      <c r="G271" s="536" t="s">
        <v>1431</v>
      </c>
      <c r="H271" s="536" t="s">
        <v>964</v>
      </c>
      <c r="I271" s="535" t="s">
        <v>1458</v>
      </c>
      <c r="J271" s="536" t="s">
        <v>436</v>
      </c>
      <c r="K271" s="536" t="s">
        <v>580</v>
      </c>
      <c r="L271" s="535" t="s">
        <v>972</v>
      </c>
      <c r="M271" s="536" t="s">
        <v>973</v>
      </c>
      <c r="N271" s="536"/>
      <c r="O271" s="535"/>
      <c r="P271" s="536"/>
      <c r="Q271" s="536"/>
      <c r="R271" s="537">
        <f ca="1">SUMIF(CPQL!$D$5:$W$68,'FORM OH'!$I$271,CPQL!K5:K68)</f>
        <v>0</v>
      </c>
      <c r="S271" s="537">
        <f ca="1">SUMIF(CPQL!$D$5:$W$68,'FORM OH'!$I$271,CPQL!L5:L68)</f>
        <v>0</v>
      </c>
      <c r="T271" s="537">
        <f ca="1">SUMIF(CPQL!$D$5:$W$68,'FORM OH'!$I$271,CPQL!M5:M68)</f>
        <v>0</v>
      </c>
      <c r="U271" s="537">
        <f ca="1">SUMIF(CPQL!$D$5:$W$68,'FORM OH'!$I$271,CPQL!N5:N68)</f>
        <v>0</v>
      </c>
      <c r="V271" s="537">
        <f ca="1">SUMIF(CPQL!$D$5:$W$68,'FORM OH'!$I$271,CPQL!O5:O68)</f>
        <v>0</v>
      </c>
      <c r="W271" s="537">
        <f ca="1">SUMIF(CPQL!$D$5:$W$68,'FORM OH'!$I$271,CPQL!P5:P68)</f>
        <v>0</v>
      </c>
      <c r="X271" s="537">
        <f ca="1">SUMIF(CPQL!$D$5:$W$68,'FORM OH'!$I$271,CPQL!Q5:Q68)</f>
        <v>0</v>
      </c>
      <c r="Y271" s="537">
        <f ca="1">SUMIF(CPQL!$D$5:$W$68,'FORM OH'!$I$271,CPQL!R5:R68)</f>
        <v>0</v>
      </c>
      <c r="Z271" s="537">
        <f ca="1">SUMIF(CPQL!$D$5:$W$68,'FORM OH'!$I$271,CPQL!S5:S68)</f>
        <v>0</v>
      </c>
      <c r="AA271" s="537">
        <f ca="1">SUMIF(CPQL!$D$5:$W$68,'FORM OH'!$I$271,CPQL!T5:T68)</f>
        <v>0</v>
      </c>
      <c r="AB271" s="537">
        <f ca="1">SUMIF(CPQL!$D$5:$W$68,'FORM OH'!$I$271,CPQL!U5:U68)</f>
        <v>0</v>
      </c>
      <c r="AC271" s="537">
        <f ca="1">SUMIF(CPQL!$D$5:$W$68,'FORM OH'!$I$271,CPQL!V5:V68)</f>
        <v>0</v>
      </c>
      <c r="AD271" s="537">
        <f t="shared" ca="1" si="42"/>
        <v>0</v>
      </c>
      <c r="AE271" s="533"/>
      <c r="AF271" s="537">
        <f ca="1">SUMIF(CPQL!$D$5:$W$68,'FORM OH'!$I$271,CPQL!Y5:Y68)</f>
        <v>0</v>
      </c>
      <c r="AG271" s="537">
        <f ca="1">SUMIF(CPQL!$D$5:$W$68,'FORM OH'!$I$271,CPQL!Z5:Z68)</f>
        <v>0</v>
      </c>
      <c r="AH271" s="537">
        <f ca="1">SUMIF(CPQL!$D$5:$W$68,'FORM OH'!$I$271,CPQL!AA5:AA68)</f>
        <v>0</v>
      </c>
      <c r="AI271" s="537">
        <f ca="1">SUMIF(CPQL!$D$5:$W$68,'FORM OH'!$I$271,CPQL!AB5:AB68)</f>
        <v>0</v>
      </c>
      <c r="AJ271" s="537">
        <f ca="1">SUMIF(CPQL!$D$5:$W$68,'FORM OH'!$I$271,CPQL!AC5:AC68)</f>
        <v>0</v>
      </c>
      <c r="AK271" s="537">
        <f ca="1">SUMIF(CPQL!$D$5:$W$68,'FORM OH'!$I$271,CPQL!AD5:AD68)</f>
        <v>0</v>
      </c>
      <c r="AL271" s="537">
        <f ca="1">SUMIF(CPQL!$D$5:$W$68,'FORM OH'!$I$271,CPQL!AE5:AE68)</f>
        <v>0</v>
      </c>
      <c r="AM271" s="537">
        <f ca="1">SUMIF(CPQL!$D$5:$W$68,'FORM OH'!$I$271,CPQL!AF5:AF68)</f>
        <v>0</v>
      </c>
      <c r="AN271" s="537">
        <f ca="1">SUMIF(CPQL!$D$5:$W$68,'FORM OH'!$I$271,CPQL!AG5:AG68)</f>
        <v>0</v>
      </c>
      <c r="AO271" s="537">
        <f ca="1">SUMIF(CPQL!$D$5:$W$68,'FORM OH'!$I$271,CPQL!AH5:AH68)</f>
        <v>0</v>
      </c>
      <c r="AP271" s="537">
        <f ca="1">SUMIF(CPQL!$D$5:$W$68,'FORM OH'!$I$271,CPQL!AI5:AI68)</f>
        <v>0</v>
      </c>
      <c r="AQ271" s="537">
        <f ca="1">SUMIF(CPQL!$D$5:$W$68,'FORM OH'!$I$271,CPQL!AJ5:AJ68)</f>
        <v>0</v>
      </c>
      <c r="AR271" s="1284">
        <f t="shared" ca="1" si="39"/>
        <v>0</v>
      </c>
      <c r="AS271" s="1284">
        <f t="shared" ca="1" si="45"/>
        <v>0</v>
      </c>
      <c r="AT271" s="1297">
        <f t="shared" ca="1" si="46"/>
        <v>0</v>
      </c>
    </row>
    <row r="272" spans="1:46" s="539" customFormat="1" ht="16.399999999999999" customHeight="1" outlineLevel="1" x14ac:dyDescent="0.35">
      <c r="A272" s="534" t="s">
        <v>782</v>
      </c>
      <c r="B272" s="534" t="s">
        <v>783</v>
      </c>
      <c r="C272" s="535" t="s">
        <v>1418</v>
      </c>
      <c r="D272" s="536" t="s">
        <v>817</v>
      </c>
      <c r="E272" s="536" t="s">
        <v>818</v>
      </c>
      <c r="F272" s="536" t="s">
        <v>1459</v>
      </c>
      <c r="G272" s="536" t="s">
        <v>1431</v>
      </c>
      <c r="H272" s="536" t="s">
        <v>479</v>
      </c>
      <c r="I272" s="535" t="s">
        <v>1460</v>
      </c>
      <c r="J272" s="536" t="s">
        <v>479</v>
      </c>
      <c r="K272" s="536" t="s">
        <v>587</v>
      </c>
      <c r="L272" s="535" t="s">
        <v>1461</v>
      </c>
      <c r="M272" s="536" t="s">
        <v>1462</v>
      </c>
      <c r="N272" s="536"/>
      <c r="O272" s="535"/>
      <c r="P272" s="536"/>
      <c r="Q272" s="536"/>
      <c r="R272" s="537">
        <f ca="1">SUMIF(CPQL!$D$5:$W$68,'FORM OH'!$I$272,CPQL!K5:K68)</f>
        <v>0</v>
      </c>
      <c r="S272" s="537">
        <f ca="1">SUMIF(CPQL!$D$5:$W$68,'FORM OH'!$I$272,CPQL!L5:L68)</f>
        <v>0</v>
      </c>
      <c r="T272" s="537">
        <f ca="1">SUMIF(CPQL!$D$5:$W$68,'FORM OH'!$I$272,CPQL!M5:M68)</f>
        <v>0</v>
      </c>
      <c r="U272" s="537">
        <f ca="1">SUMIF(CPQL!$D$5:$W$68,'FORM OH'!$I$272,CPQL!N5:N68)</f>
        <v>0</v>
      </c>
      <c r="V272" s="537">
        <f ca="1">SUMIF(CPQL!$D$5:$W$68,'FORM OH'!$I$272,CPQL!O5:O68)</f>
        <v>0</v>
      </c>
      <c r="W272" s="537">
        <f ca="1">SUMIF(CPQL!$D$5:$W$68,'FORM OH'!$I$272,CPQL!P5:P68)</f>
        <v>0</v>
      </c>
      <c r="X272" s="537">
        <f ca="1">SUMIF(CPQL!$D$5:$W$68,'FORM OH'!$I$272,CPQL!Q5:Q68)</f>
        <v>0</v>
      </c>
      <c r="Y272" s="537">
        <f ca="1">SUMIF(CPQL!$D$5:$W$68,'FORM OH'!$I$272,CPQL!R5:R68)</f>
        <v>0</v>
      </c>
      <c r="Z272" s="537">
        <f ca="1">SUMIF(CPQL!$D$5:$W$68,'FORM OH'!$I$272,CPQL!S5:S68)</f>
        <v>0</v>
      </c>
      <c r="AA272" s="537">
        <f ca="1">SUMIF(CPQL!$D$5:$W$68,'FORM OH'!$I$272,CPQL!T5:T68)</f>
        <v>0</v>
      </c>
      <c r="AB272" s="537">
        <f ca="1">SUMIF(CPQL!$D$5:$W$68,'FORM OH'!$I$272,CPQL!U5:U68)</f>
        <v>0</v>
      </c>
      <c r="AC272" s="537">
        <f ca="1">SUMIF(CPQL!$D$5:$W$68,'FORM OH'!$I$272,CPQL!V5:V68)</f>
        <v>0</v>
      </c>
      <c r="AD272" s="537">
        <f t="shared" ca="1" si="42"/>
        <v>0</v>
      </c>
      <c r="AE272" s="533"/>
      <c r="AF272" s="537">
        <f ca="1">SUMIF(CPQL!$D$5:$W$68,'FORM OH'!$I$272,CPQL!Y5:Y68)</f>
        <v>0</v>
      </c>
      <c r="AG272" s="537">
        <f ca="1">SUMIF(CPQL!$D$5:$W$68,'FORM OH'!$I$272,CPQL!Z5:Z68)</f>
        <v>0</v>
      </c>
      <c r="AH272" s="537">
        <f ca="1">SUMIF(CPQL!$D$5:$W$68,'FORM OH'!$I$272,CPQL!AA5:AA68)</f>
        <v>0</v>
      </c>
      <c r="AI272" s="537">
        <f ca="1">SUMIF(CPQL!$D$5:$W$68,'FORM OH'!$I$272,CPQL!AB5:AB68)</f>
        <v>0</v>
      </c>
      <c r="AJ272" s="537">
        <f ca="1">SUMIF(CPQL!$D$5:$W$68,'FORM OH'!$I$272,CPQL!AC5:AC68)</f>
        <v>0</v>
      </c>
      <c r="AK272" s="537">
        <f ca="1">SUMIF(CPQL!$D$5:$W$68,'FORM OH'!$I$272,CPQL!AD5:AD68)</f>
        <v>0</v>
      </c>
      <c r="AL272" s="537">
        <f ca="1">SUMIF(CPQL!$D$5:$W$68,'FORM OH'!$I$272,CPQL!AE5:AE68)</f>
        <v>0</v>
      </c>
      <c r="AM272" s="537">
        <f ca="1">SUMIF(CPQL!$D$5:$W$68,'FORM OH'!$I$272,CPQL!AF5:AF68)</f>
        <v>0</v>
      </c>
      <c r="AN272" s="537">
        <f ca="1">SUMIF(CPQL!$D$5:$W$68,'FORM OH'!$I$272,CPQL!AG5:AG68)</f>
        <v>0</v>
      </c>
      <c r="AO272" s="537">
        <f ca="1">SUMIF(CPQL!$D$5:$W$68,'FORM OH'!$I$272,CPQL!AH5:AH68)</f>
        <v>0</v>
      </c>
      <c r="AP272" s="537">
        <f ca="1">SUMIF(CPQL!$D$5:$W$68,'FORM OH'!$I$272,CPQL!AI5:AI68)</f>
        <v>0</v>
      </c>
      <c r="AQ272" s="537">
        <f ca="1">SUMIF(CPQL!$D$5:$W$68,'FORM OH'!$I$272,CPQL!AJ5:AJ68)</f>
        <v>0</v>
      </c>
      <c r="AR272" s="1284">
        <f t="shared" ca="1" si="39"/>
        <v>0</v>
      </c>
      <c r="AS272" s="1284">
        <f t="shared" ca="1" si="45"/>
        <v>0</v>
      </c>
      <c r="AT272" s="1297">
        <f t="shared" ca="1" si="46"/>
        <v>0</v>
      </c>
    </row>
    <row r="273" spans="1:46" s="539" customFormat="1" ht="16.399999999999999" customHeight="1" outlineLevel="1" x14ac:dyDescent="0.35">
      <c r="A273" s="534" t="s">
        <v>782</v>
      </c>
      <c r="B273" s="534" t="s">
        <v>783</v>
      </c>
      <c r="C273" s="535" t="s">
        <v>1418</v>
      </c>
      <c r="D273" s="536" t="s">
        <v>817</v>
      </c>
      <c r="E273" s="536" t="s">
        <v>818</v>
      </c>
      <c r="F273" s="536" t="s">
        <v>1459</v>
      </c>
      <c r="G273" s="536" t="s">
        <v>1431</v>
      </c>
      <c r="H273" s="536" t="s">
        <v>479</v>
      </c>
      <c r="I273" s="535" t="s">
        <v>1463</v>
      </c>
      <c r="J273" s="536" t="s">
        <v>479</v>
      </c>
      <c r="K273" s="536" t="s">
        <v>587</v>
      </c>
      <c r="L273" s="535" t="s">
        <v>1461</v>
      </c>
      <c r="M273" s="536" t="s">
        <v>1462</v>
      </c>
      <c r="N273" s="536"/>
      <c r="O273" s="535"/>
      <c r="P273" s="536"/>
      <c r="Q273" s="536"/>
      <c r="R273" s="537">
        <f ca="1">SUMIF(CPQL!$D$5:$W$68,'FORM OH'!$I$273,CPQL!K5:K68)</f>
        <v>0</v>
      </c>
      <c r="S273" s="537">
        <f ca="1">SUMIF(CPQL!$D$5:$W$68,'FORM OH'!$I$273,CPQL!L5:L68)</f>
        <v>0</v>
      </c>
      <c r="T273" s="537">
        <f ca="1">SUMIF(CPQL!$D$5:$W$68,'FORM OH'!$I$273,CPQL!M5:M68)</f>
        <v>0</v>
      </c>
      <c r="U273" s="537">
        <f ca="1">SUMIF(CPQL!$D$5:$W$68,'FORM OH'!$I$273,CPQL!N5:N68)</f>
        <v>0</v>
      </c>
      <c r="V273" s="537">
        <f ca="1">SUMIF(CPQL!$D$5:$W$68,'FORM OH'!$I$273,CPQL!O5:O68)</f>
        <v>0</v>
      </c>
      <c r="W273" s="537">
        <f ca="1">SUMIF(CPQL!$D$5:$W$68,'FORM OH'!$I$273,CPQL!P5:P68)</f>
        <v>0</v>
      </c>
      <c r="X273" s="537">
        <f ca="1">SUMIF(CPQL!$D$5:$W$68,'FORM OH'!$I$273,CPQL!Q5:Q68)</f>
        <v>0</v>
      </c>
      <c r="Y273" s="537">
        <f ca="1">SUMIF(CPQL!$D$5:$W$68,'FORM OH'!$I$273,CPQL!R5:R68)</f>
        <v>0</v>
      </c>
      <c r="Z273" s="537">
        <f ca="1">SUMIF(CPQL!$D$5:$W$68,'FORM OH'!$I$273,CPQL!S5:S68)</f>
        <v>0</v>
      </c>
      <c r="AA273" s="537">
        <f ca="1">SUMIF(CPQL!$D$5:$W$68,'FORM OH'!$I$273,CPQL!T5:T68)</f>
        <v>0</v>
      </c>
      <c r="AB273" s="537">
        <f ca="1">SUMIF(CPQL!$D$5:$W$68,'FORM OH'!$I$273,CPQL!U5:U68)</f>
        <v>0</v>
      </c>
      <c r="AC273" s="537">
        <f ca="1">SUMIF(CPQL!$D$5:$W$68,'FORM OH'!$I$273,CPQL!V5:V68)</f>
        <v>0</v>
      </c>
      <c r="AD273" s="537">
        <f t="shared" ref="AD273:AD336" ca="1" si="47">SUM(R273:AC273)</f>
        <v>0</v>
      </c>
      <c r="AE273" s="533"/>
      <c r="AF273" s="537">
        <f ca="1">SUMIF(CPQL!$D$5:$W$68,'FORM OH'!$I$273,CPQL!Y5:Y68)</f>
        <v>0</v>
      </c>
      <c r="AG273" s="537">
        <f ca="1">SUMIF(CPQL!$D$5:$W$68,'FORM OH'!$I$273,CPQL!Z5:Z68)</f>
        <v>0</v>
      </c>
      <c r="AH273" s="537">
        <f ca="1">SUMIF(CPQL!$D$5:$W$68,'FORM OH'!$I$273,CPQL!AA5:AA68)</f>
        <v>0</v>
      </c>
      <c r="AI273" s="537">
        <f ca="1">SUMIF(CPQL!$D$5:$W$68,'FORM OH'!$I$273,CPQL!AB5:AB68)</f>
        <v>0</v>
      </c>
      <c r="AJ273" s="537">
        <f ca="1">SUMIF(CPQL!$D$5:$W$68,'FORM OH'!$I$273,CPQL!AC5:AC68)</f>
        <v>0</v>
      </c>
      <c r="AK273" s="537">
        <f ca="1">SUMIF(CPQL!$D$5:$W$68,'FORM OH'!$I$273,CPQL!AD5:AD68)</f>
        <v>0</v>
      </c>
      <c r="AL273" s="537">
        <f ca="1">SUMIF(CPQL!$D$5:$W$68,'FORM OH'!$I$273,CPQL!AE5:AE68)</f>
        <v>0</v>
      </c>
      <c r="AM273" s="537">
        <f ca="1">SUMIF(CPQL!$D$5:$W$68,'FORM OH'!$I$273,CPQL!AF5:AF68)</f>
        <v>0</v>
      </c>
      <c r="AN273" s="537">
        <f ca="1">SUMIF(CPQL!$D$5:$W$68,'FORM OH'!$I$273,CPQL!AG5:AG68)</f>
        <v>0</v>
      </c>
      <c r="AO273" s="537">
        <f ca="1">SUMIF(CPQL!$D$5:$W$68,'FORM OH'!$I$273,CPQL!AH5:AH68)</f>
        <v>0</v>
      </c>
      <c r="AP273" s="537">
        <f ca="1">SUMIF(CPQL!$D$5:$W$68,'FORM OH'!$I$273,CPQL!AI5:AI68)</f>
        <v>0</v>
      </c>
      <c r="AQ273" s="537">
        <f ca="1">SUMIF(CPQL!$D$5:$W$68,'FORM OH'!$I$273,CPQL!AJ5:AJ68)</f>
        <v>0</v>
      </c>
      <c r="AR273" s="1284">
        <f t="shared" ca="1" si="39"/>
        <v>0</v>
      </c>
      <c r="AS273" s="1284">
        <f t="shared" ca="1" si="45"/>
        <v>0</v>
      </c>
      <c r="AT273" s="1297">
        <f t="shared" ca="1" si="46"/>
        <v>0</v>
      </c>
    </row>
    <row r="274" spans="1:46" s="539" customFormat="1" ht="16.399999999999999" customHeight="1" outlineLevel="1" x14ac:dyDescent="0.35">
      <c r="A274" s="534" t="s">
        <v>782</v>
      </c>
      <c r="B274" s="534" t="s">
        <v>783</v>
      </c>
      <c r="C274" s="535" t="s">
        <v>1418</v>
      </c>
      <c r="D274" s="536" t="s">
        <v>817</v>
      </c>
      <c r="E274" s="536" t="s">
        <v>818</v>
      </c>
      <c r="F274" s="536" t="s">
        <v>975</v>
      </c>
      <c r="G274" s="536" t="s">
        <v>1431</v>
      </c>
      <c r="H274" s="536" t="s">
        <v>976</v>
      </c>
      <c r="I274" s="535" t="s">
        <v>1464</v>
      </c>
      <c r="J274" s="536" t="s">
        <v>437</v>
      </c>
      <c r="K274" s="536" t="s">
        <v>570</v>
      </c>
      <c r="L274" s="535" t="s">
        <v>978</v>
      </c>
      <c r="M274" s="536" t="s">
        <v>979</v>
      </c>
      <c r="N274" s="536"/>
      <c r="O274" s="535"/>
      <c r="P274" s="536"/>
      <c r="Q274" s="536"/>
      <c r="R274" s="537">
        <f ca="1">SUMIF(CPQL!$D$5:$W$68,'FORM OH'!$I$274,CPQL!K5:K68)</f>
        <v>24891300</v>
      </c>
      <c r="S274" s="537">
        <f ca="1">SUMIF(CPQL!$D$5:$W$68,'FORM OH'!$I$274,CPQL!L5:L68)</f>
        <v>0</v>
      </c>
      <c r="T274" s="537">
        <f ca="1">SUMIF(CPQL!$D$5:$W$68,'FORM OH'!$I$274,CPQL!M5:M68)</f>
        <v>0</v>
      </c>
      <c r="U274" s="537">
        <f ca="1">SUMIF(CPQL!$D$5:$W$68,'FORM OH'!$I$274,CPQL!N5:N68)</f>
        <v>0</v>
      </c>
      <c r="V274" s="537">
        <f ca="1">SUMIF(CPQL!$D$5:$W$68,'FORM OH'!$I$274,CPQL!O5:O68)</f>
        <v>0</v>
      </c>
      <c r="W274" s="537">
        <f ca="1">SUMIF(CPQL!$D$5:$W$68,'FORM OH'!$I$274,CPQL!P5:P68)</f>
        <v>0</v>
      </c>
      <c r="X274" s="537">
        <f ca="1">SUMIF(CPQL!$D$5:$W$68,'FORM OH'!$I$274,CPQL!Q5:Q68)</f>
        <v>0</v>
      </c>
      <c r="Y274" s="537">
        <f ca="1">SUMIF(CPQL!$D$5:$W$68,'FORM OH'!$I$274,CPQL!R5:R68)</f>
        <v>0</v>
      </c>
      <c r="Z274" s="537">
        <f ca="1">SUMIF(CPQL!$D$5:$W$68,'FORM OH'!$I$274,CPQL!S5:S68)</f>
        <v>0</v>
      </c>
      <c r="AA274" s="537">
        <f ca="1">SUMIF(CPQL!$D$5:$W$68,'FORM OH'!$I$274,CPQL!T5:T68)</f>
        <v>0</v>
      </c>
      <c r="AB274" s="537">
        <f ca="1">SUMIF(CPQL!$D$5:$W$68,'FORM OH'!$I$274,CPQL!U5:U68)</f>
        <v>0</v>
      </c>
      <c r="AC274" s="537">
        <f ca="1">SUMIF(CPQL!$D$5:$W$68,'FORM OH'!$I$274,CPQL!V5:V68)</f>
        <v>0</v>
      </c>
      <c r="AD274" s="537">
        <f t="shared" ca="1" si="47"/>
        <v>24891300</v>
      </c>
      <c r="AE274" s="533"/>
      <c r="AF274" s="537">
        <f ca="1">SUMIF(CPQL!$D$5:$W$68,'FORM OH'!$I$274,CPQL!Y5:Y68)</f>
        <v>24135432</v>
      </c>
      <c r="AG274" s="537">
        <f ca="1">SUMIF(CPQL!$D$5:$W$68,'FORM OH'!$I$274,CPQL!Z5:Z68)</f>
        <v>0</v>
      </c>
      <c r="AH274" s="537">
        <f ca="1">SUMIF(CPQL!$D$5:$W$68,'FORM OH'!$I$274,CPQL!AA5:AA68)</f>
        <v>0</v>
      </c>
      <c r="AI274" s="537">
        <f ca="1">SUMIF(CPQL!$D$5:$W$68,'FORM OH'!$I$274,CPQL!AB5:AB68)</f>
        <v>0</v>
      </c>
      <c r="AJ274" s="537">
        <f ca="1">SUMIF(CPQL!$D$5:$W$68,'FORM OH'!$I$274,CPQL!AC5:AC68)</f>
        <v>0</v>
      </c>
      <c r="AK274" s="537">
        <f ca="1">SUMIF(CPQL!$D$5:$W$68,'FORM OH'!$I$274,CPQL!AD5:AD68)</f>
        <v>0</v>
      </c>
      <c r="AL274" s="537">
        <f ca="1">SUMIF(CPQL!$D$5:$W$68,'FORM OH'!$I$274,CPQL!AE5:AE68)</f>
        <v>236428</v>
      </c>
      <c r="AM274" s="537">
        <f ca="1">SUMIF(CPQL!$D$5:$W$68,'FORM OH'!$I$274,CPQL!AF5:AF68)</f>
        <v>549749</v>
      </c>
      <c r="AN274" s="537">
        <f ca="1">SUMIF(CPQL!$D$5:$W$68,'FORM OH'!$I$274,CPQL!AG5:AG68)</f>
        <v>0</v>
      </c>
      <c r="AO274" s="537">
        <f ca="1">SUMIF(CPQL!$D$5:$W$68,'FORM OH'!$I$274,CPQL!AH5:AH68)</f>
        <v>0</v>
      </c>
      <c r="AP274" s="537">
        <f ca="1">SUMIF(CPQL!$D$5:$W$68,'FORM OH'!$I$274,CPQL!AI5:AI68)</f>
        <v>0</v>
      </c>
      <c r="AQ274" s="537">
        <f ca="1">SUMIF(CPQL!$D$5:$W$68,'FORM OH'!$I$274,CPQL!AJ5:AJ68)</f>
        <v>0</v>
      </c>
      <c r="AR274" s="1284">
        <f t="shared" ca="1" si="39"/>
        <v>24921609</v>
      </c>
      <c r="AS274" s="1284">
        <f t="shared" ca="1" si="45"/>
        <v>-30309</v>
      </c>
      <c r="AT274" s="1297">
        <f t="shared" ca="1" si="46"/>
        <v>-1.2161734822177814E-3</v>
      </c>
    </row>
    <row r="275" spans="1:46" s="539" customFormat="1" ht="16.399999999999999" customHeight="1" outlineLevel="1" x14ac:dyDescent="0.35">
      <c r="A275" s="534" t="s">
        <v>782</v>
      </c>
      <c r="B275" s="534" t="s">
        <v>783</v>
      </c>
      <c r="C275" s="535" t="s">
        <v>1418</v>
      </c>
      <c r="D275" s="536" t="s">
        <v>817</v>
      </c>
      <c r="E275" s="536" t="s">
        <v>818</v>
      </c>
      <c r="F275" s="536" t="s">
        <v>980</v>
      </c>
      <c r="G275" s="536" t="s">
        <v>1431</v>
      </c>
      <c r="H275" s="536" t="s">
        <v>605</v>
      </c>
      <c r="I275" s="535" t="s">
        <v>1465</v>
      </c>
      <c r="J275" s="536" t="s">
        <v>982</v>
      </c>
      <c r="K275" s="536" t="s">
        <v>579</v>
      </c>
      <c r="L275" s="535" t="s">
        <v>983</v>
      </c>
      <c r="M275" s="536" t="s">
        <v>984</v>
      </c>
      <c r="N275" s="536"/>
      <c r="O275" s="535"/>
      <c r="P275" s="536"/>
      <c r="Q275" s="536"/>
      <c r="R275" s="537">
        <f ca="1">SUMIF(CPQL!$D$5:$W$68,'FORM OH'!$I$275,CPQL!K5:K68)</f>
        <v>0</v>
      </c>
      <c r="S275" s="537">
        <f ca="1">SUMIF(CPQL!$D$5:$W$68,'FORM OH'!$I$275,CPQL!L5:L68)</f>
        <v>0</v>
      </c>
      <c r="T275" s="537">
        <f ca="1">SUMIF(CPQL!$D$5:$W$68,'FORM OH'!$I$275,CPQL!M5:M68)</f>
        <v>0</v>
      </c>
      <c r="U275" s="537">
        <f ca="1">SUMIF(CPQL!$D$5:$W$68,'FORM OH'!$I$275,CPQL!N5:N68)</f>
        <v>0</v>
      </c>
      <c r="V275" s="537">
        <f ca="1">SUMIF(CPQL!$D$5:$W$68,'FORM OH'!$I$275,CPQL!O5:O68)</f>
        <v>0</v>
      </c>
      <c r="W275" s="537">
        <f ca="1">SUMIF(CPQL!$D$5:$W$68,'FORM OH'!$I$275,CPQL!P5:P68)</f>
        <v>0</v>
      </c>
      <c r="X275" s="537">
        <f ca="1">SUMIF(CPQL!$D$5:$W$68,'FORM OH'!$I$275,CPQL!Q5:Q68)</f>
        <v>0</v>
      </c>
      <c r="Y275" s="537">
        <f ca="1">SUMIF(CPQL!$D$5:$W$68,'FORM OH'!$I$275,CPQL!R5:R68)</f>
        <v>0</v>
      </c>
      <c r="Z275" s="537">
        <f ca="1">SUMIF(CPQL!$D$5:$W$68,'FORM OH'!$I$275,CPQL!S5:S68)</f>
        <v>0</v>
      </c>
      <c r="AA275" s="537">
        <f ca="1">SUMIF(CPQL!$D$5:$W$68,'FORM OH'!$I$275,CPQL!T5:T68)</f>
        <v>0</v>
      </c>
      <c r="AB275" s="537">
        <f ca="1">SUMIF(CPQL!$D$5:$W$68,'FORM OH'!$I$275,CPQL!U5:U68)</f>
        <v>0</v>
      </c>
      <c r="AC275" s="537">
        <f ca="1">SUMIF(CPQL!$D$5:$W$68,'FORM OH'!$I$275,CPQL!V5:V68)</f>
        <v>0</v>
      </c>
      <c r="AD275" s="537">
        <f t="shared" ca="1" si="47"/>
        <v>0</v>
      </c>
      <c r="AE275" s="533"/>
      <c r="AF275" s="537">
        <f ca="1">SUMIF(CPQL!$D$5:$W$68,'FORM OH'!$I$275,CPQL!Y5:Y68)</f>
        <v>0</v>
      </c>
      <c r="AG275" s="537">
        <f ca="1">SUMIF(CPQL!$D$5:$W$68,'FORM OH'!$I$275,CPQL!Z5:Z68)</f>
        <v>0</v>
      </c>
      <c r="AH275" s="537">
        <f ca="1">SUMIF(CPQL!$D$5:$W$68,'FORM OH'!$I$275,CPQL!AA5:AA68)</f>
        <v>0</v>
      </c>
      <c r="AI275" s="537">
        <f ca="1">SUMIF(CPQL!$D$5:$W$68,'FORM OH'!$I$275,CPQL!AB5:AB68)</f>
        <v>0</v>
      </c>
      <c r="AJ275" s="537">
        <f ca="1">SUMIF(CPQL!$D$5:$W$68,'FORM OH'!$I$275,CPQL!AC5:AC68)</f>
        <v>0</v>
      </c>
      <c r="AK275" s="537">
        <f ca="1">SUMIF(CPQL!$D$5:$W$68,'FORM OH'!$I$275,CPQL!AD5:AD68)</f>
        <v>0</v>
      </c>
      <c r="AL275" s="537">
        <f ca="1">SUMIF(CPQL!$D$5:$W$68,'FORM OH'!$I$275,CPQL!AE5:AE68)</f>
        <v>0</v>
      </c>
      <c r="AM275" s="537">
        <f ca="1">SUMIF(CPQL!$D$5:$W$68,'FORM OH'!$I$275,CPQL!AF5:AF68)</f>
        <v>0</v>
      </c>
      <c r="AN275" s="537">
        <f ca="1">SUMIF(CPQL!$D$5:$W$68,'FORM OH'!$I$275,CPQL!AG5:AG68)</f>
        <v>0</v>
      </c>
      <c r="AO275" s="537">
        <f ca="1">SUMIF(CPQL!$D$5:$W$68,'FORM OH'!$I$275,CPQL!AH5:AH68)</f>
        <v>0</v>
      </c>
      <c r="AP275" s="537">
        <f ca="1">SUMIF(CPQL!$D$5:$W$68,'FORM OH'!$I$275,CPQL!AI5:AI68)</f>
        <v>0</v>
      </c>
      <c r="AQ275" s="537">
        <f ca="1">SUMIF(CPQL!$D$5:$W$68,'FORM OH'!$I$275,CPQL!AJ5:AJ68)</f>
        <v>0</v>
      </c>
      <c r="AR275" s="1284">
        <f t="shared" ca="1" si="39"/>
        <v>0</v>
      </c>
      <c r="AS275" s="1284">
        <f t="shared" ca="1" si="45"/>
        <v>0</v>
      </c>
      <c r="AT275" s="1297">
        <f t="shared" ca="1" si="46"/>
        <v>0</v>
      </c>
    </row>
    <row r="276" spans="1:46" s="539" customFormat="1" ht="16.399999999999999" customHeight="1" outlineLevel="1" x14ac:dyDescent="0.35">
      <c r="A276" s="534" t="s">
        <v>782</v>
      </c>
      <c r="B276" s="534" t="s">
        <v>783</v>
      </c>
      <c r="C276" s="535" t="s">
        <v>1418</v>
      </c>
      <c r="D276" s="536" t="s">
        <v>817</v>
      </c>
      <c r="E276" s="536" t="s">
        <v>818</v>
      </c>
      <c r="F276" s="536" t="s">
        <v>980</v>
      </c>
      <c r="G276" s="536" t="s">
        <v>1431</v>
      </c>
      <c r="H276" s="536" t="s">
        <v>605</v>
      </c>
      <c r="I276" s="535" t="s">
        <v>1466</v>
      </c>
      <c r="J276" s="536" t="s">
        <v>982</v>
      </c>
      <c r="K276" s="536" t="s">
        <v>579</v>
      </c>
      <c r="L276" s="535" t="s">
        <v>983</v>
      </c>
      <c r="M276" s="536" t="s">
        <v>984</v>
      </c>
      <c r="N276" s="536"/>
      <c r="O276" s="535"/>
      <c r="P276" s="536"/>
      <c r="Q276" s="536"/>
      <c r="R276" s="537">
        <f ca="1">SUMIF(CPQL!$D$5:$W$68,'FORM OH'!$I$276,CPQL!K5:K68)</f>
        <v>0</v>
      </c>
      <c r="S276" s="537">
        <f ca="1">SUMIF(CPQL!$D$5:$W$68,'FORM OH'!$I$276,CPQL!L5:L68)</f>
        <v>0</v>
      </c>
      <c r="T276" s="537">
        <f ca="1">SUMIF(CPQL!$D$5:$W$68,'FORM OH'!$I$276,CPQL!M5:M68)</f>
        <v>0</v>
      </c>
      <c r="U276" s="537">
        <f ca="1">SUMIF(CPQL!$D$5:$W$68,'FORM OH'!$I$276,CPQL!N5:N68)</f>
        <v>0</v>
      </c>
      <c r="V276" s="537">
        <f ca="1">SUMIF(CPQL!$D$5:$W$68,'FORM OH'!$I$276,CPQL!O5:O68)</f>
        <v>0</v>
      </c>
      <c r="W276" s="537">
        <f ca="1">SUMIF(CPQL!$D$5:$W$68,'FORM OH'!$I$276,CPQL!P5:P68)</f>
        <v>0</v>
      </c>
      <c r="X276" s="537">
        <f ca="1">SUMIF(CPQL!$D$5:$W$68,'FORM OH'!$I$276,CPQL!Q5:Q68)</f>
        <v>0</v>
      </c>
      <c r="Y276" s="537">
        <f ca="1">SUMIF(CPQL!$D$5:$W$68,'FORM OH'!$I$276,CPQL!R5:R68)</f>
        <v>0</v>
      </c>
      <c r="Z276" s="537">
        <f ca="1">SUMIF(CPQL!$D$5:$W$68,'FORM OH'!$I$276,CPQL!S5:S68)</f>
        <v>0</v>
      </c>
      <c r="AA276" s="537">
        <f ca="1">SUMIF(CPQL!$D$5:$W$68,'FORM OH'!$I$276,CPQL!T5:T68)</f>
        <v>0</v>
      </c>
      <c r="AB276" s="537">
        <f ca="1">SUMIF(CPQL!$D$5:$W$68,'FORM OH'!$I$276,CPQL!U5:U68)</f>
        <v>0</v>
      </c>
      <c r="AC276" s="537">
        <f ca="1">SUMIF(CPQL!$D$5:$W$68,'FORM OH'!$I$276,CPQL!V5:V68)</f>
        <v>0</v>
      </c>
      <c r="AD276" s="537">
        <f t="shared" ca="1" si="47"/>
        <v>0</v>
      </c>
      <c r="AE276" s="533"/>
      <c r="AF276" s="537">
        <f ca="1">SUMIF(CPQL!$D$5:$W$68,'FORM OH'!$I$276,CPQL!Y5:Y68)</f>
        <v>0</v>
      </c>
      <c r="AG276" s="537">
        <f ca="1">SUMIF(CPQL!$D$5:$W$68,'FORM OH'!$I$276,CPQL!Z5:Z68)</f>
        <v>0</v>
      </c>
      <c r="AH276" s="537">
        <f ca="1">SUMIF(CPQL!$D$5:$W$68,'FORM OH'!$I$276,CPQL!AA5:AA68)</f>
        <v>0</v>
      </c>
      <c r="AI276" s="537">
        <f ca="1">SUMIF(CPQL!$D$5:$W$68,'FORM OH'!$I$276,CPQL!AB5:AB68)</f>
        <v>0</v>
      </c>
      <c r="AJ276" s="537">
        <f ca="1">SUMIF(CPQL!$D$5:$W$68,'FORM OH'!$I$276,CPQL!AC5:AC68)</f>
        <v>0</v>
      </c>
      <c r="AK276" s="537">
        <f ca="1">SUMIF(CPQL!$D$5:$W$68,'FORM OH'!$I$276,CPQL!AD5:AD68)</f>
        <v>0</v>
      </c>
      <c r="AL276" s="537">
        <f ca="1">SUMIF(CPQL!$D$5:$W$68,'FORM OH'!$I$276,CPQL!AE5:AE68)</f>
        <v>0</v>
      </c>
      <c r="AM276" s="537">
        <f ca="1">SUMIF(CPQL!$D$5:$W$68,'FORM OH'!$I$276,CPQL!AF5:AF68)</f>
        <v>0</v>
      </c>
      <c r="AN276" s="537">
        <f ca="1">SUMIF(CPQL!$D$5:$W$68,'FORM OH'!$I$276,CPQL!AG5:AG68)</f>
        <v>0</v>
      </c>
      <c r="AO276" s="537">
        <f ca="1">SUMIF(CPQL!$D$5:$W$68,'FORM OH'!$I$276,CPQL!AH5:AH68)</f>
        <v>0</v>
      </c>
      <c r="AP276" s="537">
        <f ca="1">SUMIF(CPQL!$D$5:$W$68,'FORM OH'!$I$276,CPQL!AI5:AI68)</f>
        <v>0</v>
      </c>
      <c r="AQ276" s="537">
        <f ca="1">SUMIF(CPQL!$D$5:$W$68,'FORM OH'!$I$276,CPQL!AJ5:AJ68)</f>
        <v>0</v>
      </c>
      <c r="AR276" s="1284">
        <f t="shared" ca="1" si="39"/>
        <v>0</v>
      </c>
      <c r="AS276" s="1284">
        <f t="shared" ca="1" si="45"/>
        <v>0</v>
      </c>
      <c r="AT276" s="1297">
        <f t="shared" ca="1" si="46"/>
        <v>0</v>
      </c>
    </row>
    <row r="277" spans="1:46" s="539" customFormat="1" ht="16.399999999999999" customHeight="1" outlineLevel="1" x14ac:dyDescent="0.35">
      <c r="A277" s="534" t="s">
        <v>782</v>
      </c>
      <c r="B277" s="534" t="s">
        <v>783</v>
      </c>
      <c r="C277" s="535" t="s">
        <v>1418</v>
      </c>
      <c r="D277" s="536" t="s">
        <v>817</v>
      </c>
      <c r="E277" s="536" t="s">
        <v>818</v>
      </c>
      <c r="F277" s="536" t="s">
        <v>980</v>
      </c>
      <c r="G277" s="536" t="s">
        <v>1431</v>
      </c>
      <c r="H277" s="536" t="s">
        <v>605</v>
      </c>
      <c r="I277" s="535" t="s">
        <v>1467</v>
      </c>
      <c r="J277" s="536" t="s">
        <v>1301</v>
      </c>
      <c r="K277" s="536" t="s">
        <v>579</v>
      </c>
      <c r="L277" s="535" t="s">
        <v>988</v>
      </c>
      <c r="M277" s="536" t="s">
        <v>989</v>
      </c>
      <c r="N277" s="536"/>
      <c r="O277" s="535"/>
      <c r="P277" s="536"/>
      <c r="Q277" s="536"/>
      <c r="R277" s="537">
        <f ca="1">SUMIF(CPQL!$D$5:$W$68,'FORM OH'!$I$277,CPQL!K5:K68)</f>
        <v>0</v>
      </c>
      <c r="S277" s="537">
        <f ca="1">SUMIF(CPQL!$D$5:$W$68,'FORM OH'!$I$277,CPQL!L5:L68)</f>
        <v>0</v>
      </c>
      <c r="T277" s="537">
        <f ca="1">SUMIF(CPQL!$D$5:$W$68,'FORM OH'!$I$277,CPQL!M5:M68)</f>
        <v>0</v>
      </c>
      <c r="U277" s="537">
        <f ca="1">SUMIF(CPQL!$D$5:$W$68,'FORM OH'!$I$277,CPQL!N5:N68)</f>
        <v>0</v>
      </c>
      <c r="V277" s="537">
        <f ca="1">SUMIF(CPQL!$D$5:$W$68,'FORM OH'!$I$277,CPQL!O5:O68)</f>
        <v>0</v>
      </c>
      <c r="W277" s="537">
        <f ca="1">SUMIF(CPQL!$D$5:$W$68,'FORM OH'!$I$277,CPQL!P5:P68)</f>
        <v>0</v>
      </c>
      <c r="X277" s="537">
        <f ca="1">SUMIF(CPQL!$D$5:$W$68,'FORM OH'!$I$277,CPQL!Q5:Q68)</f>
        <v>0</v>
      </c>
      <c r="Y277" s="537">
        <f ca="1">SUMIF(CPQL!$D$5:$W$68,'FORM OH'!$I$277,CPQL!R5:R68)</f>
        <v>0</v>
      </c>
      <c r="Z277" s="537">
        <f ca="1">SUMIF(CPQL!$D$5:$W$68,'FORM OH'!$I$277,CPQL!S5:S68)</f>
        <v>0</v>
      </c>
      <c r="AA277" s="537">
        <f ca="1">SUMIF(CPQL!$D$5:$W$68,'FORM OH'!$I$277,CPQL!T5:T68)</f>
        <v>0</v>
      </c>
      <c r="AB277" s="537">
        <f ca="1">SUMIF(CPQL!$D$5:$W$68,'FORM OH'!$I$277,CPQL!U5:U68)</f>
        <v>0</v>
      </c>
      <c r="AC277" s="537">
        <f ca="1">SUMIF(CPQL!$D$5:$W$68,'FORM OH'!$I$277,CPQL!V5:V68)</f>
        <v>0</v>
      </c>
      <c r="AD277" s="537">
        <f t="shared" ca="1" si="47"/>
        <v>0</v>
      </c>
      <c r="AE277" s="533"/>
      <c r="AF277" s="537">
        <f ca="1">SUMIF(CPQL!$D$5:$W$68,'FORM OH'!$I$277,CPQL!Y5:Y68)</f>
        <v>0</v>
      </c>
      <c r="AG277" s="537">
        <f ca="1">SUMIF(CPQL!$D$5:$W$68,'FORM OH'!$I$277,CPQL!Z5:Z68)</f>
        <v>0</v>
      </c>
      <c r="AH277" s="537">
        <f ca="1">SUMIF(CPQL!$D$5:$W$68,'FORM OH'!$I$277,CPQL!AA5:AA68)</f>
        <v>0</v>
      </c>
      <c r="AI277" s="537">
        <f ca="1">SUMIF(CPQL!$D$5:$W$68,'FORM OH'!$I$277,CPQL!AB5:AB68)</f>
        <v>0</v>
      </c>
      <c r="AJ277" s="537">
        <f ca="1">SUMIF(CPQL!$D$5:$W$68,'FORM OH'!$I$277,CPQL!AC5:AC68)</f>
        <v>0</v>
      </c>
      <c r="AK277" s="537">
        <f ca="1">SUMIF(CPQL!$D$5:$W$68,'FORM OH'!$I$277,CPQL!AD5:AD68)</f>
        <v>0</v>
      </c>
      <c r="AL277" s="537">
        <f ca="1">SUMIF(CPQL!$D$5:$W$68,'FORM OH'!$I$277,CPQL!AE5:AE68)</f>
        <v>0</v>
      </c>
      <c r="AM277" s="537">
        <f ca="1">SUMIF(CPQL!$D$5:$W$68,'FORM OH'!$I$277,CPQL!AF5:AF68)</f>
        <v>0</v>
      </c>
      <c r="AN277" s="537">
        <f ca="1">SUMIF(CPQL!$D$5:$W$68,'FORM OH'!$I$277,CPQL!AG5:AG68)</f>
        <v>0</v>
      </c>
      <c r="AO277" s="537">
        <f ca="1">SUMIF(CPQL!$D$5:$W$68,'FORM OH'!$I$277,CPQL!AH5:AH68)</f>
        <v>0</v>
      </c>
      <c r="AP277" s="537">
        <f ca="1">SUMIF(CPQL!$D$5:$W$68,'FORM OH'!$I$277,CPQL!AI5:AI68)</f>
        <v>0</v>
      </c>
      <c r="AQ277" s="537">
        <f ca="1">SUMIF(CPQL!$D$5:$W$68,'FORM OH'!$I$277,CPQL!AJ5:AJ68)</f>
        <v>0</v>
      </c>
      <c r="AR277" s="1284">
        <f t="shared" ca="1" si="39"/>
        <v>0</v>
      </c>
      <c r="AS277" s="1284">
        <f t="shared" ca="1" si="45"/>
        <v>0</v>
      </c>
      <c r="AT277" s="1297">
        <f t="shared" ca="1" si="46"/>
        <v>0</v>
      </c>
    </row>
    <row r="278" spans="1:46" s="539" customFormat="1" ht="16.399999999999999" customHeight="1" outlineLevel="1" x14ac:dyDescent="0.35">
      <c r="A278" s="534" t="s">
        <v>782</v>
      </c>
      <c r="B278" s="534" t="s">
        <v>783</v>
      </c>
      <c r="C278" s="535" t="s">
        <v>1418</v>
      </c>
      <c r="D278" s="536" t="s">
        <v>817</v>
      </c>
      <c r="E278" s="536" t="s">
        <v>818</v>
      </c>
      <c r="F278" s="536" t="s">
        <v>980</v>
      </c>
      <c r="G278" s="536" t="s">
        <v>1431</v>
      </c>
      <c r="H278" s="536" t="s">
        <v>605</v>
      </c>
      <c r="I278" s="535" t="s">
        <v>1468</v>
      </c>
      <c r="J278" s="536" t="s">
        <v>1301</v>
      </c>
      <c r="K278" s="536" t="s">
        <v>579</v>
      </c>
      <c r="L278" s="535" t="s">
        <v>988</v>
      </c>
      <c r="M278" s="536" t="s">
        <v>989</v>
      </c>
      <c r="N278" s="536"/>
      <c r="O278" s="535"/>
      <c r="P278" s="536"/>
      <c r="Q278" s="536"/>
      <c r="R278" s="537">
        <f ca="1">SUMIF(CPQL!$D$5:$W$68,'FORM OH'!$I$278,CPQL!K5:K68)</f>
        <v>0</v>
      </c>
      <c r="S278" s="537">
        <f ca="1">SUMIF(CPQL!$D$5:$W$68,'FORM OH'!$I$278,CPQL!L5:L68)</f>
        <v>0</v>
      </c>
      <c r="T278" s="537">
        <f ca="1">SUMIF(CPQL!$D$5:$W$68,'FORM OH'!$I$278,CPQL!M5:M68)</f>
        <v>0</v>
      </c>
      <c r="U278" s="537">
        <f ca="1">SUMIF(CPQL!$D$5:$W$68,'FORM OH'!$I$278,CPQL!N5:N68)</f>
        <v>0</v>
      </c>
      <c r="V278" s="537">
        <f ca="1">SUMIF(CPQL!$D$5:$W$68,'FORM OH'!$I$278,CPQL!O5:O68)</f>
        <v>0</v>
      </c>
      <c r="W278" s="537">
        <f ca="1">SUMIF(CPQL!$D$5:$W$68,'FORM OH'!$I$278,CPQL!P5:P68)</f>
        <v>0</v>
      </c>
      <c r="X278" s="537">
        <f ca="1">SUMIF(CPQL!$D$5:$W$68,'FORM OH'!$I$278,CPQL!Q5:Q68)</f>
        <v>0</v>
      </c>
      <c r="Y278" s="537">
        <f ca="1">SUMIF(CPQL!$D$5:$W$68,'FORM OH'!$I$278,CPQL!R5:R68)</f>
        <v>0</v>
      </c>
      <c r="Z278" s="537">
        <f ca="1">SUMIF(CPQL!$D$5:$W$68,'FORM OH'!$I$278,CPQL!S5:S68)</f>
        <v>0</v>
      </c>
      <c r="AA278" s="537">
        <f ca="1">SUMIF(CPQL!$D$5:$W$68,'FORM OH'!$I$278,CPQL!T5:T68)</f>
        <v>0</v>
      </c>
      <c r="AB278" s="537">
        <f ca="1">SUMIF(CPQL!$D$5:$W$68,'FORM OH'!$I$278,CPQL!U5:U68)</f>
        <v>0</v>
      </c>
      <c r="AC278" s="537">
        <f ca="1">SUMIF(CPQL!$D$5:$W$68,'FORM OH'!$I$278,CPQL!V5:V68)</f>
        <v>0</v>
      </c>
      <c r="AD278" s="537">
        <f t="shared" ca="1" si="47"/>
        <v>0</v>
      </c>
      <c r="AE278" s="533"/>
      <c r="AF278" s="537">
        <f ca="1">SUMIF(CPQL!$D$5:$W$68,'FORM OH'!$I$278,CPQL!Y5:Y68)</f>
        <v>0</v>
      </c>
      <c r="AG278" s="537">
        <f ca="1">SUMIF(CPQL!$D$5:$W$68,'FORM OH'!$I$278,CPQL!Z5:Z68)</f>
        <v>0</v>
      </c>
      <c r="AH278" s="537">
        <f ca="1">SUMIF(CPQL!$D$5:$W$68,'FORM OH'!$I$278,CPQL!AA5:AA68)</f>
        <v>0</v>
      </c>
      <c r="AI278" s="537">
        <f ca="1">SUMIF(CPQL!$D$5:$W$68,'FORM OH'!$I$278,CPQL!AB5:AB68)</f>
        <v>0</v>
      </c>
      <c r="AJ278" s="537">
        <f ca="1">SUMIF(CPQL!$D$5:$W$68,'FORM OH'!$I$278,CPQL!AC5:AC68)</f>
        <v>0</v>
      </c>
      <c r="AK278" s="537">
        <f ca="1">SUMIF(CPQL!$D$5:$W$68,'FORM OH'!$I$278,CPQL!AD5:AD68)</f>
        <v>0</v>
      </c>
      <c r="AL278" s="537">
        <f ca="1">SUMIF(CPQL!$D$5:$W$68,'FORM OH'!$I$278,CPQL!AE5:AE68)</f>
        <v>0</v>
      </c>
      <c r="AM278" s="537">
        <f ca="1">SUMIF(CPQL!$D$5:$W$68,'FORM OH'!$I$278,CPQL!AF5:AF68)</f>
        <v>0</v>
      </c>
      <c r="AN278" s="537">
        <f ca="1">SUMIF(CPQL!$D$5:$W$68,'FORM OH'!$I$278,CPQL!AG5:AG68)</f>
        <v>0</v>
      </c>
      <c r="AO278" s="537">
        <f ca="1">SUMIF(CPQL!$D$5:$W$68,'FORM OH'!$I$278,CPQL!AH5:AH68)</f>
        <v>0</v>
      </c>
      <c r="AP278" s="537">
        <f ca="1">SUMIF(CPQL!$D$5:$W$68,'FORM OH'!$I$278,CPQL!AI5:AI68)</f>
        <v>0</v>
      </c>
      <c r="AQ278" s="537">
        <f ca="1">SUMIF(CPQL!$D$5:$W$68,'FORM OH'!$I$278,CPQL!AJ5:AJ68)</f>
        <v>0</v>
      </c>
      <c r="AR278" s="1284">
        <f t="shared" ca="1" si="39"/>
        <v>0</v>
      </c>
      <c r="AS278" s="1284">
        <f t="shared" ca="1" si="45"/>
        <v>0</v>
      </c>
      <c r="AT278" s="1297">
        <f t="shared" ca="1" si="46"/>
        <v>0</v>
      </c>
    </row>
    <row r="279" spans="1:46" s="539" customFormat="1" ht="16.399999999999999" customHeight="1" outlineLevel="1" x14ac:dyDescent="0.35">
      <c r="A279" s="534" t="s">
        <v>782</v>
      </c>
      <c r="B279" s="534" t="s">
        <v>783</v>
      </c>
      <c r="C279" s="535" t="s">
        <v>1418</v>
      </c>
      <c r="D279" s="536" t="s">
        <v>817</v>
      </c>
      <c r="E279" s="536" t="s">
        <v>818</v>
      </c>
      <c r="F279" s="536" t="s">
        <v>980</v>
      </c>
      <c r="G279" s="536" t="s">
        <v>1431</v>
      </c>
      <c r="H279" s="536" t="s">
        <v>605</v>
      </c>
      <c r="I279" s="535" t="s">
        <v>1469</v>
      </c>
      <c r="J279" s="536" t="s">
        <v>1304</v>
      </c>
      <c r="K279" s="536" t="s">
        <v>579</v>
      </c>
      <c r="L279" s="535" t="s">
        <v>1305</v>
      </c>
      <c r="M279" s="536" t="s">
        <v>1306</v>
      </c>
      <c r="N279" s="536"/>
      <c r="O279" s="535"/>
      <c r="P279" s="536"/>
      <c r="Q279" s="536"/>
      <c r="R279" s="537">
        <f ca="1">SUMIF(CPQL!$D$5:$W$68,'FORM OH'!$I$279,CPQL!K5:K68)</f>
        <v>0</v>
      </c>
      <c r="S279" s="537">
        <f ca="1">SUMIF(CPQL!$D$5:$W$68,'FORM OH'!$I$279,CPQL!L5:L68)</f>
        <v>0</v>
      </c>
      <c r="T279" s="537">
        <f ca="1">SUMIF(CPQL!$D$5:$W$68,'FORM OH'!$I$279,CPQL!M5:M68)</f>
        <v>0</v>
      </c>
      <c r="U279" s="537">
        <f ca="1">SUMIF(CPQL!$D$5:$W$68,'FORM OH'!$I$279,CPQL!N5:N68)</f>
        <v>0</v>
      </c>
      <c r="V279" s="537">
        <f ca="1">SUMIF(CPQL!$D$5:$W$68,'FORM OH'!$I$279,CPQL!O5:O68)</f>
        <v>0</v>
      </c>
      <c r="W279" s="537">
        <f ca="1">SUMIF(CPQL!$D$5:$W$68,'FORM OH'!$I$279,CPQL!P5:P68)</f>
        <v>0</v>
      </c>
      <c r="X279" s="537">
        <f ca="1">SUMIF(CPQL!$D$5:$W$68,'FORM OH'!$I$279,CPQL!Q5:Q68)</f>
        <v>0</v>
      </c>
      <c r="Y279" s="537">
        <f ca="1">SUMIF(CPQL!$D$5:$W$68,'FORM OH'!$I$279,CPQL!R5:R68)</f>
        <v>0</v>
      </c>
      <c r="Z279" s="537">
        <f ca="1">SUMIF(CPQL!$D$5:$W$68,'FORM OH'!$I$279,CPQL!S5:S68)</f>
        <v>0</v>
      </c>
      <c r="AA279" s="537">
        <f ca="1">SUMIF(CPQL!$D$5:$W$68,'FORM OH'!$I$279,CPQL!T5:T68)</f>
        <v>0</v>
      </c>
      <c r="AB279" s="537">
        <f ca="1">SUMIF(CPQL!$D$5:$W$68,'FORM OH'!$I$279,CPQL!U5:U68)</f>
        <v>0</v>
      </c>
      <c r="AC279" s="537">
        <f ca="1">SUMIF(CPQL!$D$5:$W$68,'FORM OH'!$I$279,CPQL!V5:V68)</f>
        <v>0</v>
      </c>
      <c r="AD279" s="537">
        <f t="shared" ca="1" si="47"/>
        <v>0</v>
      </c>
      <c r="AE279" s="533"/>
      <c r="AF279" s="537">
        <f ca="1">SUMIF(CPQL!$D$5:$W$68,'FORM OH'!$I$279,CPQL!Y5:Y68)</f>
        <v>0</v>
      </c>
      <c r="AG279" s="537">
        <f ca="1">SUMIF(CPQL!$D$5:$W$68,'FORM OH'!$I$279,CPQL!Z5:Z68)</f>
        <v>0</v>
      </c>
      <c r="AH279" s="537">
        <f ca="1">SUMIF(CPQL!$D$5:$W$68,'FORM OH'!$I$279,CPQL!AA5:AA68)</f>
        <v>0</v>
      </c>
      <c r="AI279" s="537">
        <f ca="1">SUMIF(CPQL!$D$5:$W$68,'FORM OH'!$I$279,CPQL!AB5:AB68)</f>
        <v>0</v>
      </c>
      <c r="AJ279" s="537">
        <f ca="1">SUMIF(CPQL!$D$5:$W$68,'FORM OH'!$I$279,CPQL!AC5:AC68)</f>
        <v>0</v>
      </c>
      <c r="AK279" s="537">
        <f ca="1">SUMIF(CPQL!$D$5:$W$68,'FORM OH'!$I$279,CPQL!AD5:AD68)</f>
        <v>0</v>
      </c>
      <c r="AL279" s="537">
        <f ca="1">SUMIF(CPQL!$D$5:$W$68,'FORM OH'!$I$279,CPQL!AE5:AE68)</f>
        <v>0</v>
      </c>
      <c r="AM279" s="537">
        <f ca="1">SUMIF(CPQL!$D$5:$W$68,'FORM OH'!$I$279,CPQL!AF5:AF68)</f>
        <v>0</v>
      </c>
      <c r="AN279" s="537">
        <f ca="1">SUMIF(CPQL!$D$5:$W$68,'FORM OH'!$I$279,CPQL!AG5:AG68)</f>
        <v>0</v>
      </c>
      <c r="AO279" s="537">
        <f ca="1">SUMIF(CPQL!$D$5:$W$68,'FORM OH'!$I$279,CPQL!AH5:AH68)</f>
        <v>0</v>
      </c>
      <c r="AP279" s="537">
        <f ca="1">SUMIF(CPQL!$D$5:$W$68,'FORM OH'!$I$279,CPQL!AI5:AI68)</f>
        <v>0</v>
      </c>
      <c r="AQ279" s="537">
        <f ca="1">SUMIF(CPQL!$D$5:$W$68,'FORM OH'!$I$279,CPQL!AJ5:AJ68)</f>
        <v>0</v>
      </c>
      <c r="AR279" s="1284">
        <f t="shared" ca="1" si="39"/>
        <v>0</v>
      </c>
      <c r="AS279" s="1284">
        <f t="shared" ca="1" si="45"/>
        <v>0</v>
      </c>
      <c r="AT279" s="1297">
        <f t="shared" ca="1" si="46"/>
        <v>0</v>
      </c>
    </row>
    <row r="280" spans="1:46" s="539" customFormat="1" ht="16.399999999999999" customHeight="1" outlineLevel="1" x14ac:dyDescent="0.35">
      <c r="A280" s="534" t="s">
        <v>782</v>
      </c>
      <c r="B280" s="534" t="s">
        <v>783</v>
      </c>
      <c r="C280" s="535" t="s">
        <v>1418</v>
      </c>
      <c r="D280" s="536" t="s">
        <v>817</v>
      </c>
      <c r="E280" s="536" t="s">
        <v>818</v>
      </c>
      <c r="F280" s="536" t="s">
        <v>980</v>
      </c>
      <c r="G280" s="536" t="s">
        <v>1431</v>
      </c>
      <c r="H280" s="536" t="s">
        <v>605</v>
      </c>
      <c r="I280" s="535" t="s">
        <v>1470</v>
      </c>
      <c r="J280" s="536" t="s">
        <v>1308</v>
      </c>
      <c r="K280" s="536" t="s">
        <v>579</v>
      </c>
      <c r="L280" s="535" t="s">
        <v>1309</v>
      </c>
      <c r="M280" s="536" t="s">
        <v>1310</v>
      </c>
      <c r="N280" s="536"/>
      <c r="O280" s="535"/>
      <c r="P280" s="536"/>
      <c r="Q280" s="536"/>
      <c r="R280" s="537">
        <f ca="1">SUMIF(CPQL!$D$5:$W$68,'FORM OH'!$I$280,CPQL!K5:K68)</f>
        <v>0</v>
      </c>
      <c r="S280" s="537">
        <f ca="1">SUMIF(CPQL!$D$5:$W$68,'FORM OH'!$I$280,CPQL!L5:L68)</f>
        <v>0</v>
      </c>
      <c r="T280" s="537">
        <f ca="1">SUMIF(CPQL!$D$5:$W$68,'FORM OH'!$I$280,CPQL!M5:M68)</f>
        <v>0</v>
      </c>
      <c r="U280" s="537">
        <f ca="1">SUMIF(CPQL!$D$5:$W$68,'FORM OH'!$I$280,CPQL!N5:N68)</f>
        <v>0</v>
      </c>
      <c r="V280" s="537">
        <f ca="1">SUMIF(CPQL!$D$5:$W$68,'FORM OH'!$I$280,CPQL!O5:O68)</f>
        <v>0</v>
      </c>
      <c r="W280" s="537">
        <f ca="1">SUMIF(CPQL!$D$5:$W$68,'FORM OH'!$I$280,CPQL!P5:P68)</f>
        <v>0</v>
      </c>
      <c r="X280" s="537">
        <f ca="1">SUMIF(CPQL!$D$5:$W$68,'FORM OH'!$I$280,CPQL!Q5:Q68)</f>
        <v>0</v>
      </c>
      <c r="Y280" s="537">
        <f ca="1">SUMIF(CPQL!$D$5:$W$68,'FORM OH'!$I$280,CPQL!R5:R68)</f>
        <v>0</v>
      </c>
      <c r="Z280" s="537">
        <f ca="1">SUMIF(CPQL!$D$5:$W$68,'FORM OH'!$I$280,CPQL!S5:S68)</f>
        <v>0</v>
      </c>
      <c r="AA280" s="537">
        <f ca="1">SUMIF(CPQL!$D$5:$W$68,'FORM OH'!$I$280,CPQL!T5:T68)</f>
        <v>0</v>
      </c>
      <c r="AB280" s="537">
        <f ca="1">SUMIF(CPQL!$D$5:$W$68,'FORM OH'!$I$280,CPQL!U5:U68)</f>
        <v>0</v>
      </c>
      <c r="AC280" s="537">
        <f ca="1">SUMIF(CPQL!$D$5:$W$68,'FORM OH'!$I$280,CPQL!V5:V68)</f>
        <v>0</v>
      </c>
      <c r="AD280" s="537">
        <f t="shared" ca="1" si="47"/>
        <v>0</v>
      </c>
      <c r="AE280" s="533"/>
      <c r="AF280" s="537">
        <f ca="1">SUMIF(CPQL!$D$5:$W$68,'FORM OH'!$I$280,CPQL!Y5:Y68)</f>
        <v>0</v>
      </c>
      <c r="AG280" s="537">
        <f ca="1">SUMIF(CPQL!$D$5:$W$68,'FORM OH'!$I$280,CPQL!Z5:Z68)</f>
        <v>0</v>
      </c>
      <c r="AH280" s="537">
        <f ca="1">SUMIF(CPQL!$D$5:$W$68,'FORM OH'!$I$280,CPQL!AA5:AA68)</f>
        <v>0</v>
      </c>
      <c r="AI280" s="537">
        <f ca="1">SUMIF(CPQL!$D$5:$W$68,'FORM OH'!$I$280,CPQL!AB5:AB68)</f>
        <v>0</v>
      </c>
      <c r="AJ280" s="537">
        <f ca="1">SUMIF(CPQL!$D$5:$W$68,'FORM OH'!$I$280,CPQL!AC5:AC68)</f>
        <v>0</v>
      </c>
      <c r="AK280" s="537">
        <f ca="1">SUMIF(CPQL!$D$5:$W$68,'FORM OH'!$I$280,CPQL!AD5:AD68)</f>
        <v>0</v>
      </c>
      <c r="AL280" s="537">
        <f ca="1">SUMIF(CPQL!$D$5:$W$68,'FORM OH'!$I$280,CPQL!AE5:AE68)</f>
        <v>0</v>
      </c>
      <c r="AM280" s="537">
        <f ca="1">SUMIF(CPQL!$D$5:$W$68,'FORM OH'!$I$280,CPQL!AF5:AF68)</f>
        <v>0</v>
      </c>
      <c r="AN280" s="537">
        <f ca="1">SUMIF(CPQL!$D$5:$W$68,'FORM OH'!$I$280,CPQL!AG5:AG68)</f>
        <v>0</v>
      </c>
      <c r="AO280" s="537">
        <f ca="1">SUMIF(CPQL!$D$5:$W$68,'FORM OH'!$I$280,CPQL!AH5:AH68)</f>
        <v>0</v>
      </c>
      <c r="AP280" s="537">
        <f ca="1">SUMIF(CPQL!$D$5:$W$68,'FORM OH'!$I$280,CPQL!AI5:AI68)</f>
        <v>0</v>
      </c>
      <c r="AQ280" s="537">
        <f ca="1">SUMIF(CPQL!$D$5:$W$68,'FORM OH'!$I$280,CPQL!AJ5:AJ68)</f>
        <v>0</v>
      </c>
      <c r="AR280" s="1284">
        <f t="shared" ca="1" si="39"/>
        <v>0</v>
      </c>
      <c r="AS280" s="1284">
        <f t="shared" ca="1" si="45"/>
        <v>0</v>
      </c>
      <c r="AT280" s="1297">
        <f t="shared" ca="1" si="46"/>
        <v>0</v>
      </c>
    </row>
    <row r="281" spans="1:46" s="539" customFormat="1" ht="16.399999999999999" customHeight="1" outlineLevel="1" x14ac:dyDescent="0.35">
      <c r="A281" s="534" t="s">
        <v>782</v>
      </c>
      <c r="B281" s="534" t="s">
        <v>783</v>
      </c>
      <c r="C281" s="535" t="s">
        <v>1418</v>
      </c>
      <c r="D281" s="536" t="s">
        <v>817</v>
      </c>
      <c r="E281" s="536" t="s">
        <v>818</v>
      </c>
      <c r="F281" s="536" t="s">
        <v>980</v>
      </c>
      <c r="G281" s="536" t="s">
        <v>1431</v>
      </c>
      <c r="H281" s="536" t="s">
        <v>605</v>
      </c>
      <c r="I281" s="535" t="s">
        <v>1471</v>
      </c>
      <c r="J281" s="536" t="s">
        <v>1308</v>
      </c>
      <c r="K281" s="536" t="s">
        <v>579</v>
      </c>
      <c r="L281" s="535" t="s">
        <v>1309</v>
      </c>
      <c r="M281" s="536" t="s">
        <v>1310</v>
      </c>
      <c r="N281" s="536"/>
      <c r="O281" s="535"/>
      <c r="P281" s="536"/>
      <c r="Q281" s="536"/>
      <c r="R281" s="537">
        <f ca="1">SUMIF(CPQL!$D$5:$W$68,'FORM OH'!$I$281,CPQL!K5:K68)</f>
        <v>0</v>
      </c>
      <c r="S281" s="537">
        <f ca="1">SUMIF(CPQL!$D$5:$W$68,'FORM OH'!$I$281,CPQL!L5:L68)</f>
        <v>0</v>
      </c>
      <c r="T281" s="537">
        <f ca="1">SUMIF(CPQL!$D$5:$W$68,'FORM OH'!$I$281,CPQL!M5:M68)</f>
        <v>0</v>
      </c>
      <c r="U281" s="537">
        <f ca="1">SUMIF(CPQL!$D$5:$W$68,'FORM OH'!$I$281,CPQL!N5:N68)</f>
        <v>0</v>
      </c>
      <c r="V281" s="537">
        <f ca="1">SUMIF(CPQL!$D$5:$W$68,'FORM OH'!$I$281,CPQL!O5:O68)</f>
        <v>0</v>
      </c>
      <c r="W281" s="537">
        <f ca="1">SUMIF(CPQL!$D$5:$W$68,'FORM OH'!$I$281,CPQL!P5:P68)</f>
        <v>0</v>
      </c>
      <c r="X281" s="537">
        <f ca="1">SUMIF(CPQL!$D$5:$W$68,'FORM OH'!$I$281,CPQL!Q5:Q68)</f>
        <v>0</v>
      </c>
      <c r="Y281" s="537">
        <f ca="1">SUMIF(CPQL!$D$5:$W$68,'FORM OH'!$I$281,CPQL!R5:R68)</f>
        <v>0</v>
      </c>
      <c r="Z281" s="537">
        <f ca="1">SUMIF(CPQL!$D$5:$W$68,'FORM OH'!$I$281,CPQL!S5:S68)</f>
        <v>0</v>
      </c>
      <c r="AA281" s="537">
        <f ca="1">SUMIF(CPQL!$D$5:$W$68,'FORM OH'!$I$281,CPQL!T5:T68)</f>
        <v>0</v>
      </c>
      <c r="AB281" s="537">
        <f ca="1">SUMIF(CPQL!$D$5:$W$68,'FORM OH'!$I$281,CPQL!U5:U68)</f>
        <v>0</v>
      </c>
      <c r="AC281" s="537">
        <f ca="1">SUMIF(CPQL!$D$5:$W$68,'FORM OH'!$I$281,CPQL!V5:V68)</f>
        <v>0</v>
      </c>
      <c r="AD281" s="537">
        <f t="shared" ca="1" si="47"/>
        <v>0</v>
      </c>
      <c r="AE281" s="533"/>
      <c r="AF281" s="537">
        <f ca="1">SUMIF(CPQL!$D$5:$W$68,'FORM OH'!$I$281,CPQL!Y5:Y68)</f>
        <v>0</v>
      </c>
      <c r="AG281" s="537">
        <f ca="1">SUMIF(CPQL!$D$5:$W$68,'FORM OH'!$I$281,CPQL!Z5:Z68)</f>
        <v>0</v>
      </c>
      <c r="AH281" s="537">
        <f ca="1">SUMIF(CPQL!$D$5:$W$68,'FORM OH'!$I$281,CPQL!AA5:AA68)</f>
        <v>0</v>
      </c>
      <c r="AI281" s="537">
        <f ca="1">SUMIF(CPQL!$D$5:$W$68,'FORM OH'!$I$281,CPQL!AB5:AB68)</f>
        <v>0</v>
      </c>
      <c r="AJ281" s="537">
        <f ca="1">SUMIF(CPQL!$D$5:$W$68,'FORM OH'!$I$281,CPQL!AC5:AC68)</f>
        <v>0</v>
      </c>
      <c r="AK281" s="537">
        <f ca="1">SUMIF(CPQL!$D$5:$W$68,'FORM OH'!$I$281,CPQL!AD5:AD68)</f>
        <v>0</v>
      </c>
      <c r="AL281" s="537">
        <f ca="1">SUMIF(CPQL!$D$5:$W$68,'FORM OH'!$I$281,CPQL!AE5:AE68)</f>
        <v>0</v>
      </c>
      <c r="AM281" s="537">
        <f ca="1">SUMIF(CPQL!$D$5:$W$68,'FORM OH'!$I$281,CPQL!AF5:AF68)</f>
        <v>0</v>
      </c>
      <c r="AN281" s="537">
        <f ca="1">SUMIF(CPQL!$D$5:$W$68,'FORM OH'!$I$281,CPQL!AG5:AG68)</f>
        <v>0</v>
      </c>
      <c r="AO281" s="537">
        <f ca="1">SUMIF(CPQL!$D$5:$W$68,'FORM OH'!$I$281,CPQL!AH5:AH68)</f>
        <v>0</v>
      </c>
      <c r="AP281" s="537">
        <f ca="1">SUMIF(CPQL!$D$5:$W$68,'FORM OH'!$I$281,CPQL!AI5:AI68)</f>
        <v>0</v>
      </c>
      <c r="AQ281" s="537">
        <f ca="1">SUMIF(CPQL!$D$5:$W$68,'FORM OH'!$I$281,CPQL!AJ5:AJ68)</f>
        <v>0</v>
      </c>
      <c r="AR281" s="1284">
        <f t="shared" ca="1" si="39"/>
        <v>0</v>
      </c>
      <c r="AS281" s="1284">
        <f t="shared" ca="1" si="45"/>
        <v>0</v>
      </c>
      <c r="AT281" s="1297">
        <f t="shared" ca="1" si="46"/>
        <v>0</v>
      </c>
    </row>
    <row r="282" spans="1:46" s="539" customFormat="1" ht="16.399999999999999" customHeight="1" outlineLevel="1" x14ac:dyDescent="0.35">
      <c r="A282" s="534" t="s">
        <v>782</v>
      </c>
      <c r="B282" s="534" t="s">
        <v>783</v>
      </c>
      <c r="C282" s="535" t="s">
        <v>1418</v>
      </c>
      <c r="D282" s="536" t="s">
        <v>817</v>
      </c>
      <c r="E282" s="536" t="s">
        <v>818</v>
      </c>
      <c r="F282" s="536" t="s">
        <v>980</v>
      </c>
      <c r="G282" s="536" t="s">
        <v>1431</v>
      </c>
      <c r="H282" s="536" t="s">
        <v>605</v>
      </c>
      <c r="I282" s="535" t="s">
        <v>1472</v>
      </c>
      <c r="J282" s="536" t="s">
        <v>1313</v>
      </c>
      <c r="K282" s="536" t="s">
        <v>579</v>
      </c>
      <c r="L282" s="535" t="s">
        <v>1314</v>
      </c>
      <c r="M282" s="536" t="s">
        <v>1315</v>
      </c>
      <c r="N282" s="536"/>
      <c r="O282" s="535"/>
      <c r="P282" s="536"/>
      <c r="Q282" s="536"/>
      <c r="R282" s="537">
        <f ca="1">SUMIF(CPQL!$D$5:$W$68,'FORM OH'!$I$282,CPQL!K5:K68)</f>
        <v>0</v>
      </c>
      <c r="S282" s="537">
        <f ca="1">SUMIF(CPQL!$D$5:$W$68,'FORM OH'!$I$282,CPQL!L5:L68)</f>
        <v>0</v>
      </c>
      <c r="T282" s="537">
        <f ca="1">SUMIF(CPQL!$D$5:$W$68,'FORM OH'!$I$282,CPQL!M5:M68)</f>
        <v>0</v>
      </c>
      <c r="U282" s="537">
        <f ca="1">SUMIF(CPQL!$D$5:$W$68,'FORM OH'!$I$282,CPQL!N5:N68)</f>
        <v>0</v>
      </c>
      <c r="V282" s="537">
        <f ca="1">SUMIF(CPQL!$D$5:$W$68,'FORM OH'!$I$282,CPQL!O5:O68)</f>
        <v>0</v>
      </c>
      <c r="W282" s="537">
        <f ca="1">SUMIF(CPQL!$D$5:$W$68,'FORM OH'!$I$282,CPQL!P5:P68)</f>
        <v>0</v>
      </c>
      <c r="X282" s="537">
        <f ca="1">SUMIF(CPQL!$D$5:$W$68,'FORM OH'!$I$282,CPQL!Q5:Q68)</f>
        <v>0</v>
      </c>
      <c r="Y282" s="537">
        <f ca="1">SUMIF(CPQL!$D$5:$W$68,'FORM OH'!$I$282,CPQL!R5:R68)</f>
        <v>0</v>
      </c>
      <c r="Z282" s="537">
        <f ca="1">SUMIF(CPQL!$D$5:$W$68,'FORM OH'!$I$282,CPQL!S5:S68)</f>
        <v>0</v>
      </c>
      <c r="AA282" s="537">
        <f ca="1">SUMIF(CPQL!$D$5:$W$68,'FORM OH'!$I$282,CPQL!T5:T68)</f>
        <v>0</v>
      </c>
      <c r="AB282" s="537">
        <f ca="1">SUMIF(CPQL!$D$5:$W$68,'FORM OH'!$I$282,CPQL!U5:U68)</f>
        <v>0</v>
      </c>
      <c r="AC282" s="537">
        <f ca="1">SUMIF(CPQL!$D$5:$W$68,'FORM OH'!$I$282,CPQL!V5:V68)</f>
        <v>0</v>
      </c>
      <c r="AD282" s="537">
        <f t="shared" ca="1" si="47"/>
        <v>0</v>
      </c>
      <c r="AE282" s="533"/>
      <c r="AF282" s="537">
        <f ca="1">SUMIF(CPQL!$D$5:$W$68,'FORM OH'!$I$282,CPQL!Y5:Y68)</f>
        <v>0</v>
      </c>
      <c r="AG282" s="537">
        <f ca="1">SUMIF(CPQL!$D$5:$W$68,'FORM OH'!$I$282,CPQL!Z5:Z68)</f>
        <v>0</v>
      </c>
      <c r="AH282" s="537">
        <f ca="1">SUMIF(CPQL!$D$5:$W$68,'FORM OH'!$I$282,CPQL!AA5:AA68)</f>
        <v>0</v>
      </c>
      <c r="AI282" s="537">
        <f ca="1">SUMIF(CPQL!$D$5:$W$68,'FORM OH'!$I$282,CPQL!AB5:AB68)</f>
        <v>0</v>
      </c>
      <c r="AJ282" s="537">
        <f ca="1">SUMIF(CPQL!$D$5:$W$68,'FORM OH'!$I$282,CPQL!AC5:AC68)</f>
        <v>0</v>
      </c>
      <c r="AK282" s="537">
        <f ca="1">SUMIF(CPQL!$D$5:$W$68,'FORM OH'!$I$282,CPQL!AD5:AD68)</f>
        <v>0</v>
      </c>
      <c r="AL282" s="537">
        <f ca="1">SUMIF(CPQL!$D$5:$W$68,'FORM OH'!$I$282,CPQL!AE5:AE68)</f>
        <v>0</v>
      </c>
      <c r="AM282" s="537">
        <f ca="1">SUMIF(CPQL!$D$5:$W$68,'FORM OH'!$I$282,CPQL!AF5:AF68)</f>
        <v>0</v>
      </c>
      <c r="AN282" s="537">
        <f ca="1">SUMIF(CPQL!$D$5:$W$68,'FORM OH'!$I$282,CPQL!AG5:AG68)</f>
        <v>0</v>
      </c>
      <c r="AO282" s="537">
        <f ca="1">SUMIF(CPQL!$D$5:$W$68,'FORM OH'!$I$282,CPQL!AH5:AH68)</f>
        <v>0</v>
      </c>
      <c r="AP282" s="537">
        <f ca="1">SUMIF(CPQL!$D$5:$W$68,'FORM OH'!$I$282,CPQL!AI5:AI68)</f>
        <v>0</v>
      </c>
      <c r="AQ282" s="537">
        <f ca="1">SUMIF(CPQL!$D$5:$W$68,'FORM OH'!$I$282,CPQL!AJ5:AJ68)</f>
        <v>0</v>
      </c>
      <c r="AR282" s="1284">
        <f t="shared" ca="1" si="39"/>
        <v>0</v>
      </c>
      <c r="AS282" s="1284">
        <f t="shared" ca="1" si="45"/>
        <v>0</v>
      </c>
      <c r="AT282" s="1297">
        <f t="shared" ca="1" si="46"/>
        <v>0</v>
      </c>
    </row>
    <row r="283" spans="1:46" s="539" customFormat="1" ht="16.399999999999999" customHeight="1" outlineLevel="1" x14ac:dyDescent="0.35">
      <c r="A283" s="534" t="s">
        <v>782</v>
      </c>
      <c r="B283" s="534" t="s">
        <v>783</v>
      </c>
      <c r="C283" s="535" t="s">
        <v>1418</v>
      </c>
      <c r="D283" s="536" t="s">
        <v>817</v>
      </c>
      <c r="E283" s="536" t="s">
        <v>818</v>
      </c>
      <c r="F283" s="536" t="s">
        <v>980</v>
      </c>
      <c r="G283" s="536" t="s">
        <v>1431</v>
      </c>
      <c r="H283" s="536" t="s">
        <v>605</v>
      </c>
      <c r="I283" s="535" t="s">
        <v>1473</v>
      </c>
      <c r="J283" s="536" t="s">
        <v>1317</v>
      </c>
      <c r="K283" s="536" t="s">
        <v>579</v>
      </c>
      <c r="L283" s="535" t="s">
        <v>1318</v>
      </c>
      <c r="M283" s="536" t="s">
        <v>1319</v>
      </c>
      <c r="N283" s="536"/>
      <c r="O283" s="535"/>
      <c r="P283" s="536"/>
      <c r="Q283" s="536"/>
      <c r="R283" s="537">
        <f ca="1">SUMIF(CPQL!$D$5:$W$68,'FORM OH'!$I$283,CPQL!K5:K68)</f>
        <v>0</v>
      </c>
      <c r="S283" s="537">
        <f ca="1">SUMIF(CPQL!$D$5:$W$68,'FORM OH'!$I$283,CPQL!L5:L68)</f>
        <v>0</v>
      </c>
      <c r="T283" s="537">
        <f ca="1">SUMIF(CPQL!$D$5:$W$68,'FORM OH'!$I$283,CPQL!M5:M68)</f>
        <v>0</v>
      </c>
      <c r="U283" s="537">
        <f ca="1">SUMIF(CPQL!$D$5:$W$68,'FORM OH'!$I$283,CPQL!N5:N68)</f>
        <v>0</v>
      </c>
      <c r="V283" s="537">
        <f ca="1">SUMIF(CPQL!$D$5:$W$68,'FORM OH'!$I$283,CPQL!O5:O68)</f>
        <v>0</v>
      </c>
      <c r="W283" s="537">
        <f ca="1">SUMIF(CPQL!$D$5:$W$68,'FORM OH'!$I$283,CPQL!P5:P68)</f>
        <v>0</v>
      </c>
      <c r="X283" s="537">
        <f ca="1">SUMIF(CPQL!$D$5:$W$68,'FORM OH'!$I$283,CPQL!Q5:Q68)</f>
        <v>0</v>
      </c>
      <c r="Y283" s="537">
        <f ca="1">SUMIF(CPQL!$D$5:$W$68,'FORM OH'!$I$283,CPQL!R5:R68)</f>
        <v>0</v>
      </c>
      <c r="Z283" s="537">
        <f ca="1">SUMIF(CPQL!$D$5:$W$68,'FORM OH'!$I$283,CPQL!S5:S68)</f>
        <v>0</v>
      </c>
      <c r="AA283" s="537">
        <f ca="1">SUMIF(CPQL!$D$5:$W$68,'FORM OH'!$I$283,CPQL!T5:T68)</f>
        <v>0</v>
      </c>
      <c r="AB283" s="537">
        <f ca="1">SUMIF(CPQL!$D$5:$W$68,'FORM OH'!$I$283,CPQL!U5:U68)</f>
        <v>0</v>
      </c>
      <c r="AC283" s="537">
        <f ca="1">SUMIF(CPQL!$D$5:$W$68,'FORM OH'!$I$283,CPQL!V5:V68)</f>
        <v>0</v>
      </c>
      <c r="AD283" s="537">
        <f t="shared" ca="1" si="47"/>
        <v>0</v>
      </c>
      <c r="AE283" s="533"/>
      <c r="AF283" s="537">
        <f ca="1">SUMIF(CPQL!$D$5:$W$68,'FORM OH'!$I$283,CPQL!Y5:Y68)</f>
        <v>0</v>
      </c>
      <c r="AG283" s="537">
        <f ca="1">SUMIF(CPQL!$D$5:$W$68,'FORM OH'!$I$283,CPQL!Z5:Z68)</f>
        <v>0</v>
      </c>
      <c r="AH283" s="537">
        <f ca="1">SUMIF(CPQL!$D$5:$W$68,'FORM OH'!$I$283,CPQL!AA5:AA68)</f>
        <v>0</v>
      </c>
      <c r="AI283" s="537">
        <f ca="1">SUMIF(CPQL!$D$5:$W$68,'FORM OH'!$I$283,CPQL!AB5:AB68)</f>
        <v>0</v>
      </c>
      <c r="AJ283" s="537">
        <f ca="1">SUMIF(CPQL!$D$5:$W$68,'FORM OH'!$I$283,CPQL!AC5:AC68)</f>
        <v>0</v>
      </c>
      <c r="AK283" s="537">
        <f ca="1">SUMIF(CPQL!$D$5:$W$68,'FORM OH'!$I$283,CPQL!AD5:AD68)</f>
        <v>0</v>
      </c>
      <c r="AL283" s="537">
        <f ca="1">SUMIF(CPQL!$D$5:$W$68,'FORM OH'!$I$283,CPQL!AE5:AE68)</f>
        <v>0</v>
      </c>
      <c r="AM283" s="537">
        <f ca="1">SUMIF(CPQL!$D$5:$W$68,'FORM OH'!$I$283,CPQL!AF5:AF68)</f>
        <v>0</v>
      </c>
      <c r="AN283" s="537">
        <f ca="1">SUMIF(CPQL!$D$5:$W$68,'FORM OH'!$I$283,CPQL!AG5:AG68)</f>
        <v>0</v>
      </c>
      <c r="AO283" s="537">
        <f ca="1">SUMIF(CPQL!$D$5:$W$68,'FORM OH'!$I$283,CPQL!AH5:AH68)</f>
        <v>0</v>
      </c>
      <c r="AP283" s="537">
        <f ca="1">SUMIF(CPQL!$D$5:$W$68,'FORM OH'!$I$283,CPQL!AI5:AI68)</f>
        <v>0</v>
      </c>
      <c r="AQ283" s="537">
        <f ca="1">SUMIF(CPQL!$D$5:$W$68,'FORM OH'!$I$283,CPQL!AJ5:AJ68)</f>
        <v>0</v>
      </c>
      <c r="AR283" s="1284">
        <f t="shared" ca="1" si="39"/>
        <v>0</v>
      </c>
      <c r="AS283" s="1284">
        <f t="shared" ca="1" si="45"/>
        <v>0</v>
      </c>
      <c r="AT283" s="1297">
        <f t="shared" ca="1" si="46"/>
        <v>0</v>
      </c>
    </row>
    <row r="284" spans="1:46" s="539" customFormat="1" ht="16.399999999999999" customHeight="1" outlineLevel="1" x14ac:dyDescent="0.35">
      <c r="A284" s="534" t="s">
        <v>782</v>
      </c>
      <c r="B284" s="534" t="s">
        <v>783</v>
      </c>
      <c r="C284" s="535" t="s">
        <v>1418</v>
      </c>
      <c r="D284" s="536" t="s">
        <v>817</v>
      </c>
      <c r="E284" s="536" t="s">
        <v>818</v>
      </c>
      <c r="F284" s="536" t="s">
        <v>1320</v>
      </c>
      <c r="G284" s="536" t="s">
        <v>1431</v>
      </c>
      <c r="H284" s="536" t="s">
        <v>1474</v>
      </c>
      <c r="I284" s="535" t="s">
        <v>1475</v>
      </c>
      <c r="J284" s="536" t="s">
        <v>480</v>
      </c>
      <c r="K284" s="536" t="s">
        <v>601</v>
      </c>
      <c r="L284" s="535" t="s">
        <v>1323</v>
      </c>
      <c r="M284" s="536" t="s">
        <v>1324</v>
      </c>
      <c r="N284" s="536"/>
      <c r="O284" s="535"/>
      <c r="P284" s="536"/>
      <c r="Q284" s="536"/>
      <c r="R284" s="537">
        <f ca="1">SUMIF(CPQL!$D$5:$W$68,'FORM OH'!$I$284,CPQL!K5:K68)</f>
        <v>0</v>
      </c>
      <c r="S284" s="537">
        <f ca="1">SUMIF(CPQL!$D$5:$W$68,'FORM OH'!$I$284,CPQL!L5:L68)</f>
        <v>0</v>
      </c>
      <c r="T284" s="537">
        <f ca="1">SUMIF(CPQL!$D$5:$W$68,'FORM OH'!$I$284,CPQL!M5:M68)</f>
        <v>0</v>
      </c>
      <c r="U284" s="537">
        <f ca="1">SUMIF(CPQL!$D$5:$W$68,'FORM OH'!$I$284,CPQL!N5:N68)</f>
        <v>0</v>
      </c>
      <c r="V284" s="537">
        <f ca="1">SUMIF(CPQL!$D$5:$W$68,'FORM OH'!$I$284,CPQL!O5:O68)</f>
        <v>0</v>
      </c>
      <c r="W284" s="537">
        <f ca="1">SUMIF(CPQL!$D$5:$W$68,'FORM OH'!$I$284,CPQL!P5:P68)</f>
        <v>0</v>
      </c>
      <c r="X284" s="537">
        <f ca="1">SUMIF(CPQL!$D$5:$W$68,'FORM OH'!$I$284,CPQL!Q5:Q68)</f>
        <v>0</v>
      </c>
      <c r="Y284" s="537">
        <f ca="1">SUMIF(CPQL!$D$5:$W$68,'FORM OH'!$I$284,CPQL!R5:R68)</f>
        <v>0</v>
      </c>
      <c r="Z284" s="537">
        <f ca="1">SUMIF(CPQL!$D$5:$W$68,'FORM OH'!$I$284,CPQL!S5:S68)</f>
        <v>0</v>
      </c>
      <c r="AA284" s="537">
        <f ca="1">SUMIF(CPQL!$D$5:$W$68,'FORM OH'!$I$284,CPQL!T5:T68)</f>
        <v>0</v>
      </c>
      <c r="AB284" s="537">
        <f ca="1">SUMIF(CPQL!$D$5:$W$68,'FORM OH'!$I$284,CPQL!U5:U68)</f>
        <v>0</v>
      </c>
      <c r="AC284" s="537">
        <f ca="1">SUMIF(CPQL!$D$5:$W$68,'FORM OH'!$I$284,CPQL!V5:V68)</f>
        <v>0</v>
      </c>
      <c r="AD284" s="537">
        <f t="shared" ca="1" si="47"/>
        <v>0</v>
      </c>
      <c r="AE284" s="533"/>
      <c r="AF284" s="537">
        <f ca="1">SUMIF(CPQL!$D$5:$W$68,'FORM OH'!$I$284,CPQL!Y5:Y68)</f>
        <v>0</v>
      </c>
      <c r="AG284" s="537">
        <f ca="1">SUMIF(CPQL!$D$5:$W$68,'FORM OH'!$I$284,CPQL!Z5:Z68)</f>
        <v>2000000</v>
      </c>
      <c r="AH284" s="537">
        <f ca="1">SUMIF(CPQL!$D$5:$W$68,'FORM OH'!$I$284,CPQL!AA5:AA68)</f>
        <v>0</v>
      </c>
      <c r="AI284" s="537">
        <f ca="1">SUMIF(CPQL!$D$5:$W$68,'FORM OH'!$I$284,CPQL!AB5:AB68)</f>
        <v>0</v>
      </c>
      <c r="AJ284" s="537">
        <f ca="1">SUMIF(CPQL!$D$5:$W$68,'FORM OH'!$I$284,CPQL!AC5:AC68)</f>
        <v>0</v>
      </c>
      <c r="AK284" s="537">
        <f ca="1">SUMIF(CPQL!$D$5:$W$68,'FORM OH'!$I$284,CPQL!AD5:AD68)</f>
        <v>0</v>
      </c>
      <c r="AL284" s="537">
        <f ca="1">SUMIF(CPQL!$D$5:$W$68,'FORM OH'!$I$284,CPQL!AE5:AE68)</f>
        <v>0</v>
      </c>
      <c r="AM284" s="537">
        <f ca="1">SUMIF(CPQL!$D$5:$W$68,'FORM OH'!$I$284,CPQL!AF5:AF68)</f>
        <v>0</v>
      </c>
      <c r="AN284" s="537">
        <f ca="1">SUMIF(CPQL!$D$5:$W$68,'FORM OH'!$I$284,CPQL!AG5:AG68)</f>
        <v>0</v>
      </c>
      <c r="AO284" s="537">
        <f ca="1">SUMIF(CPQL!$D$5:$W$68,'FORM OH'!$I$284,CPQL!AH5:AH68)</f>
        <v>0</v>
      </c>
      <c r="AP284" s="537">
        <f ca="1">SUMIF(CPQL!$D$5:$W$68,'FORM OH'!$I$284,CPQL!AI5:AI68)</f>
        <v>0</v>
      </c>
      <c r="AQ284" s="537">
        <f ca="1">SUMIF(CPQL!$D$5:$W$68,'FORM OH'!$I$284,CPQL!AJ5:AJ68)</f>
        <v>0</v>
      </c>
      <c r="AR284" s="1284">
        <f t="shared" ca="1" si="39"/>
        <v>2000000</v>
      </c>
      <c r="AS284" s="1284">
        <f t="shared" ca="1" si="45"/>
        <v>-2000000</v>
      </c>
      <c r="AT284" s="1297">
        <f t="shared" ca="1" si="46"/>
        <v>-1</v>
      </c>
    </row>
    <row r="285" spans="1:46" s="539" customFormat="1" ht="16.399999999999999" customHeight="1" outlineLevel="1" x14ac:dyDescent="0.35">
      <c r="A285" s="534" t="s">
        <v>782</v>
      </c>
      <c r="B285" s="534" t="s">
        <v>783</v>
      </c>
      <c r="C285" s="535" t="s">
        <v>1418</v>
      </c>
      <c r="D285" s="536" t="s">
        <v>817</v>
      </c>
      <c r="E285" s="536" t="s">
        <v>818</v>
      </c>
      <c r="F285" s="536" t="s">
        <v>1320</v>
      </c>
      <c r="G285" s="536" t="s">
        <v>1431</v>
      </c>
      <c r="H285" s="536" t="s">
        <v>1474</v>
      </c>
      <c r="I285" s="535" t="s">
        <v>1476</v>
      </c>
      <c r="J285" s="536" t="s">
        <v>481</v>
      </c>
      <c r="K285" s="536" t="s">
        <v>587</v>
      </c>
      <c r="L285" s="535" t="s">
        <v>1326</v>
      </c>
      <c r="M285" s="536" t="s">
        <v>1327</v>
      </c>
      <c r="N285" s="536"/>
      <c r="O285" s="535"/>
      <c r="P285" s="536"/>
      <c r="Q285" s="536"/>
      <c r="R285" s="537">
        <f ca="1">SUMIF(CPQL!$D$5:$W$68,'FORM OH'!$I$285,CPQL!K5:K68)</f>
        <v>0</v>
      </c>
      <c r="S285" s="537">
        <f ca="1">SUMIF(CPQL!$D$5:$W$68,'FORM OH'!$I$285,CPQL!L5:L68)</f>
        <v>0</v>
      </c>
      <c r="T285" s="537">
        <f ca="1">SUMIF(CPQL!$D$5:$W$68,'FORM OH'!$I$285,CPQL!M5:M68)</f>
        <v>0</v>
      </c>
      <c r="U285" s="537">
        <f ca="1">SUMIF(CPQL!$D$5:$W$68,'FORM OH'!$I$285,CPQL!N5:N68)</f>
        <v>0</v>
      </c>
      <c r="V285" s="537">
        <f ca="1">SUMIF(CPQL!$D$5:$W$68,'FORM OH'!$I$285,CPQL!O5:O68)</f>
        <v>0</v>
      </c>
      <c r="W285" s="537">
        <f ca="1">SUMIF(CPQL!$D$5:$W$68,'FORM OH'!$I$285,CPQL!P5:P68)</f>
        <v>0</v>
      </c>
      <c r="X285" s="537">
        <f ca="1">SUMIF(CPQL!$D$5:$W$68,'FORM OH'!$I$285,CPQL!Q5:Q68)</f>
        <v>0</v>
      </c>
      <c r="Y285" s="537">
        <f ca="1">SUMIF(CPQL!$D$5:$W$68,'FORM OH'!$I$285,CPQL!R5:R68)</f>
        <v>0</v>
      </c>
      <c r="Z285" s="537">
        <f ca="1">SUMIF(CPQL!$D$5:$W$68,'FORM OH'!$I$285,CPQL!S5:S68)</f>
        <v>0</v>
      </c>
      <c r="AA285" s="537">
        <f ca="1">SUMIF(CPQL!$D$5:$W$68,'FORM OH'!$I$285,CPQL!T5:T68)</f>
        <v>0</v>
      </c>
      <c r="AB285" s="537">
        <f ca="1">SUMIF(CPQL!$D$5:$W$68,'FORM OH'!$I$285,CPQL!U5:U68)</f>
        <v>0</v>
      </c>
      <c r="AC285" s="537">
        <f ca="1">SUMIF(CPQL!$D$5:$W$68,'FORM OH'!$I$285,CPQL!V5:V68)</f>
        <v>0</v>
      </c>
      <c r="AD285" s="537">
        <f t="shared" ca="1" si="47"/>
        <v>0</v>
      </c>
      <c r="AE285" s="533"/>
      <c r="AF285" s="537">
        <f ca="1">SUMIF(CPQL!$D$5:$W$68,'FORM OH'!$I$285,CPQL!Y5:Y68)</f>
        <v>0</v>
      </c>
      <c r="AG285" s="537">
        <f ca="1">SUMIF(CPQL!$D$5:$W$68,'FORM OH'!$I$285,CPQL!Z5:Z68)</f>
        <v>0</v>
      </c>
      <c r="AH285" s="537">
        <f ca="1">SUMIF(CPQL!$D$5:$W$68,'FORM OH'!$I$285,CPQL!AA5:AA68)</f>
        <v>0</v>
      </c>
      <c r="AI285" s="537">
        <f ca="1">SUMIF(CPQL!$D$5:$W$68,'FORM OH'!$I$285,CPQL!AB5:AB68)</f>
        <v>0</v>
      </c>
      <c r="AJ285" s="537">
        <f ca="1">SUMIF(CPQL!$D$5:$W$68,'FORM OH'!$I$285,CPQL!AC5:AC68)</f>
        <v>0</v>
      </c>
      <c r="AK285" s="537">
        <f ca="1">SUMIF(CPQL!$D$5:$W$68,'FORM OH'!$I$285,CPQL!AD5:AD68)</f>
        <v>0</v>
      </c>
      <c r="AL285" s="537">
        <f ca="1">SUMIF(CPQL!$D$5:$W$68,'FORM OH'!$I$285,CPQL!AE5:AE68)</f>
        <v>0</v>
      </c>
      <c r="AM285" s="537">
        <f ca="1">SUMIF(CPQL!$D$5:$W$68,'FORM OH'!$I$285,CPQL!AF5:AF68)</f>
        <v>0</v>
      </c>
      <c r="AN285" s="537">
        <f ca="1">SUMIF(CPQL!$D$5:$W$68,'FORM OH'!$I$285,CPQL!AG5:AG68)</f>
        <v>0</v>
      </c>
      <c r="AO285" s="537">
        <f ca="1">SUMIF(CPQL!$D$5:$W$68,'FORM OH'!$I$285,CPQL!AH5:AH68)</f>
        <v>0</v>
      </c>
      <c r="AP285" s="537">
        <f ca="1">SUMIF(CPQL!$D$5:$W$68,'FORM OH'!$I$285,CPQL!AI5:AI68)</f>
        <v>0</v>
      </c>
      <c r="AQ285" s="537">
        <f ca="1">SUMIF(CPQL!$D$5:$W$68,'FORM OH'!$I$285,CPQL!AJ5:AJ68)</f>
        <v>0</v>
      </c>
      <c r="AR285" s="1284">
        <f t="shared" ca="1" si="39"/>
        <v>0</v>
      </c>
      <c r="AS285" s="1284">
        <f t="shared" ca="1" si="45"/>
        <v>0</v>
      </c>
      <c r="AT285" s="1297">
        <f t="shared" ca="1" si="46"/>
        <v>0</v>
      </c>
    </row>
    <row r="286" spans="1:46" s="539" customFormat="1" ht="16.399999999999999" customHeight="1" outlineLevel="1" x14ac:dyDescent="0.35">
      <c r="A286" s="534" t="s">
        <v>782</v>
      </c>
      <c r="B286" s="534" t="s">
        <v>783</v>
      </c>
      <c r="C286" s="535" t="s">
        <v>1418</v>
      </c>
      <c r="D286" s="536" t="s">
        <v>817</v>
      </c>
      <c r="E286" s="536" t="s">
        <v>818</v>
      </c>
      <c r="F286" s="536" t="s">
        <v>860</v>
      </c>
      <c r="G286" s="536" t="s">
        <v>1431</v>
      </c>
      <c r="H286" s="536" t="s">
        <v>861</v>
      </c>
      <c r="I286" s="535" t="s">
        <v>1477</v>
      </c>
      <c r="J286" s="536" t="s">
        <v>438</v>
      </c>
      <c r="K286" s="536" t="s">
        <v>597</v>
      </c>
      <c r="L286" s="535" t="s">
        <v>991</v>
      </c>
      <c r="M286" s="536" t="s">
        <v>992</v>
      </c>
      <c r="N286" s="536"/>
      <c r="O286" s="535"/>
      <c r="P286" s="536"/>
      <c r="Q286" s="536"/>
      <c r="R286" s="537">
        <f ca="1">SUMIF(CPQL!$D$5:$W$68,'FORM OH'!$I$286,CPQL!K5:K68)</f>
        <v>525000</v>
      </c>
      <c r="S286" s="537">
        <f ca="1">SUMIF(CPQL!$D$5:$W$68,'FORM OH'!$I$286,CPQL!L5:L68)</f>
        <v>525000</v>
      </c>
      <c r="T286" s="537">
        <f ca="1">SUMIF(CPQL!$D$5:$W$68,'FORM OH'!$I$286,CPQL!M5:M68)</f>
        <v>525000</v>
      </c>
      <c r="U286" s="537">
        <f ca="1">SUMIF(CPQL!$D$5:$W$68,'FORM OH'!$I$286,CPQL!N5:N68)</f>
        <v>525000</v>
      </c>
      <c r="V286" s="537">
        <f ca="1">SUMIF(CPQL!$D$5:$W$68,'FORM OH'!$I$286,CPQL!O5:O68)</f>
        <v>525000</v>
      </c>
      <c r="W286" s="537">
        <f ca="1">SUMIF(CPQL!$D$5:$W$68,'FORM OH'!$I$286,CPQL!P5:P68)</f>
        <v>525000</v>
      </c>
      <c r="X286" s="537">
        <f ca="1">SUMIF(CPQL!$D$5:$W$68,'FORM OH'!$I$286,CPQL!Q5:Q68)</f>
        <v>525000</v>
      </c>
      <c r="Y286" s="537">
        <f ca="1">SUMIF(CPQL!$D$5:$W$68,'FORM OH'!$I$286,CPQL!R5:R68)</f>
        <v>525000</v>
      </c>
      <c r="Z286" s="537">
        <f ca="1">SUMIF(CPQL!$D$5:$W$68,'FORM OH'!$I$286,CPQL!S5:S68)</f>
        <v>525000</v>
      </c>
      <c r="AA286" s="537">
        <f ca="1">SUMIF(CPQL!$D$5:$W$68,'FORM OH'!$I$286,CPQL!T5:T68)</f>
        <v>525000</v>
      </c>
      <c r="AB286" s="537">
        <f ca="1">SUMIF(CPQL!$D$5:$W$68,'FORM OH'!$I$286,CPQL!U5:U68)</f>
        <v>525000</v>
      </c>
      <c r="AC286" s="537">
        <f ca="1">SUMIF(CPQL!$D$5:$W$68,'FORM OH'!$I$286,CPQL!V5:V68)</f>
        <v>525000</v>
      </c>
      <c r="AD286" s="537">
        <f t="shared" ca="1" si="47"/>
        <v>6300000</v>
      </c>
      <c r="AE286" s="533"/>
      <c r="AF286" s="537">
        <f ca="1">SUMIF(CPQL!$D$5:$W$68,'FORM OH'!$I$286,CPQL!Y5:Y68)</f>
        <v>0</v>
      </c>
      <c r="AG286" s="537">
        <f ca="1">SUMIF(CPQL!$D$5:$W$68,'FORM OH'!$I$286,CPQL!Z5:Z68)</f>
        <v>1500000</v>
      </c>
      <c r="AH286" s="537">
        <f ca="1">SUMIF(CPQL!$D$5:$W$68,'FORM OH'!$I$286,CPQL!AA5:AA68)</f>
        <v>1100000</v>
      </c>
      <c r="AI286" s="537">
        <f ca="1">SUMIF(CPQL!$D$5:$W$68,'FORM OH'!$I$286,CPQL!AB5:AB68)</f>
        <v>0</v>
      </c>
      <c r="AJ286" s="537">
        <f ca="1">SUMIF(CPQL!$D$5:$W$68,'FORM OH'!$I$286,CPQL!AC5:AC68)</f>
        <v>300000</v>
      </c>
      <c r="AK286" s="537">
        <f ca="1">SUMIF(CPQL!$D$5:$W$68,'FORM OH'!$I$286,CPQL!AD5:AD68)</f>
        <v>0</v>
      </c>
      <c r="AL286" s="537">
        <f ca="1">SUMIF(CPQL!$D$5:$W$68,'FORM OH'!$I$286,CPQL!AE5:AE68)</f>
        <v>0</v>
      </c>
      <c r="AM286" s="537">
        <f ca="1">SUMIF(CPQL!$D$5:$W$68,'FORM OH'!$I$286,CPQL!AF5:AF68)</f>
        <v>0</v>
      </c>
      <c r="AN286" s="537">
        <f ca="1">SUMIF(CPQL!$D$5:$W$68,'FORM OH'!$I$286,CPQL!AG5:AG68)</f>
        <v>0</v>
      </c>
      <c r="AO286" s="537">
        <f ca="1">SUMIF(CPQL!$D$5:$W$68,'FORM OH'!$I$286,CPQL!AH5:AH68)</f>
        <v>1000000</v>
      </c>
      <c r="AP286" s="537">
        <f ca="1">SUMIF(CPQL!$D$5:$W$68,'FORM OH'!$I$286,CPQL!AI5:AI68)</f>
        <v>1000000</v>
      </c>
      <c r="AQ286" s="537">
        <f ca="1">SUMIF(CPQL!$D$5:$W$68,'FORM OH'!$I$286,CPQL!AJ5:AJ68)</f>
        <v>1000000</v>
      </c>
      <c r="AR286" s="1284">
        <f t="shared" ca="1" si="39"/>
        <v>5900000</v>
      </c>
      <c r="AS286" s="1284">
        <f t="shared" ca="1" si="45"/>
        <v>400000</v>
      </c>
      <c r="AT286" s="1297">
        <f t="shared" ca="1" si="46"/>
        <v>6.7796610169491525E-2</v>
      </c>
    </row>
    <row r="287" spans="1:46" s="539" customFormat="1" ht="16.399999999999999" customHeight="1" outlineLevel="1" x14ac:dyDescent="0.35">
      <c r="A287" s="534" t="s">
        <v>782</v>
      </c>
      <c r="B287" s="534" t="s">
        <v>783</v>
      </c>
      <c r="C287" s="535" t="s">
        <v>1418</v>
      </c>
      <c r="D287" s="536" t="s">
        <v>817</v>
      </c>
      <c r="E287" s="536" t="s">
        <v>818</v>
      </c>
      <c r="F287" s="536" t="s">
        <v>860</v>
      </c>
      <c r="G287" s="536" t="s">
        <v>1431</v>
      </c>
      <c r="H287" s="536" t="s">
        <v>861</v>
      </c>
      <c r="I287" s="535" t="s">
        <v>1478</v>
      </c>
      <c r="J287" s="536" t="s">
        <v>439</v>
      </c>
      <c r="K287" s="536" t="s">
        <v>598</v>
      </c>
      <c r="L287" s="535" t="s">
        <v>994</v>
      </c>
      <c r="M287" s="536" t="s">
        <v>995</v>
      </c>
      <c r="N287" s="536"/>
      <c r="O287" s="535"/>
      <c r="P287" s="536"/>
      <c r="Q287" s="536"/>
      <c r="R287" s="537">
        <f ca="1">SUMIF(CPQL!$D$5:$W$68,'FORM OH'!$I$287,CPQL!K5:K68)</f>
        <v>0</v>
      </c>
      <c r="S287" s="537">
        <f ca="1">SUMIF(CPQL!$D$5:$W$68,'FORM OH'!$I$287,CPQL!L5:L68)</f>
        <v>0</v>
      </c>
      <c r="T287" s="537">
        <f ca="1">SUMIF(CPQL!$D$5:$W$68,'FORM OH'!$I$287,CPQL!M5:M68)</f>
        <v>0</v>
      </c>
      <c r="U287" s="537">
        <f ca="1">SUMIF(CPQL!$D$5:$W$68,'FORM OH'!$I$287,CPQL!N5:N68)</f>
        <v>0</v>
      </c>
      <c r="V287" s="537">
        <f ca="1">SUMIF(CPQL!$D$5:$W$68,'FORM OH'!$I$287,CPQL!O5:O68)</f>
        <v>0</v>
      </c>
      <c r="W287" s="537">
        <f ca="1">SUMIF(CPQL!$D$5:$W$68,'FORM OH'!$I$287,CPQL!P5:P68)</f>
        <v>0</v>
      </c>
      <c r="X287" s="537">
        <f ca="1">SUMIF(CPQL!$D$5:$W$68,'FORM OH'!$I$287,CPQL!Q5:Q68)</f>
        <v>0</v>
      </c>
      <c r="Y287" s="537">
        <f ca="1">SUMIF(CPQL!$D$5:$W$68,'FORM OH'!$I$287,CPQL!R5:R68)</f>
        <v>0</v>
      </c>
      <c r="Z287" s="537">
        <f ca="1">SUMIF(CPQL!$D$5:$W$68,'FORM OH'!$I$287,CPQL!S5:S68)</f>
        <v>0</v>
      </c>
      <c r="AA287" s="537">
        <f ca="1">SUMIF(CPQL!$D$5:$W$68,'FORM OH'!$I$287,CPQL!T5:T68)</f>
        <v>0</v>
      </c>
      <c r="AB287" s="537">
        <f ca="1">SUMIF(CPQL!$D$5:$W$68,'FORM OH'!$I$287,CPQL!U5:U68)</f>
        <v>0</v>
      </c>
      <c r="AC287" s="537">
        <f ca="1">SUMIF(CPQL!$D$5:$W$68,'FORM OH'!$I$287,CPQL!V5:V68)</f>
        <v>0</v>
      </c>
      <c r="AD287" s="537">
        <f t="shared" ca="1" si="47"/>
        <v>0</v>
      </c>
      <c r="AE287" s="533"/>
      <c r="AF287" s="537">
        <f ca="1">SUMIF(CPQL!$D$5:$W$68,'FORM OH'!$I$287,CPQL!Y5:Y68)</f>
        <v>0</v>
      </c>
      <c r="AG287" s="537">
        <f ca="1">SUMIF(CPQL!$D$5:$W$68,'FORM OH'!$I$287,CPQL!Z5:Z68)</f>
        <v>0</v>
      </c>
      <c r="AH287" s="537">
        <f ca="1">SUMIF(CPQL!$D$5:$W$68,'FORM OH'!$I$287,CPQL!AA5:AA68)</f>
        <v>0</v>
      </c>
      <c r="AI287" s="537">
        <f ca="1">SUMIF(CPQL!$D$5:$W$68,'FORM OH'!$I$287,CPQL!AB5:AB68)</f>
        <v>0</v>
      </c>
      <c r="AJ287" s="537">
        <f ca="1">SUMIF(CPQL!$D$5:$W$68,'FORM OH'!$I$287,CPQL!AC5:AC68)</f>
        <v>0</v>
      </c>
      <c r="AK287" s="537">
        <f ca="1">SUMIF(CPQL!$D$5:$W$68,'FORM OH'!$I$287,CPQL!AD5:AD68)</f>
        <v>0</v>
      </c>
      <c r="AL287" s="537">
        <f ca="1">SUMIF(CPQL!$D$5:$W$68,'FORM OH'!$I$287,CPQL!AE5:AE68)</f>
        <v>0</v>
      </c>
      <c r="AM287" s="537">
        <f ca="1">SUMIF(CPQL!$D$5:$W$68,'FORM OH'!$I$287,CPQL!AF5:AF68)</f>
        <v>0</v>
      </c>
      <c r="AN287" s="537">
        <f ca="1">SUMIF(CPQL!$D$5:$W$68,'FORM OH'!$I$287,CPQL!AG5:AG68)</f>
        <v>0</v>
      </c>
      <c r="AO287" s="537">
        <f ca="1">SUMIF(CPQL!$D$5:$W$68,'FORM OH'!$I$287,CPQL!AH5:AH68)</f>
        <v>0</v>
      </c>
      <c r="AP287" s="537">
        <f ca="1">SUMIF(CPQL!$D$5:$W$68,'FORM OH'!$I$287,CPQL!AI5:AI68)</f>
        <v>0</v>
      </c>
      <c r="AQ287" s="537">
        <f ca="1">SUMIF(CPQL!$D$5:$W$68,'FORM OH'!$I$287,CPQL!AJ5:AJ68)</f>
        <v>0</v>
      </c>
      <c r="AR287" s="1284">
        <f t="shared" ca="1" si="39"/>
        <v>0</v>
      </c>
      <c r="AS287" s="1284">
        <f t="shared" ca="1" si="45"/>
        <v>0</v>
      </c>
      <c r="AT287" s="1297">
        <f t="shared" ca="1" si="46"/>
        <v>0</v>
      </c>
    </row>
    <row r="288" spans="1:46" s="539" customFormat="1" ht="16.399999999999999" customHeight="1" outlineLevel="1" x14ac:dyDescent="0.35">
      <c r="A288" s="534" t="s">
        <v>782</v>
      </c>
      <c r="B288" s="534" t="s">
        <v>783</v>
      </c>
      <c r="C288" s="535" t="s">
        <v>1418</v>
      </c>
      <c r="D288" s="536" t="s">
        <v>817</v>
      </c>
      <c r="E288" s="536" t="s">
        <v>818</v>
      </c>
      <c r="F288" s="536" t="s">
        <v>860</v>
      </c>
      <c r="G288" s="536" t="s">
        <v>1431</v>
      </c>
      <c r="H288" s="536" t="s">
        <v>861</v>
      </c>
      <c r="I288" s="535" t="s">
        <v>1479</v>
      </c>
      <c r="J288" s="536" t="s">
        <v>440</v>
      </c>
      <c r="K288" s="536" t="s">
        <v>597</v>
      </c>
      <c r="L288" s="535" t="s">
        <v>997</v>
      </c>
      <c r="M288" s="536" t="s">
        <v>998</v>
      </c>
      <c r="N288" s="536"/>
      <c r="O288" s="535"/>
      <c r="P288" s="536"/>
      <c r="Q288" s="536"/>
      <c r="R288" s="537">
        <f ca="1">SUMIF(CPQL!$D$5:$W$68,'FORM OH'!$I$288,CPQL!K5:K68)</f>
        <v>0</v>
      </c>
      <c r="S288" s="537">
        <f ca="1">SUMIF(CPQL!$D$5:$W$68,'FORM OH'!$I$288,CPQL!L5:L68)</f>
        <v>0</v>
      </c>
      <c r="T288" s="537">
        <f ca="1">SUMIF(CPQL!$D$5:$W$68,'FORM OH'!$I$288,CPQL!M5:M68)</f>
        <v>0</v>
      </c>
      <c r="U288" s="537">
        <f ca="1">SUMIF(CPQL!$D$5:$W$68,'FORM OH'!$I$288,CPQL!N5:N68)</f>
        <v>0</v>
      </c>
      <c r="V288" s="537">
        <f ca="1">SUMIF(CPQL!$D$5:$W$68,'FORM OH'!$I$288,CPQL!O5:O68)</f>
        <v>0</v>
      </c>
      <c r="W288" s="537">
        <f ca="1">SUMIF(CPQL!$D$5:$W$68,'FORM OH'!$I$288,CPQL!P5:P68)</f>
        <v>0</v>
      </c>
      <c r="X288" s="537">
        <f ca="1">SUMIF(CPQL!$D$5:$W$68,'FORM OH'!$I$288,CPQL!Q5:Q68)</f>
        <v>0</v>
      </c>
      <c r="Y288" s="537">
        <f ca="1">SUMIF(CPQL!$D$5:$W$68,'FORM OH'!$I$288,CPQL!R5:R68)</f>
        <v>0</v>
      </c>
      <c r="Z288" s="537">
        <f ca="1">SUMIF(CPQL!$D$5:$W$68,'FORM OH'!$I$288,CPQL!S5:S68)</f>
        <v>0</v>
      </c>
      <c r="AA288" s="537">
        <f ca="1">SUMIF(CPQL!$D$5:$W$68,'FORM OH'!$I$288,CPQL!T5:T68)</f>
        <v>0</v>
      </c>
      <c r="AB288" s="537">
        <f ca="1">SUMIF(CPQL!$D$5:$W$68,'FORM OH'!$I$288,CPQL!U5:U68)</f>
        <v>0</v>
      </c>
      <c r="AC288" s="537">
        <f ca="1">SUMIF(CPQL!$D$5:$W$68,'FORM OH'!$I$288,CPQL!V5:V68)</f>
        <v>0</v>
      </c>
      <c r="AD288" s="537">
        <f t="shared" ca="1" si="47"/>
        <v>0</v>
      </c>
      <c r="AE288" s="533"/>
      <c r="AF288" s="537">
        <f ca="1">SUMIF(CPQL!$D$5:$W$68,'FORM OH'!$I$288,CPQL!Y5:Y68)</f>
        <v>0</v>
      </c>
      <c r="AG288" s="537">
        <f ca="1">SUMIF(CPQL!$D$5:$W$68,'FORM OH'!$I$288,CPQL!Z5:Z68)</f>
        <v>0</v>
      </c>
      <c r="AH288" s="537">
        <f ca="1">SUMIF(CPQL!$D$5:$W$68,'FORM OH'!$I$288,CPQL!AA5:AA68)</f>
        <v>0</v>
      </c>
      <c r="AI288" s="537">
        <f ca="1">SUMIF(CPQL!$D$5:$W$68,'FORM OH'!$I$288,CPQL!AB5:AB68)</f>
        <v>0</v>
      </c>
      <c r="AJ288" s="537">
        <f ca="1">SUMIF(CPQL!$D$5:$W$68,'FORM OH'!$I$288,CPQL!AC5:AC68)</f>
        <v>0</v>
      </c>
      <c r="AK288" s="537">
        <f ca="1">SUMIF(CPQL!$D$5:$W$68,'FORM OH'!$I$288,CPQL!AD5:AD68)</f>
        <v>0</v>
      </c>
      <c r="AL288" s="537">
        <f ca="1">SUMIF(CPQL!$D$5:$W$68,'FORM OH'!$I$288,CPQL!AE5:AE68)</f>
        <v>0</v>
      </c>
      <c r="AM288" s="537">
        <f ca="1">SUMIF(CPQL!$D$5:$W$68,'FORM OH'!$I$288,CPQL!AF5:AF68)</f>
        <v>0</v>
      </c>
      <c r="AN288" s="537">
        <f ca="1">SUMIF(CPQL!$D$5:$W$68,'FORM OH'!$I$288,CPQL!AG5:AG68)</f>
        <v>0</v>
      </c>
      <c r="AO288" s="537">
        <f ca="1">SUMIF(CPQL!$D$5:$W$68,'FORM OH'!$I$288,CPQL!AH5:AH68)</f>
        <v>0</v>
      </c>
      <c r="AP288" s="537">
        <f ca="1">SUMIF(CPQL!$D$5:$W$68,'FORM OH'!$I$288,CPQL!AI5:AI68)</f>
        <v>0</v>
      </c>
      <c r="AQ288" s="537">
        <f ca="1">SUMIF(CPQL!$D$5:$W$68,'FORM OH'!$I$288,CPQL!AJ5:AJ68)</f>
        <v>0</v>
      </c>
      <c r="AR288" s="1284">
        <f t="shared" ca="1" si="39"/>
        <v>0</v>
      </c>
      <c r="AS288" s="1284">
        <f t="shared" ca="1" si="45"/>
        <v>0</v>
      </c>
      <c r="AT288" s="1297">
        <f t="shared" ca="1" si="46"/>
        <v>0</v>
      </c>
    </row>
    <row r="289" spans="1:46" s="539" customFormat="1" ht="16.399999999999999" customHeight="1" outlineLevel="1" x14ac:dyDescent="0.35">
      <c r="A289" s="534" t="s">
        <v>782</v>
      </c>
      <c r="B289" s="534" t="s">
        <v>783</v>
      </c>
      <c r="C289" s="535" t="s">
        <v>1418</v>
      </c>
      <c r="D289" s="536" t="s">
        <v>817</v>
      </c>
      <c r="E289" s="536" t="s">
        <v>818</v>
      </c>
      <c r="F289" s="536" t="s">
        <v>999</v>
      </c>
      <c r="G289" s="536" t="s">
        <v>1431</v>
      </c>
      <c r="H289" s="536" t="s">
        <v>1000</v>
      </c>
      <c r="I289" s="535" t="s">
        <v>1480</v>
      </c>
      <c r="J289" s="536" t="s">
        <v>94</v>
      </c>
      <c r="K289" s="536" t="s">
        <v>600</v>
      </c>
      <c r="L289" s="535" t="s">
        <v>1002</v>
      </c>
      <c r="M289" s="536" t="s">
        <v>1000</v>
      </c>
      <c r="N289" s="536"/>
      <c r="O289" s="535"/>
      <c r="P289" s="536"/>
      <c r="Q289" s="536"/>
      <c r="R289" s="537">
        <f ca="1">SUMIF(CPQL!$D$5:$W$68,'FORM OH'!$I$289,CPQL!K5:K68)</f>
        <v>2000000</v>
      </c>
      <c r="S289" s="537">
        <f ca="1">SUMIF(CPQL!$D$5:$W$68,'FORM OH'!$I$289,CPQL!L5:L68)</f>
        <v>2000000</v>
      </c>
      <c r="T289" s="537">
        <f ca="1">SUMIF(CPQL!$D$5:$W$68,'FORM OH'!$I$289,CPQL!M5:M68)</f>
        <v>2000000</v>
      </c>
      <c r="U289" s="537">
        <f ca="1">SUMIF(CPQL!$D$5:$W$68,'FORM OH'!$I$289,CPQL!N5:N68)</f>
        <v>2000000</v>
      </c>
      <c r="V289" s="537">
        <f ca="1">SUMIF(CPQL!$D$5:$W$68,'FORM OH'!$I$289,CPQL!O5:O68)</f>
        <v>2000000</v>
      </c>
      <c r="W289" s="537">
        <f ca="1">SUMIF(CPQL!$D$5:$W$68,'FORM OH'!$I$289,CPQL!P5:P68)</f>
        <v>2000000</v>
      </c>
      <c r="X289" s="537">
        <f ca="1">SUMIF(CPQL!$D$5:$W$68,'FORM OH'!$I$289,CPQL!Q5:Q68)</f>
        <v>2000000</v>
      </c>
      <c r="Y289" s="537">
        <f ca="1">SUMIF(CPQL!$D$5:$W$68,'FORM OH'!$I$289,CPQL!R5:R68)</f>
        <v>2000000</v>
      </c>
      <c r="Z289" s="537">
        <f ca="1">SUMIF(CPQL!$D$5:$W$68,'FORM OH'!$I$289,CPQL!S5:S68)</f>
        <v>2000000</v>
      </c>
      <c r="AA289" s="537">
        <f ca="1">SUMIF(CPQL!$D$5:$W$68,'FORM OH'!$I$289,CPQL!T5:T68)</f>
        <v>2000000</v>
      </c>
      <c r="AB289" s="537">
        <f ca="1">SUMIF(CPQL!$D$5:$W$68,'FORM OH'!$I$289,CPQL!U5:U68)</f>
        <v>2000000</v>
      </c>
      <c r="AC289" s="537">
        <f ca="1">SUMIF(CPQL!$D$5:$W$68,'FORM OH'!$I$289,CPQL!V5:V68)</f>
        <v>10000000</v>
      </c>
      <c r="AD289" s="537">
        <f t="shared" ca="1" si="47"/>
        <v>32000000</v>
      </c>
      <c r="AE289" s="533"/>
      <c r="AF289" s="537">
        <f ca="1">SUMIF(CPQL!$D$5:$W$68,'FORM OH'!$I$289,CPQL!Y5:Y68)</f>
        <v>4000000</v>
      </c>
      <c r="AG289" s="537">
        <f ca="1">SUMIF(CPQL!$D$5:$W$68,'FORM OH'!$I$289,CPQL!Z5:Z68)</f>
        <v>0</v>
      </c>
      <c r="AH289" s="537">
        <f ca="1">SUMIF(CPQL!$D$5:$W$68,'FORM OH'!$I$289,CPQL!AA5:AA68)</f>
        <v>0</v>
      </c>
      <c r="AI289" s="537">
        <f ca="1">SUMIF(CPQL!$D$5:$W$68,'FORM OH'!$I$289,CPQL!AB5:AB68)</f>
        <v>3000000</v>
      </c>
      <c r="AJ289" s="537">
        <f ca="1">SUMIF(CPQL!$D$5:$W$68,'FORM OH'!$I$289,CPQL!AC5:AC68)</f>
        <v>7569998</v>
      </c>
      <c r="AK289" s="537">
        <f ca="1">SUMIF(CPQL!$D$5:$W$68,'FORM OH'!$I$289,CPQL!AD5:AD68)</f>
        <v>0</v>
      </c>
      <c r="AL289" s="537">
        <f ca="1">SUMIF(CPQL!$D$5:$W$68,'FORM OH'!$I$289,CPQL!AE5:AE68)</f>
        <v>2000000</v>
      </c>
      <c r="AM289" s="537">
        <f ca="1">SUMIF(CPQL!$D$5:$W$68,'FORM OH'!$I$289,CPQL!AF5:AF68)</f>
        <v>3000000</v>
      </c>
      <c r="AN289" s="537">
        <f ca="1">SUMIF(CPQL!$D$5:$W$68,'FORM OH'!$I$289,CPQL!AG5:AG68)</f>
        <v>1000000</v>
      </c>
      <c r="AO289" s="537">
        <f ca="1">SUMIF(CPQL!$D$5:$W$68,'FORM OH'!$I$289,CPQL!AH5:AH68)</f>
        <v>2000000</v>
      </c>
      <c r="AP289" s="537">
        <f ca="1">SUMIF(CPQL!$D$5:$W$68,'FORM OH'!$I$289,CPQL!AI5:AI68)</f>
        <v>2000000</v>
      </c>
      <c r="AQ289" s="537">
        <f ca="1">SUMIF(CPQL!$D$5:$W$68,'FORM OH'!$I$289,CPQL!AJ5:AJ68)</f>
        <v>10000000</v>
      </c>
      <c r="AR289" s="1284">
        <f t="shared" ca="1" si="39"/>
        <v>34569998</v>
      </c>
      <c r="AS289" s="1284">
        <f t="shared" ca="1" si="45"/>
        <v>-2569998</v>
      </c>
      <c r="AT289" s="1297">
        <f t="shared" ca="1" si="46"/>
        <v>-7.4341861402479684E-2</v>
      </c>
    </row>
    <row r="290" spans="1:46" s="539" customFormat="1" ht="16.399999999999999" customHeight="1" outlineLevel="1" x14ac:dyDescent="0.35">
      <c r="A290" s="534" t="s">
        <v>782</v>
      </c>
      <c r="B290" s="534" t="s">
        <v>783</v>
      </c>
      <c r="C290" s="535" t="s">
        <v>1418</v>
      </c>
      <c r="D290" s="536" t="s">
        <v>817</v>
      </c>
      <c r="E290" s="536" t="s">
        <v>818</v>
      </c>
      <c r="F290" s="536" t="s">
        <v>999</v>
      </c>
      <c r="G290" s="536" t="s">
        <v>1431</v>
      </c>
      <c r="H290" s="536" t="s">
        <v>1000</v>
      </c>
      <c r="I290" s="535" t="s">
        <v>1481</v>
      </c>
      <c r="J290" s="536" t="s">
        <v>94</v>
      </c>
      <c r="K290" s="536" t="s">
        <v>600</v>
      </c>
      <c r="L290" s="535" t="s">
        <v>1002</v>
      </c>
      <c r="M290" s="536" t="s">
        <v>1000</v>
      </c>
      <c r="N290" s="536"/>
      <c r="O290" s="535"/>
      <c r="P290" s="536"/>
      <c r="Q290" s="536"/>
      <c r="R290" s="537">
        <f ca="1">SUMIF(CPQL!$D$5:$W$68,'FORM OH'!$I$290,CPQL!K5:K68)</f>
        <v>0</v>
      </c>
      <c r="S290" s="537">
        <f ca="1">SUMIF(CPQL!$D$5:$W$68,'FORM OH'!$I$290,CPQL!L5:L68)</f>
        <v>0</v>
      </c>
      <c r="T290" s="537">
        <f ca="1">SUMIF(CPQL!$D$5:$W$68,'FORM OH'!$I$290,CPQL!M5:M68)</f>
        <v>0</v>
      </c>
      <c r="U290" s="537">
        <f ca="1">SUMIF(CPQL!$D$5:$W$68,'FORM OH'!$I$290,CPQL!N5:N68)</f>
        <v>0</v>
      </c>
      <c r="V290" s="537">
        <f ca="1">SUMIF(CPQL!$D$5:$W$68,'FORM OH'!$I$290,CPQL!O5:O68)</f>
        <v>0</v>
      </c>
      <c r="W290" s="537">
        <f ca="1">SUMIF(CPQL!$D$5:$W$68,'FORM OH'!$I$290,CPQL!P5:P68)</f>
        <v>0</v>
      </c>
      <c r="X290" s="537">
        <f ca="1">SUMIF(CPQL!$D$5:$W$68,'FORM OH'!$I$290,CPQL!Q5:Q68)</f>
        <v>0</v>
      </c>
      <c r="Y290" s="537">
        <f ca="1">SUMIF(CPQL!$D$5:$W$68,'FORM OH'!$I$290,CPQL!R5:R68)</f>
        <v>0</v>
      </c>
      <c r="Z290" s="537">
        <f ca="1">SUMIF(CPQL!$D$5:$W$68,'FORM OH'!$I$290,CPQL!S5:S68)</f>
        <v>0</v>
      </c>
      <c r="AA290" s="537">
        <f ca="1">SUMIF(CPQL!$D$5:$W$68,'FORM OH'!$I$290,CPQL!T5:T68)</f>
        <v>0</v>
      </c>
      <c r="AB290" s="537">
        <f ca="1">SUMIF(CPQL!$D$5:$W$68,'FORM OH'!$I$290,CPQL!U5:U68)</f>
        <v>0</v>
      </c>
      <c r="AC290" s="537">
        <f ca="1">SUMIF(CPQL!$D$5:$W$68,'FORM OH'!$I$290,CPQL!V5:V68)</f>
        <v>0</v>
      </c>
      <c r="AD290" s="537">
        <f t="shared" ca="1" si="47"/>
        <v>0</v>
      </c>
      <c r="AE290" s="533"/>
      <c r="AF290" s="537">
        <f ca="1">SUMIF(CPQL!$D$5:$W$68,'FORM OH'!$I$290,CPQL!Y5:Y68)</f>
        <v>0</v>
      </c>
      <c r="AG290" s="537">
        <f ca="1">SUMIF(CPQL!$D$5:$W$68,'FORM OH'!$I$290,CPQL!Z5:Z68)</f>
        <v>0</v>
      </c>
      <c r="AH290" s="537">
        <f ca="1">SUMIF(CPQL!$D$5:$W$68,'FORM OH'!$I$290,CPQL!AA5:AA68)</f>
        <v>0</v>
      </c>
      <c r="AI290" s="537">
        <f ca="1">SUMIF(CPQL!$D$5:$W$68,'FORM OH'!$I$290,CPQL!AB5:AB68)</f>
        <v>0</v>
      </c>
      <c r="AJ290" s="537">
        <f ca="1">SUMIF(CPQL!$D$5:$W$68,'FORM OH'!$I$290,CPQL!AC5:AC68)</f>
        <v>0</v>
      </c>
      <c r="AK290" s="537">
        <f ca="1">SUMIF(CPQL!$D$5:$W$68,'FORM OH'!$I$290,CPQL!AD5:AD68)</f>
        <v>0</v>
      </c>
      <c r="AL290" s="537">
        <f ca="1">SUMIF(CPQL!$D$5:$W$68,'FORM OH'!$I$290,CPQL!AE5:AE68)</f>
        <v>0</v>
      </c>
      <c r="AM290" s="537">
        <f ca="1">SUMIF(CPQL!$D$5:$W$68,'FORM OH'!$I$290,CPQL!AF5:AF68)</f>
        <v>0</v>
      </c>
      <c r="AN290" s="537">
        <f ca="1">SUMIF(CPQL!$D$5:$W$68,'FORM OH'!$I$290,CPQL!AG5:AG68)</f>
        <v>0</v>
      </c>
      <c r="AO290" s="537">
        <f ca="1">SUMIF(CPQL!$D$5:$W$68,'FORM OH'!$I$290,CPQL!AH5:AH68)</f>
        <v>0</v>
      </c>
      <c r="AP290" s="537">
        <f ca="1">SUMIF(CPQL!$D$5:$W$68,'FORM OH'!$I$290,CPQL!AI5:AI68)</f>
        <v>0</v>
      </c>
      <c r="AQ290" s="537">
        <f ca="1">SUMIF(CPQL!$D$5:$W$68,'FORM OH'!$I$290,CPQL!AJ5:AJ68)</f>
        <v>0</v>
      </c>
      <c r="AR290" s="1284">
        <f t="shared" ca="1" si="39"/>
        <v>0</v>
      </c>
      <c r="AS290" s="1284">
        <f t="shared" ca="1" si="45"/>
        <v>0</v>
      </c>
      <c r="AT290" s="1297">
        <f t="shared" ca="1" si="46"/>
        <v>0</v>
      </c>
    </row>
    <row r="291" spans="1:46" s="539" customFormat="1" ht="16.399999999999999" customHeight="1" outlineLevel="1" x14ac:dyDescent="0.35">
      <c r="A291" s="534" t="s">
        <v>782</v>
      </c>
      <c r="B291" s="534" t="s">
        <v>783</v>
      </c>
      <c r="C291" s="535" t="s">
        <v>1418</v>
      </c>
      <c r="D291" s="536" t="s">
        <v>817</v>
      </c>
      <c r="E291" s="536" t="s">
        <v>818</v>
      </c>
      <c r="F291" s="536" t="s">
        <v>999</v>
      </c>
      <c r="G291" s="536" t="s">
        <v>1431</v>
      </c>
      <c r="H291" s="536" t="s">
        <v>1000</v>
      </c>
      <c r="I291" s="535" t="s">
        <v>1482</v>
      </c>
      <c r="J291" s="536" t="s">
        <v>1483</v>
      </c>
      <c r="K291" s="536" t="s">
        <v>588</v>
      </c>
      <c r="L291" s="535" t="s">
        <v>1484</v>
      </c>
      <c r="M291" s="536" t="s">
        <v>1485</v>
      </c>
      <c r="N291" s="536"/>
      <c r="O291" s="535"/>
      <c r="P291" s="536"/>
      <c r="Q291" s="536"/>
      <c r="R291" s="537">
        <f ca="1">SUMIF(CPQL!$D$5:$W$68,'FORM OH'!$I$291,CPQL!K5:K68)</f>
        <v>0</v>
      </c>
      <c r="S291" s="537">
        <f ca="1">SUMIF(CPQL!$D$5:$W$68,'FORM OH'!$I$291,CPQL!L5:L68)</f>
        <v>0</v>
      </c>
      <c r="T291" s="537">
        <f ca="1">SUMIF(CPQL!$D$5:$W$68,'FORM OH'!$I$291,CPQL!M5:M68)</f>
        <v>0</v>
      </c>
      <c r="U291" s="537">
        <f ca="1">SUMIF(CPQL!$D$5:$W$68,'FORM OH'!$I$291,CPQL!N5:N68)</f>
        <v>0</v>
      </c>
      <c r="V291" s="537">
        <f ca="1">SUMIF(CPQL!$D$5:$W$68,'FORM OH'!$I$291,CPQL!O5:O68)</f>
        <v>0</v>
      </c>
      <c r="W291" s="537">
        <f ca="1">SUMIF(CPQL!$D$5:$W$68,'FORM OH'!$I$291,CPQL!P5:P68)</f>
        <v>0</v>
      </c>
      <c r="X291" s="537">
        <f ca="1">SUMIF(CPQL!$D$5:$W$68,'FORM OH'!$I$291,CPQL!Q5:Q68)</f>
        <v>0</v>
      </c>
      <c r="Y291" s="537">
        <f ca="1">SUMIF(CPQL!$D$5:$W$68,'FORM OH'!$I$291,CPQL!R5:R68)</f>
        <v>0</v>
      </c>
      <c r="Z291" s="537">
        <f ca="1">SUMIF(CPQL!$D$5:$W$68,'FORM OH'!$I$291,CPQL!S5:S68)</f>
        <v>0</v>
      </c>
      <c r="AA291" s="537">
        <f ca="1">SUMIF(CPQL!$D$5:$W$68,'FORM OH'!$I$291,CPQL!T5:T68)</f>
        <v>0</v>
      </c>
      <c r="AB291" s="537">
        <f ca="1">SUMIF(CPQL!$D$5:$W$68,'FORM OH'!$I$291,CPQL!U5:U68)</f>
        <v>0</v>
      </c>
      <c r="AC291" s="537">
        <f ca="1">SUMIF(CPQL!$D$5:$W$68,'FORM OH'!$I$291,CPQL!V5:V68)</f>
        <v>0</v>
      </c>
      <c r="AD291" s="537">
        <f t="shared" ca="1" si="47"/>
        <v>0</v>
      </c>
      <c r="AE291" s="533"/>
      <c r="AF291" s="537">
        <f ca="1">SUMIF(CPQL!$D$5:$W$68,'FORM OH'!$I$291,CPQL!Y5:Y68)</f>
        <v>0</v>
      </c>
      <c r="AG291" s="537">
        <f ca="1">SUMIF(CPQL!$D$5:$W$68,'FORM OH'!$I$291,CPQL!Z5:Z68)</f>
        <v>0</v>
      </c>
      <c r="AH291" s="537">
        <f ca="1">SUMIF(CPQL!$D$5:$W$68,'FORM OH'!$I$291,CPQL!AA5:AA68)</f>
        <v>0</v>
      </c>
      <c r="AI291" s="537">
        <f ca="1">SUMIF(CPQL!$D$5:$W$68,'FORM OH'!$I$291,CPQL!AB5:AB68)</f>
        <v>0</v>
      </c>
      <c r="AJ291" s="537">
        <f ca="1">SUMIF(CPQL!$D$5:$W$68,'FORM OH'!$I$291,CPQL!AC5:AC68)</f>
        <v>0</v>
      </c>
      <c r="AK291" s="537">
        <f ca="1">SUMIF(CPQL!$D$5:$W$68,'FORM OH'!$I$291,CPQL!AD5:AD68)</f>
        <v>0</v>
      </c>
      <c r="AL291" s="537">
        <f ca="1">SUMIF(CPQL!$D$5:$W$68,'FORM OH'!$I$291,CPQL!AE5:AE68)</f>
        <v>0</v>
      </c>
      <c r="AM291" s="537">
        <f ca="1">SUMIF(CPQL!$D$5:$W$68,'FORM OH'!$I$291,CPQL!AF5:AF68)</f>
        <v>0</v>
      </c>
      <c r="AN291" s="537">
        <f ca="1">SUMIF(CPQL!$D$5:$W$68,'FORM OH'!$I$291,CPQL!AG5:AG68)</f>
        <v>0</v>
      </c>
      <c r="AO291" s="537">
        <f ca="1">SUMIF(CPQL!$D$5:$W$68,'FORM OH'!$I$291,CPQL!AH5:AH68)</f>
        <v>0</v>
      </c>
      <c r="AP291" s="537">
        <f ca="1">SUMIF(CPQL!$D$5:$W$68,'FORM OH'!$I$291,CPQL!AI5:AI68)</f>
        <v>0</v>
      </c>
      <c r="AQ291" s="537">
        <f ca="1">SUMIF(CPQL!$D$5:$W$68,'FORM OH'!$I$291,CPQL!AJ5:AJ68)</f>
        <v>0</v>
      </c>
      <c r="AR291" s="1284">
        <f t="shared" ca="1" si="39"/>
        <v>0</v>
      </c>
      <c r="AS291" s="1284">
        <f t="shared" ca="1" si="45"/>
        <v>0</v>
      </c>
      <c r="AT291" s="1297">
        <f t="shared" ca="1" si="46"/>
        <v>0</v>
      </c>
    </row>
    <row r="292" spans="1:46" s="539" customFormat="1" ht="16.399999999999999" customHeight="1" outlineLevel="1" x14ac:dyDescent="0.35">
      <c r="A292" s="534" t="s">
        <v>782</v>
      </c>
      <c r="B292" s="534" t="s">
        <v>783</v>
      </c>
      <c r="C292" s="535" t="s">
        <v>1418</v>
      </c>
      <c r="D292" s="536" t="s">
        <v>817</v>
      </c>
      <c r="E292" s="536" t="s">
        <v>818</v>
      </c>
      <c r="F292" s="536" t="s">
        <v>975</v>
      </c>
      <c r="G292" s="536" t="s">
        <v>1431</v>
      </c>
      <c r="H292" s="536" t="s">
        <v>1333</v>
      </c>
      <c r="I292" s="535" t="s">
        <v>1486</v>
      </c>
      <c r="J292" s="536" t="s">
        <v>441</v>
      </c>
      <c r="K292" s="536" t="s">
        <v>570</v>
      </c>
      <c r="L292" s="535" t="s">
        <v>1005</v>
      </c>
      <c r="M292" s="536" t="s">
        <v>1006</v>
      </c>
      <c r="N292" s="536"/>
      <c r="O292" s="535"/>
      <c r="P292" s="536"/>
      <c r="Q292" s="536"/>
      <c r="R292" s="537">
        <f ca="1">SUMIF(CPQL!$D$5:$W$68,'FORM OH'!$I$292,CPQL!K5:K68)</f>
        <v>2982856.5125000002</v>
      </c>
      <c r="S292" s="537">
        <f ca="1">SUMIF(CPQL!$D$5:$W$68,'FORM OH'!$I$292,CPQL!L5:L68)</f>
        <v>2982856.5125000002</v>
      </c>
      <c r="T292" s="537">
        <f ca="1">SUMIF(CPQL!$D$5:$W$68,'FORM OH'!$I$292,CPQL!M5:M68)</f>
        <v>2982856.5125000002</v>
      </c>
      <c r="U292" s="537">
        <f ca="1">SUMIF(CPQL!$D$5:$W$68,'FORM OH'!$I$292,CPQL!N5:N68)</f>
        <v>2982856.5125000002</v>
      </c>
      <c r="V292" s="537">
        <f ca="1">SUMIF(CPQL!$D$5:$W$68,'FORM OH'!$I$292,CPQL!O5:O68)</f>
        <v>2982856.5125000002</v>
      </c>
      <c r="W292" s="537">
        <f ca="1">SUMIF(CPQL!$D$5:$W$68,'FORM OH'!$I$292,CPQL!P5:P68)</f>
        <v>2982856.5125000002</v>
      </c>
      <c r="X292" s="537">
        <f ca="1">SUMIF(CPQL!$D$5:$W$68,'FORM OH'!$I$292,CPQL!Q5:Q68)</f>
        <v>2982856.5125000002</v>
      </c>
      <c r="Y292" s="537">
        <f ca="1">SUMIF(CPQL!$D$5:$W$68,'FORM OH'!$I$292,CPQL!R5:R68)</f>
        <v>2982855.5125000002</v>
      </c>
      <c r="Z292" s="537">
        <f ca="1">SUMIF(CPQL!$D$5:$W$68,'FORM OH'!$I$292,CPQL!S5:S68)</f>
        <v>1527804.5125000002</v>
      </c>
      <c r="AA292" s="537">
        <f ca="1">SUMIF(CPQL!$D$5:$W$68,'FORM OH'!$I$292,CPQL!T5:T68)</f>
        <v>1527804.5125000002</v>
      </c>
      <c r="AB292" s="537">
        <f ca="1">SUMIF(CPQL!$D$5:$W$68,'FORM OH'!$I$292,CPQL!U5:U68)</f>
        <v>1527804.5125000002</v>
      </c>
      <c r="AC292" s="537">
        <f ca="1">SUMIF(CPQL!$D$5:$W$68,'FORM OH'!$I$292,CPQL!V5:V68)</f>
        <v>1527804.5125000002</v>
      </c>
      <c r="AD292" s="537">
        <f t="shared" ca="1" si="47"/>
        <v>29974069.149999995</v>
      </c>
      <c r="AE292" s="533"/>
      <c r="AF292" s="537">
        <f ca="1">SUMIF(CPQL!$D$5:$W$68,'FORM OH'!$I$292,CPQL!Y5:Y68)</f>
        <v>649328</v>
      </c>
      <c r="AG292" s="537">
        <f ca="1">SUMIF(CPQL!$D$5:$W$68,'FORM OH'!$I$292,CPQL!Z5:Z68)</f>
        <v>649328</v>
      </c>
      <c r="AH292" s="537">
        <f ca="1">SUMIF(CPQL!$D$5:$W$68,'FORM OH'!$I$292,CPQL!AA5:AA68)</f>
        <v>649328</v>
      </c>
      <c r="AI292" s="537">
        <f ca="1">SUMIF(CPQL!$D$5:$W$68,'FORM OH'!$I$292,CPQL!AB5:AB68)</f>
        <v>415996</v>
      </c>
      <c r="AJ292" s="537">
        <f ca="1">SUMIF(CPQL!$D$5:$W$68,'FORM OH'!$I$292,CPQL!AC5:AC68)</f>
        <v>415995</v>
      </c>
      <c r="AK292" s="537">
        <f ca="1">SUMIF(CPQL!$D$5:$W$68,'FORM OH'!$I$292,CPQL!AD5:AD68)</f>
        <v>415995</v>
      </c>
      <c r="AL292" s="537">
        <f ca="1">SUMIF(CPQL!$D$5:$W$68,'FORM OH'!$I$292,CPQL!AE5:AE68)</f>
        <v>415995</v>
      </c>
      <c r="AM292" s="537">
        <f ca="1">SUMIF(CPQL!$D$5:$W$68,'FORM OH'!$I$292,CPQL!AF5:AF68)</f>
        <v>415995</v>
      </c>
      <c r="AN292" s="537">
        <f ca="1">SUMIF(CPQL!$D$5:$W$68,'FORM OH'!$I$292,CPQL!AG5:AG68)</f>
        <v>1871046</v>
      </c>
      <c r="AO292" s="537">
        <f ca="1">SUMIF(CPQL!$D$5:$W$68,'FORM OH'!$I$292,CPQL!AH5:AH68)</f>
        <v>1455052</v>
      </c>
      <c r="AP292" s="537">
        <f ca="1">SUMIF(CPQL!$D$5:$W$68,'FORM OH'!$I$292,CPQL!AI5:AI68)</f>
        <v>1455052</v>
      </c>
      <c r="AQ292" s="537">
        <f ca="1">SUMIF(CPQL!$D$5:$W$68,'FORM OH'!$I$292,CPQL!AJ5:AJ68)</f>
        <v>1455052</v>
      </c>
      <c r="AR292" s="1284">
        <f t="shared" ca="1" si="39"/>
        <v>10264162</v>
      </c>
      <c r="AS292" s="1284">
        <f t="shared" ca="1" si="45"/>
        <v>19709907.149999995</v>
      </c>
      <c r="AT292" s="1297">
        <f t="shared" ca="1" si="46"/>
        <v>1.9202646207259779</v>
      </c>
    </row>
    <row r="293" spans="1:46" s="539" customFormat="1" ht="16.399999999999999" customHeight="1" outlineLevel="1" x14ac:dyDescent="0.35">
      <c r="A293" s="534" t="s">
        <v>782</v>
      </c>
      <c r="B293" s="534" t="s">
        <v>783</v>
      </c>
      <c r="C293" s="535" t="s">
        <v>1418</v>
      </c>
      <c r="D293" s="536" t="s">
        <v>817</v>
      </c>
      <c r="E293" s="536" t="s">
        <v>818</v>
      </c>
      <c r="F293" s="536" t="s">
        <v>975</v>
      </c>
      <c r="G293" s="536" t="s">
        <v>1431</v>
      </c>
      <c r="H293" s="536" t="s">
        <v>1333</v>
      </c>
      <c r="I293" s="535" t="s">
        <v>1487</v>
      </c>
      <c r="J293" s="536" t="s">
        <v>482</v>
      </c>
      <c r="K293" s="536" t="s">
        <v>570</v>
      </c>
      <c r="L293" s="535" t="s">
        <v>1488</v>
      </c>
      <c r="M293" s="536" t="s">
        <v>1489</v>
      </c>
      <c r="N293" s="536"/>
      <c r="O293" s="535"/>
      <c r="P293" s="536"/>
      <c r="Q293" s="536"/>
      <c r="R293" s="537">
        <f ca="1">SUMIF(CPQL!$D$5:$W$68,'FORM OH'!$I$293,CPQL!K5:K68)</f>
        <v>0</v>
      </c>
      <c r="S293" s="537">
        <f ca="1">SUMIF(CPQL!$D$5:$W$68,'FORM OH'!$I$293,CPQL!L5:L68)</f>
        <v>0</v>
      </c>
      <c r="T293" s="537">
        <f ca="1">SUMIF(CPQL!$D$5:$W$68,'FORM OH'!$I$293,CPQL!M5:M68)</f>
        <v>0</v>
      </c>
      <c r="U293" s="537">
        <f ca="1">SUMIF(CPQL!$D$5:$W$68,'FORM OH'!$I$293,CPQL!N5:N68)</f>
        <v>0</v>
      </c>
      <c r="V293" s="537">
        <f ca="1">SUMIF(CPQL!$D$5:$W$68,'FORM OH'!$I$293,CPQL!O5:O68)</f>
        <v>0</v>
      </c>
      <c r="W293" s="537">
        <f ca="1">SUMIF(CPQL!$D$5:$W$68,'FORM OH'!$I$293,CPQL!P5:P68)</f>
        <v>0</v>
      </c>
      <c r="X293" s="537">
        <f ca="1">SUMIF(CPQL!$D$5:$W$68,'FORM OH'!$I$293,CPQL!Q5:Q68)</f>
        <v>0</v>
      </c>
      <c r="Y293" s="537">
        <f ca="1">SUMIF(CPQL!$D$5:$W$68,'FORM OH'!$I$293,CPQL!R5:R68)</f>
        <v>60000000</v>
      </c>
      <c r="Z293" s="537">
        <f ca="1">SUMIF(CPQL!$D$5:$W$68,'FORM OH'!$I$293,CPQL!S5:S68)</f>
        <v>0</v>
      </c>
      <c r="AA293" s="537">
        <f ca="1">SUMIF(CPQL!$D$5:$W$68,'FORM OH'!$I$293,CPQL!T5:T68)</f>
        <v>0</v>
      </c>
      <c r="AB293" s="537">
        <f ca="1">SUMIF(CPQL!$D$5:$W$68,'FORM OH'!$I$293,CPQL!U5:U68)</f>
        <v>0</v>
      </c>
      <c r="AC293" s="537">
        <f ca="1">SUMIF(CPQL!$D$5:$W$68,'FORM OH'!$I$293,CPQL!V5:V68)</f>
        <v>0</v>
      </c>
      <c r="AD293" s="537">
        <f t="shared" ca="1" si="47"/>
        <v>60000000</v>
      </c>
      <c r="AE293" s="533"/>
      <c r="AF293" s="537">
        <f ca="1">SUMIF(CPQL!$D$5:$W$68,'FORM OH'!$I$293,CPQL!Y5:Y68)</f>
        <v>0</v>
      </c>
      <c r="AG293" s="537">
        <f ca="1">SUMIF(CPQL!$D$5:$W$68,'FORM OH'!$I$293,CPQL!Z5:Z68)</f>
        <v>0</v>
      </c>
      <c r="AH293" s="537">
        <f ca="1">SUMIF(CPQL!$D$5:$W$68,'FORM OH'!$I$293,CPQL!AA5:AA68)</f>
        <v>0</v>
      </c>
      <c r="AI293" s="537">
        <f ca="1">SUMIF(CPQL!$D$5:$W$68,'FORM OH'!$I$293,CPQL!AB5:AB68)</f>
        <v>0</v>
      </c>
      <c r="AJ293" s="537">
        <f ca="1">SUMIF(CPQL!$D$5:$W$68,'FORM OH'!$I$293,CPQL!AC5:AC68)</f>
        <v>0</v>
      </c>
      <c r="AK293" s="537">
        <f ca="1">SUMIF(CPQL!$D$5:$W$68,'FORM OH'!$I$293,CPQL!AD5:AD68)</f>
        <v>0</v>
      </c>
      <c r="AL293" s="537">
        <f ca="1">SUMIF(CPQL!$D$5:$W$68,'FORM OH'!$I$293,CPQL!AE5:AE68)</f>
        <v>0</v>
      </c>
      <c r="AM293" s="537">
        <f ca="1">SUMIF(CPQL!$D$5:$W$68,'FORM OH'!$I$293,CPQL!AF5:AF68)</f>
        <v>0</v>
      </c>
      <c r="AN293" s="537">
        <f ca="1">SUMIF(CPQL!$D$5:$W$68,'FORM OH'!$I$293,CPQL!AG5:AG68)</f>
        <v>0</v>
      </c>
      <c r="AO293" s="537">
        <f ca="1">SUMIF(CPQL!$D$5:$W$68,'FORM OH'!$I$293,CPQL!AH5:AH68)</f>
        <v>0</v>
      </c>
      <c r="AP293" s="537">
        <f ca="1">SUMIF(CPQL!$D$5:$W$68,'FORM OH'!$I$293,CPQL!AI5:AI68)</f>
        <v>0</v>
      </c>
      <c r="AQ293" s="537">
        <f ca="1">SUMIF(CPQL!$D$5:$W$68,'FORM OH'!$I$293,CPQL!AJ5:AJ68)</f>
        <v>0</v>
      </c>
      <c r="AR293" s="1284">
        <f t="shared" ca="1" si="39"/>
        <v>0</v>
      </c>
      <c r="AS293" s="1284">
        <f t="shared" ca="1" si="45"/>
        <v>60000000</v>
      </c>
      <c r="AT293" s="1297">
        <f t="shared" ca="1" si="46"/>
        <v>0</v>
      </c>
    </row>
    <row r="294" spans="1:46" s="539" customFormat="1" ht="16.399999999999999" customHeight="1" outlineLevel="1" x14ac:dyDescent="0.35">
      <c r="A294" s="534" t="s">
        <v>782</v>
      </c>
      <c r="B294" s="534" t="s">
        <v>783</v>
      </c>
      <c r="C294" s="535" t="s">
        <v>1418</v>
      </c>
      <c r="D294" s="536" t="s">
        <v>817</v>
      </c>
      <c r="E294" s="536" t="s">
        <v>818</v>
      </c>
      <c r="F294" s="536" t="s">
        <v>975</v>
      </c>
      <c r="G294" s="536" t="s">
        <v>1431</v>
      </c>
      <c r="H294" s="536" t="s">
        <v>1333</v>
      </c>
      <c r="I294" s="535" t="s">
        <v>1490</v>
      </c>
      <c r="J294" s="536" t="s">
        <v>483</v>
      </c>
      <c r="K294" s="536" t="s">
        <v>570</v>
      </c>
      <c r="L294" s="535" t="s">
        <v>1335</v>
      </c>
      <c r="M294" s="536" t="s">
        <v>1336</v>
      </c>
      <c r="N294" s="536"/>
      <c r="O294" s="535"/>
      <c r="P294" s="536"/>
      <c r="Q294" s="536"/>
      <c r="R294" s="537">
        <f ca="1">SUMIF(CPQL!$D$5:$W$68,'FORM OH'!$I$294,CPQL!K5:K68)</f>
        <v>0</v>
      </c>
      <c r="S294" s="537">
        <f ca="1">SUMIF(CPQL!$D$5:$W$68,'FORM OH'!$I$294,CPQL!L5:L68)</f>
        <v>22050000</v>
      </c>
      <c r="T294" s="537">
        <f ca="1">SUMIF(CPQL!$D$5:$W$68,'FORM OH'!$I$294,CPQL!M5:M68)</f>
        <v>0</v>
      </c>
      <c r="U294" s="537">
        <f ca="1">SUMIF(CPQL!$D$5:$W$68,'FORM OH'!$I$294,CPQL!N5:N68)</f>
        <v>0</v>
      </c>
      <c r="V294" s="537">
        <f ca="1">SUMIF(CPQL!$D$5:$W$68,'FORM OH'!$I$294,CPQL!O5:O68)</f>
        <v>0</v>
      </c>
      <c r="W294" s="537">
        <f ca="1">SUMIF(CPQL!$D$5:$W$68,'FORM OH'!$I$294,CPQL!P5:P68)</f>
        <v>0</v>
      </c>
      <c r="X294" s="537">
        <f ca="1">SUMIF(CPQL!$D$5:$W$68,'FORM OH'!$I$294,CPQL!Q5:Q68)</f>
        <v>0</v>
      </c>
      <c r="Y294" s="537">
        <f ca="1">SUMIF(CPQL!$D$5:$W$68,'FORM OH'!$I$294,CPQL!R5:R68)</f>
        <v>0</v>
      </c>
      <c r="Z294" s="537">
        <f ca="1">SUMIF(CPQL!$D$5:$W$68,'FORM OH'!$I$294,CPQL!S5:S68)</f>
        <v>0</v>
      </c>
      <c r="AA294" s="537">
        <f ca="1">SUMIF(CPQL!$D$5:$W$68,'FORM OH'!$I$294,CPQL!T5:T68)</f>
        <v>0</v>
      </c>
      <c r="AB294" s="537">
        <f ca="1">SUMIF(CPQL!$D$5:$W$68,'FORM OH'!$I$294,CPQL!U5:U68)</f>
        <v>0</v>
      </c>
      <c r="AC294" s="537">
        <f ca="1">SUMIF(CPQL!$D$5:$W$68,'FORM OH'!$I$294,CPQL!V5:V68)</f>
        <v>0</v>
      </c>
      <c r="AD294" s="537">
        <f t="shared" ca="1" si="47"/>
        <v>22050000</v>
      </c>
      <c r="AE294" s="533"/>
      <c r="AF294" s="537">
        <f ca="1">SUMIF(CPQL!$D$5:$W$68,'FORM OH'!$I$294,CPQL!Y5:Y68)</f>
        <v>0</v>
      </c>
      <c r="AG294" s="537">
        <f ca="1">SUMIF(CPQL!$D$5:$W$68,'FORM OH'!$I$294,CPQL!Z5:Z68)</f>
        <v>0</v>
      </c>
      <c r="AH294" s="537">
        <f ca="1">SUMIF(CPQL!$D$5:$W$68,'FORM OH'!$I$294,CPQL!AA5:AA68)</f>
        <v>0</v>
      </c>
      <c r="AI294" s="537">
        <f ca="1">SUMIF(CPQL!$D$5:$W$68,'FORM OH'!$I$294,CPQL!AB5:AB68)</f>
        <v>0</v>
      </c>
      <c r="AJ294" s="537">
        <f ca="1">SUMIF(CPQL!$D$5:$W$68,'FORM OH'!$I$294,CPQL!AC5:AC68)</f>
        <v>0</v>
      </c>
      <c r="AK294" s="537">
        <f ca="1">SUMIF(CPQL!$D$5:$W$68,'FORM OH'!$I$294,CPQL!AD5:AD68)</f>
        <v>0</v>
      </c>
      <c r="AL294" s="537">
        <f ca="1">SUMIF(CPQL!$D$5:$W$68,'FORM OH'!$I$294,CPQL!AE5:AE68)</f>
        <v>0</v>
      </c>
      <c r="AM294" s="537">
        <f ca="1">SUMIF(CPQL!$D$5:$W$68,'FORM OH'!$I$294,CPQL!AF5:AF68)</f>
        <v>0</v>
      </c>
      <c r="AN294" s="537">
        <f ca="1">SUMIF(CPQL!$D$5:$W$68,'FORM OH'!$I$294,CPQL!AG5:AG68)</f>
        <v>0</v>
      </c>
      <c r="AO294" s="537">
        <f ca="1">SUMIF(CPQL!$D$5:$W$68,'FORM OH'!$I$294,CPQL!AH5:AH68)</f>
        <v>0</v>
      </c>
      <c r="AP294" s="537">
        <f ca="1">SUMIF(CPQL!$D$5:$W$68,'FORM OH'!$I$294,CPQL!AI5:AI68)</f>
        <v>0</v>
      </c>
      <c r="AQ294" s="537">
        <f ca="1">SUMIF(CPQL!$D$5:$W$68,'FORM OH'!$I$294,CPQL!AJ5:AJ68)</f>
        <v>0</v>
      </c>
      <c r="AR294" s="1284">
        <f t="shared" ca="1" si="39"/>
        <v>0</v>
      </c>
      <c r="AS294" s="1284">
        <f t="shared" ca="1" si="45"/>
        <v>22050000</v>
      </c>
      <c r="AT294" s="1297">
        <f t="shared" ca="1" si="46"/>
        <v>0</v>
      </c>
    </row>
    <row r="295" spans="1:46" s="539" customFormat="1" ht="16.399999999999999" customHeight="1" outlineLevel="1" x14ac:dyDescent="0.35">
      <c r="A295" s="534" t="s">
        <v>782</v>
      </c>
      <c r="B295" s="534" t="s">
        <v>783</v>
      </c>
      <c r="C295" s="535" t="s">
        <v>1418</v>
      </c>
      <c r="D295" s="536" t="s">
        <v>817</v>
      </c>
      <c r="E295" s="536" t="s">
        <v>818</v>
      </c>
      <c r="F295" s="536" t="s">
        <v>1007</v>
      </c>
      <c r="G295" s="536" t="s">
        <v>1431</v>
      </c>
      <c r="H295" s="536" t="s">
        <v>1008</v>
      </c>
      <c r="I295" s="535" t="s">
        <v>1491</v>
      </c>
      <c r="J295" s="536" t="s">
        <v>442</v>
      </c>
      <c r="K295" s="536" t="s">
        <v>592</v>
      </c>
      <c r="L295" s="535" t="s">
        <v>1010</v>
      </c>
      <c r="M295" s="536" t="s">
        <v>1011</v>
      </c>
      <c r="N295" s="536"/>
      <c r="O295" s="535"/>
      <c r="P295" s="536"/>
      <c r="Q295" s="536"/>
      <c r="R295" s="537">
        <f ca="1">SUMIF(CPQL!$D$5:$W$68,'FORM OH'!$I$295,CPQL!K5:K68)</f>
        <v>85451.974999999991</v>
      </c>
      <c r="S295" s="537">
        <f ca="1">SUMIF(CPQL!$D$5:$W$68,'FORM OH'!$I$295,CPQL!L5:L68)</f>
        <v>85451.974999999991</v>
      </c>
      <c r="T295" s="537">
        <f ca="1">SUMIF(CPQL!$D$5:$W$68,'FORM OH'!$I$295,CPQL!M5:M68)</f>
        <v>85451.974999999991</v>
      </c>
      <c r="U295" s="537">
        <f ca="1">SUMIF(CPQL!$D$5:$W$68,'FORM OH'!$I$295,CPQL!N5:N68)</f>
        <v>85451.974999999991</v>
      </c>
      <c r="V295" s="537">
        <f ca="1">SUMIF(CPQL!$D$5:$W$68,'FORM OH'!$I$295,CPQL!O5:O68)</f>
        <v>85451.974999999991</v>
      </c>
      <c r="W295" s="537">
        <f ca="1">SUMIF(CPQL!$D$5:$W$68,'FORM OH'!$I$295,CPQL!P5:P68)</f>
        <v>85451.974999999991</v>
      </c>
      <c r="X295" s="537">
        <f ca="1">SUMIF(CPQL!$D$5:$W$68,'FORM OH'!$I$295,CPQL!Q5:Q68)</f>
        <v>85451.974999999991</v>
      </c>
      <c r="Y295" s="537">
        <f ca="1">SUMIF(CPQL!$D$5:$W$68,'FORM OH'!$I$295,CPQL!R5:R68)</f>
        <v>85451.974999999991</v>
      </c>
      <c r="Z295" s="537">
        <f ca="1">SUMIF(CPQL!$D$5:$W$68,'FORM OH'!$I$295,CPQL!S5:S68)</f>
        <v>85451.974999999991</v>
      </c>
      <c r="AA295" s="537">
        <f ca="1">SUMIF(CPQL!$D$5:$W$68,'FORM OH'!$I$295,CPQL!T5:T68)</f>
        <v>85451.974999999991</v>
      </c>
      <c r="AB295" s="537">
        <f ca="1">SUMIF(CPQL!$D$5:$W$68,'FORM OH'!$I$295,CPQL!U5:U68)</f>
        <v>85451.974999999991</v>
      </c>
      <c r="AC295" s="537">
        <f ca="1">SUMIF(CPQL!$D$5:$W$68,'FORM OH'!$I$295,CPQL!V5:V68)</f>
        <v>85451.974999999991</v>
      </c>
      <c r="AD295" s="537">
        <f t="shared" ca="1" si="47"/>
        <v>1025423.6999999998</v>
      </c>
      <c r="AE295" s="533"/>
      <c r="AF295" s="537">
        <f ca="1">SUMIF(CPQL!$D$5:$W$68,'FORM OH'!$I$295,CPQL!Y5:Y68)</f>
        <v>0</v>
      </c>
      <c r="AG295" s="537">
        <f ca="1">SUMIF(CPQL!$D$5:$W$68,'FORM OH'!$I$295,CPQL!Z5:Z68)</f>
        <v>0</v>
      </c>
      <c r="AH295" s="537">
        <f ca="1">SUMIF(CPQL!$D$5:$W$68,'FORM OH'!$I$295,CPQL!AA5:AA68)</f>
        <v>0</v>
      </c>
      <c r="AI295" s="537">
        <f ca="1">SUMIF(CPQL!$D$5:$W$68,'FORM OH'!$I$295,CPQL!AB5:AB68)</f>
        <v>0</v>
      </c>
      <c r="AJ295" s="537">
        <f ca="1">SUMIF(CPQL!$D$5:$W$68,'FORM OH'!$I$295,CPQL!AC5:AC68)</f>
        <v>0</v>
      </c>
      <c r="AK295" s="537">
        <f ca="1">SUMIF(CPQL!$D$5:$W$68,'FORM OH'!$I$295,CPQL!AD5:AD68)</f>
        <v>0</v>
      </c>
      <c r="AL295" s="537">
        <f ca="1">SUMIF(CPQL!$D$5:$W$68,'FORM OH'!$I$295,CPQL!AE5:AE68)</f>
        <v>0</v>
      </c>
      <c r="AM295" s="537">
        <f ca="1">SUMIF(CPQL!$D$5:$W$68,'FORM OH'!$I$295,CPQL!AF5:AF68)</f>
        <v>0</v>
      </c>
      <c r="AN295" s="537">
        <f ca="1">SUMIF(CPQL!$D$5:$W$68,'FORM OH'!$I$295,CPQL!AG5:AG68)</f>
        <v>0</v>
      </c>
      <c r="AO295" s="537">
        <f ca="1">SUMIF(CPQL!$D$5:$W$68,'FORM OH'!$I$295,CPQL!AH5:AH68)</f>
        <v>0</v>
      </c>
      <c r="AP295" s="537">
        <f ca="1">SUMIF(CPQL!$D$5:$W$68,'FORM OH'!$I$295,CPQL!AI5:AI68)</f>
        <v>0</v>
      </c>
      <c r="AQ295" s="537">
        <f ca="1">SUMIF(CPQL!$D$5:$W$68,'FORM OH'!$I$295,CPQL!AJ5:AJ68)</f>
        <v>0</v>
      </c>
      <c r="AR295" s="1284">
        <f t="shared" ca="1" si="39"/>
        <v>0</v>
      </c>
      <c r="AS295" s="1284">
        <f t="shared" ca="1" si="45"/>
        <v>1025423.6999999998</v>
      </c>
      <c r="AT295" s="1297">
        <f t="shared" ca="1" si="46"/>
        <v>0</v>
      </c>
    </row>
    <row r="296" spans="1:46" s="539" customFormat="1" ht="16.399999999999999" customHeight="1" outlineLevel="1" x14ac:dyDescent="0.35">
      <c r="A296" s="534" t="s">
        <v>782</v>
      </c>
      <c r="B296" s="534" t="s">
        <v>783</v>
      </c>
      <c r="C296" s="535" t="s">
        <v>1418</v>
      </c>
      <c r="D296" s="536" t="s">
        <v>817</v>
      </c>
      <c r="E296" s="536" t="s">
        <v>818</v>
      </c>
      <c r="F296" s="536" t="s">
        <v>1007</v>
      </c>
      <c r="G296" s="536" t="s">
        <v>1431</v>
      </c>
      <c r="H296" s="536" t="s">
        <v>1008</v>
      </c>
      <c r="I296" s="535" t="s">
        <v>1492</v>
      </c>
      <c r="J296" s="545" t="s">
        <v>443</v>
      </c>
      <c r="K296" s="536" t="s">
        <v>570</v>
      </c>
      <c r="L296" s="535" t="s">
        <v>1013</v>
      </c>
      <c r="M296" s="536" t="s">
        <v>1014</v>
      </c>
      <c r="N296" s="545"/>
      <c r="O296" s="535"/>
      <c r="P296" s="545"/>
      <c r="Q296" s="545"/>
      <c r="R296" s="537">
        <f ca="1">SUMIF(CPQL!$D$5:$W$68,'FORM OH'!$I$296,CPQL!K5:K68)</f>
        <v>219937.375</v>
      </c>
      <c r="S296" s="537">
        <f ca="1">SUMIF(CPQL!$D$5:$W$68,'FORM OH'!$I$296,CPQL!L5:L68)</f>
        <v>219937.375</v>
      </c>
      <c r="T296" s="537">
        <f ca="1">SUMIF(CPQL!$D$5:$W$68,'FORM OH'!$I$296,CPQL!M5:M68)</f>
        <v>219937.375</v>
      </c>
      <c r="U296" s="537">
        <f ca="1">SUMIF(CPQL!$D$5:$W$68,'FORM OH'!$I$296,CPQL!N5:N68)</f>
        <v>219937.375</v>
      </c>
      <c r="V296" s="537">
        <f ca="1">SUMIF(CPQL!$D$5:$W$68,'FORM OH'!$I$296,CPQL!O5:O68)</f>
        <v>219937.375</v>
      </c>
      <c r="W296" s="537">
        <f ca="1">SUMIF(CPQL!$D$5:$W$68,'FORM OH'!$I$296,CPQL!P5:P68)</f>
        <v>219937.375</v>
      </c>
      <c r="X296" s="537">
        <f ca="1">SUMIF(CPQL!$D$5:$W$68,'FORM OH'!$I$296,CPQL!Q5:Q68)</f>
        <v>219937.375</v>
      </c>
      <c r="Y296" s="537">
        <f ca="1">SUMIF(CPQL!$D$5:$W$68,'FORM OH'!$I$296,CPQL!R5:R68)</f>
        <v>219937.375</v>
      </c>
      <c r="Z296" s="537">
        <f ca="1">SUMIF(CPQL!$D$5:$W$68,'FORM OH'!$I$296,CPQL!S5:S68)</f>
        <v>219937.375</v>
      </c>
      <c r="AA296" s="537">
        <f ca="1">SUMIF(CPQL!$D$5:$W$68,'FORM OH'!$I$296,CPQL!T5:T68)</f>
        <v>219937.375</v>
      </c>
      <c r="AB296" s="537">
        <f ca="1">SUMIF(CPQL!$D$5:$W$68,'FORM OH'!$I$296,CPQL!U5:U68)</f>
        <v>219937.375</v>
      </c>
      <c r="AC296" s="537">
        <f ca="1">SUMIF(CPQL!$D$5:$W$68,'FORM OH'!$I$296,CPQL!V5:V68)</f>
        <v>219937.375</v>
      </c>
      <c r="AD296" s="537">
        <f t="shared" ca="1" si="47"/>
        <v>2639248.5</v>
      </c>
      <c r="AE296" s="533"/>
      <c r="AF296" s="537">
        <f ca="1">SUMIF(CPQL!$D$5:$W$68,'FORM OH'!$I$296,CPQL!Y5:Y68)</f>
        <v>200000</v>
      </c>
      <c r="AG296" s="537">
        <f ca="1">SUMIF(CPQL!$D$5:$W$68,'FORM OH'!$I$296,CPQL!Z5:Z68)</f>
        <v>0</v>
      </c>
      <c r="AH296" s="537">
        <f ca="1">SUMIF(CPQL!$D$5:$W$68,'FORM OH'!$I$296,CPQL!AA5:AA68)</f>
        <v>0</v>
      </c>
      <c r="AI296" s="537">
        <f ca="1">SUMIF(CPQL!$D$5:$W$68,'FORM OH'!$I$296,CPQL!AB5:AB68)</f>
        <v>211864</v>
      </c>
      <c r="AJ296" s="537">
        <f ca="1">SUMIF(CPQL!$D$5:$W$68,'FORM OH'!$I$296,CPQL!AC5:AC68)</f>
        <v>188573</v>
      </c>
      <c r="AK296" s="537">
        <f ca="1">SUMIF(CPQL!$D$5:$W$68,'FORM OH'!$I$296,CPQL!AD5:AD68)</f>
        <v>187273</v>
      </c>
      <c r="AL296" s="537">
        <f ca="1">SUMIF(CPQL!$D$5:$W$68,'FORM OH'!$I$296,CPQL!AE5:AE68)</f>
        <v>185718</v>
      </c>
      <c r="AM296" s="537">
        <f ca="1">SUMIF(CPQL!$D$5:$W$68,'FORM OH'!$I$296,CPQL!AF5:AF68)</f>
        <v>181818</v>
      </c>
      <c r="AN296" s="537">
        <f ca="1">SUMIF(CPQL!$D$5:$W$68,'FORM OH'!$I$296,CPQL!AG5:AG68)</f>
        <v>184364</v>
      </c>
      <c r="AO296" s="537">
        <f ca="1">SUMIF(CPQL!$D$5:$W$68,'FORM OH'!$I$296,CPQL!AH5:AH68)</f>
        <v>184364</v>
      </c>
      <c r="AP296" s="537">
        <f ca="1">SUMIF(CPQL!$D$5:$W$68,'FORM OH'!$I$296,CPQL!AI5:AI68)</f>
        <v>184364</v>
      </c>
      <c r="AQ296" s="537">
        <f ca="1">SUMIF(CPQL!$D$5:$W$68,'FORM OH'!$I$296,CPQL!AJ5:AJ68)</f>
        <v>184364</v>
      </c>
      <c r="AR296" s="1284">
        <f t="shared" ref="AR296:AR355" ca="1" si="48">SUM(AF296:AQ296)</f>
        <v>1892702</v>
      </c>
      <c r="AS296" s="1284">
        <f t="shared" ca="1" si="45"/>
        <v>746546.5</v>
      </c>
      <c r="AT296" s="1297">
        <f t="shared" ca="1" si="46"/>
        <v>0.39443425325275716</v>
      </c>
    </row>
    <row r="297" spans="1:46" s="539" customFormat="1" ht="16.399999999999999" customHeight="1" outlineLevel="1" x14ac:dyDescent="0.35">
      <c r="A297" s="534" t="s">
        <v>782</v>
      </c>
      <c r="B297" s="534" t="s">
        <v>783</v>
      </c>
      <c r="C297" s="535" t="s">
        <v>1418</v>
      </c>
      <c r="D297" s="536" t="s">
        <v>817</v>
      </c>
      <c r="E297" s="536" t="s">
        <v>818</v>
      </c>
      <c r="F297" s="536" t="s">
        <v>1007</v>
      </c>
      <c r="G297" s="536" t="s">
        <v>1431</v>
      </c>
      <c r="H297" s="536" t="s">
        <v>1008</v>
      </c>
      <c r="I297" s="535" t="s">
        <v>1493</v>
      </c>
      <c r="J297" s="536" t="s">
        <v>444</v>
      </c>
      <c r="K297" s="536" t="s">
        <v>592</v>
      </c>
      <c r="L297" s="535" t="s">
        <v>1016</v>
      </c>
      <c r="M297" s="536" t="s">
        <v>444</v>
      </c>
      <c r="N297" s="536"/>
      <c r="O297" s="535"/>
      <c r="P297" s="536"/>
      <c r="Q297" s="536"/>
      <c r="R297" s="537">
        <f ca="1">SUMIF(CPQL!$D$5:$W$68,'FORM OH'!$I$297,CPQL!K5:K68)</f>
        <v>2774012.666666667</v>
      </c>
      <c r="S297" s="537">
        <f ca="1">SUMIF(CPQL!$D$5:$W$68,'FORM OH'!$I$297,CPQL!L5:L68)</f>
        <v>2774012.666666667</v>
      </c>
      <c r="T297" s="537">
        <f ca="1">SUMIF(CPQL!$D$5:$W$68,'FORM OH'!$I$297,CPQL!M5:M68)</f>
        <v>2774012.666666667</v>
      </c>
      <c r="U297" s="537">
        <f ca="1">SUMIF(CPQL!$D$5:$W$68,'FORM OH'!$I$297,CPQL!N5:N68)</f>
        <v>2774012.666666667</v>
      </c>
      <c r="V297" s="537">
        <f ca="1">SUMIF(CPQL!$D$5:$W$68,'FORM OH'!$I$297,CPQL!O5:O68)</f>
        <v>2774012.666666667</v>
      </c>
      <c r="W297" s="537">
        <f ca="1">SUMIF(CPQL!$D$5:$W$68,'FORM OH'!$I$297,CPQL!P5:P68)</f>
        <v>2580168.666666667</v>
      </c>
      <c r="X297" s="537">
        <f ca="1">SUMIF(CPQL!$D$5:$W$68,'FORM OH'!$I$297,CPQL!Q5:Q68)</f>
        <v>2580166.666666667</v>
      </c>
      <c r="Y297" s="537">
        <f ca="1">SUMIF(CPQL!$D$5:$W$68,'FORM OH'!$I$297,CPQL!R5:R68)</f>
        <v>2580166.666666667</v>
      </c>
      <c r="Z297" s="537">
        <f ca="1">SUMIF(CPQL!$D$5:$W$68,'FORM OH'!$I$297,CPQL!S5:S68)</f>
        <v>2580166.666666667</v>
      </c>
      <c r="AA297" s="537">
        <f ca="1">SUMIF(CPQL!$D$5:$W$68,'FORM OH'!$I$297,CPQL!T5:T68)</f>
        <v>2580166.666666667</v>
      </c>
      <c r="AB297" s="537">
        <f ca="1">SUMIF(CPQL!$D$5:$W$68,'FORM OH'!$I$297,CPQL!U5:U68)</f>
        <v>2580166.666666667</v>
      </c>
      <c r="AC297" s="537">
        <f ca="1">SUMIF(CPQL!$D$5:$W$68,'FORM OH'!$I$297,CPQL!V5:V68)</f>
        <v>2580166.666666667</v>
      </c>
      <c r="AD297" s="537">
        <f t="shared" ca="1" si="47"/>
        <v>31931232.000000011</v>
      </c>
      <c r="AE297" s="533"/>
      <c r="AF297" s="537">
        <f ca="1">SUMIF(CPQL!$D$5:$W$68,'FORM OH'!$I$297,CPQL!Y5:Y68)</f>
        <v>1396184</v>
      </c>
      <c r="AG297" s="537">
        <f ca="1">SUMIF(CPQL!$D$5:$W$68,'FORM OH'!$I$297,CPQL!Z5:Z68)</f>
        <v>1396184</v>
      </c>
      <c r="AH297" s="537">
        <f ca="1">SUMIF(CPQL!$D$5:$W$68,'FORM OH'!$I$297,CPQL!AA5:AA68)</f>
        <v>1396184</v>
      </c>
      <c r="AI297" s="537">
        <f ca="1">SUMIF(CPQL!$D$5:$W$68,'FORM OH'!$I$297,CPQL!AB5:AB68)</f>
        <v>1396184</v>
      </c>
      <c r="AJ297" s="537">
        <f ca="1">SUMIF(CPQL!$D$5:$W$68,'FORM OH'!$I$297,CPQL!AC5:AC68)</f>
        <v>1410030</v>
      </c>
      <c r="AK297" s="537">
        <f ca="1">SUMIF(CPQL!$D$5:$W$68,'FORM OH'!$I$297,CPQL!AD5:AD68)</f>
        <v>3591848</v>
      </c>
      <c r="AL297" s="537">
        <f ca="1">SUMIF(CPQL!$D$5:$W$68,'FORM OH'!$I$297,CPQL!AE5:AE68)</f>
        <v>3591848</v>
      </c>
      <c r="AM297" s="537">
        <f ca="1">SUMIF(CPQL!$D$5:$W$68,'FORM OH'!$I$297,CPQL!AF5:AF68)</f>
        <v>3038004</v>
      </c>
      <c r="AN297" s="537">
        <f ca="1">SUMIF(CPQL!$D$5:$W$68,'FORM OH'!$I$297,CPQL!AG5:AG68)</f>
        <v>3645275</v>
      </c>
      <c r="AO297" s="537">
        <f ca="1">SUMIF(CPQL!$D$5:$W$68,'FORM OH'!$I$297,CPQL!AH5:AH68)</f>
        <v>1463454</v>
      </c>
      <c r="AP297" s="537">
        <f ca="1">SUMIF(CPQL!$D$5:$W$68,'FORM OH'!$I$297,CPQL!AI5:AI68)</f>
        <v>801119</v>
      </c>
      <c r="AQ297" s="537">
        <f ca="1">SUMIF(CPQL!$D$5:$W$68,'FORM OH'!$I$297,CPQL!AJ5:AJ68)</f>
        <v>801119</v>
      </c>
      <c r="AR297" s="1284">
        <f t="shared" ca="1" si="48"/>
        <v>23927433</v>
      </c>
      <c r="AS297" s="1284">
        <f t="shared" ca="1" si="45"/>
        <v>8003799.0000000112</v>
      </c>
      <c r="AT297" s="1297">
        <f t="shared" ca="1" si="46"/>
        <v>0.33450303674447701</v>
      </c>
    </row>
    <row r="298" spans="1:46" s="539" customFormat="1" ht="16.399999999999999" customHeight="1" outlineLevel="1" x14ac:dyDescent="0.35">
      <c r="A298" s="534" t="s">
        <v>782</v>
      </c>
      <c r="B298" s="534" t="s">
        <v>783</v>
      </c>
      <c r="C298" s="535" t="s">
        <v>1418</v>
      </c>
      <c r="D298" s="536" t="s">
        <v>817</v>
      </c>
      <c r="E298" s="536" t="s">
        <v>818</v>
      </c>
      <c r="F298" s="536" t="s">
        <v>1007</v>
      </c>
      <c r="G298" s="536" t="s">
        <v>1431</v>
      </c>
      <c r="H298" s="536" t="s">
        <v>1008</v>
      </c>
      <c r="I298" s="535" t="s">
        <v>1494</v>
      </c>
      <c r="J298" s="536" t="s">
        <v>1018</v>
      </c>
      <c r="K298" s="536" t="s">
        <v>1019</v>
      </c>
      <c r="L298" s="535" t="s">
        <v>1020</v>
      </c>
      <c r="M298" s="536" t="s">
        <v>1021</v>
      </c>
      <c r="N298" s="536"/>
      <c r="O298" s="535"/>
      <c r="P298" s="536"/>
      <c r="Q298" s="536"/>
      <c r="R298" s="537">
        <f ca="1">SUMIF(CPQL!$D$5:$W$68,'FORM OH'!$I$298,CPQL!K5:K68)</f>
        <v>4663821.5623836126</v>
      </c>
      <c r="S298" s="537">
        <f ca="1">SUMIF(CPQL!$D$5:$W$68,'FORM OH'!$I$298,CPQL!L5:L68)</f>
        <v>4663821.5623836126</v>
      </c>
      <c r="T298" s="537">
        <f ca="1">SUMIF(CPQL!$D$5:$W$68,'FORM OH'!$I$298,CPQL!M5:M68)</f>
        <v>4663817.5623836126</v>
      </c>
      <c r="U298" s="537">
        <f ca="1">SUMIF(CPQL!$D$5:$W$68,'FORM OH'!$I$298,CPQL!N5:N68)</f>
        <v>3497154.5623836126</v>
      </c>
      <c r="V298" s="537">
        <f ca="1">SUMIF(CPQL!$D$5:$W$68,'FORM OH'!$I$298,CPQL!O5:O68)</f>
        <v>3497154.5623836126</v>
      </c>
      <c r="W298" s="537">
        <f ca="1">SUMIF(CPQL!$D$5:$W$68,'FORM OH'!$I$298,CPQL!P5:P68)</f>
        <v>3497154.5623836126</v>
      </c>
      <c r="X298" s="537">
        <f ca="1">SUMIF(CPQL!$D$5:$W$68,'FORM OH'!$I$298,CPQL!Q5:Q68)</f>
        <v>3497154.5623836126</v>
      </c>
      <c r="Y298" s="537">
        <f ca="1">SUMIF(CPQL!$D$5:$W$68,'FORM OH'!$I$298,CPQL!R5:R68)</f>
        <v>3497154.5623836126</v>
      </c>
      <c r="Z298" s="537">
        <f ca="1">SUMIF(CPQL!$D$5:$W$68,'FORM OH'!$I$298,CPQL!S5:S68)</f>
        <v>3497154.5623836126</v>
      </c>
      <c r="AA298" s="537">
        <f ca="1">SUMIF(CPQL!$D$5:$W$68,'FORM OH'!$I$298,CPQL!T5:T68)</f>
        <v>3497154.5623836126</v>
      </c>
      <c r="AB298" s="537">
        <f ca="1">SUMIF(CPQL!$D$5:$W$68,'FORM OH'!$I$298,CPQL!U5:U68)</f>
        <v>3497154.5623836126</v>
      </c>
      <c r="AC298" s="537">
        <f ca="1">SUMIF(CPQL!$D$5:$W$68,'FORM OH'!$I$298,CPQL!V5:V68)</f>
        <v>3497154.5623836126</v>
      </c>
      <c r="AD298" s="537">
        <f t="shared" ca="1" si="47"/>
        <v>45465851.748603366</v>
      </c>
      <c r="AE298" s="533"/>
      <c r="AF298" s="537">
        <f ca="1">SUMIF(CPQL!$D$5:$W$68,'FORM OH'!$I$298,CPQL!Y5:Y68)</f>
        <v>916667</v>
      </c>
      <c r="AG298" s="537">
        <f ca="1">SUMIF(CPQL!$D$5:$W$68,'FORM OH'!$I$298,CPQL!Z5:Z68)</f>
        <v>916667</v>
      </c>
      <c r="AH298" s="537">
        <f ca="1">SUMIF(CPQL!$D$5:$W$68,'FORM OH'!$I$298,CPQL!AA5:AA68)</f>
        <v>916663</v>
      </c>
      <c r="AI298" s="537">
        <f ca="1">SUMIF(CPQL!$D$5:$W$68,'FORM OH'!$I$298,CPQL!AB5:AB68)</f>
        <v>1166667</v>
      </c>
      <c r="AJ298" s="537">
        <f ca="1">SUMIF(CPQL!$D$5:$W$68,'FORM OH'!$I$298,CPQL!AC5:AC68)</f>
        <v>1166667</v>
      </c>
      <c r="AK298" s="537">
        <f ca="1">SUMIF(CPQL!$D$5:$W$68,'FORM OH'!$I$298,CPQL!AD5:AD68)</f>
        <v>1166667</v>
      </c>
      <c r="AL298" s="537">
        <f ca="1">SUMIF(CPQL!$D$5:$W$68,'FORM OH'!$I$298,CPQL!AE5:AE68)</f>
        <v>1166667</v>
      </c>
      <c r="AM298" s="537">
        <f ca="1">SUMIF(CPQL!$D$5:$W$68,'FORM OH'!$I$298,CPQL!AF5:AF68)</f>
        <v>1166667</v>
      </c>
      <c r="AN298" s="537">
        <f ca="1">SUMIF(CPQL!$D$5:$W$68,'FORM OH'!$I$298,CPQL!AG5:AG68)</f>
        <v>1166667</v>
      </c>
      <c r="AO298" s="537">
        <f ca="1">SUMIF(CPQL!$D$5:$W$68,'FORM OH'!$I$298,CPQL!AH5:AH68)</f>
        <v>1166667</v>
      </c>
      <c r="AP298" s="537">
        <f ca="1">SUMIF(CPQL!$D$5:$W$68,'FORM OH'!$I$298,CPQL!AI5:AI68)</f>
        <v>1166667</v>
      </c>
      <c r="AQ298" s="537">
        <f ca="1">SUMIF(CPQL!$D$5:$W$68,'FORM OH'!$I$298,CPQL!AJ5:AJ68)</f>
        <v>1166667</v>
      </c>
      <c r="AR298" s="1284">
        <f t="shared" ca="1" si="48"/>
        <v>13250000</v>
      </c>
      <c r="AS298" s="1284">
        <f t="shared" ca="1" si="45"/>
        <v>32215851.748603366</v>
      </c>
      <c r="AT298" s="1297">
        <f t="shared" ca="1" si="46"/>
        <v>2.4313850376304429</v>
      </c>
    </row>
    <row r="299" spans="1:46" s="539" customFormat="1" ht="16.399999999999999" customHeight="1" outlineLevel="1" x14ac:dyDescent="0.35">
      <c r="A299" s="534" t="s">
        <v>782</v>
      </c>
      <c r="B299" s="534" t="s">
        <v>783</v>
      </c>
      <c r="C299" s="535" t="s">
        <v>1418</v>
      </c>
      <c r="D299" s="536" t="s">
        <v>817</v>
      </c>
      <c r="E299" s="536" t="s">
        <v>818</v>
      </c>
      <c r="F299" s="536" t="s">
        <v>1341</v>
      </c>
      <c r="G299" s="536" t="s">
        <v>1431</v>
      </c>
      <c r="H299" s="536" t="s">
        <v>1342</v>
      </c>
      <c r="I299" s="535" t="s">
        <v>1495</v>
      </c>
      <c r="J299" s="536" t="s">
        <v>1496</v>
      </c>
      <c r="K299" s="536" t="s">
        <v>1203</v>
      </c>
      <c r="L299" s="535" t="s">
        <v>1497</v>
      </c>
      <c r="M299" s="536" t="s">
        <v>1498</v>
      </c>
      <c r="N299" s="536"/>
      <c r="O299" s="535"/>
      <c r="P299" s="536"/>
      <c r="Q299" s="536"/>
      <c r="R299" s="537">
        <f ca="1">SUMIF(CPQL!$D$5:$W$68,'FORM OH'!$I$299,CPQL!K5:K68)</f>
        <v>0</v>
      </c>
      <c r="S299" s="537">
        <f ca="1">SUMIF(CPQL!$D$5:$W$68,'FORM OH'!$I$299,CPQL!L5:L68)</f>
        <v>0</v>
      </c>
      <c r="T299" s="537">
        <f ca="1">SUMIF(CPQL!$D$5:$W$68,'FORM OH'!$I$299,CPQL!M5:M68)</f>
        <v>0</v>
      </c>
      <c r="U299" s="537">
        <f ca="1">SUMIF(CPQL!$D$5:$W$68,'FORM OH'!$I$299,CPQL!N5:N68)</f>
        <v>0</v>
      </c>
      <c r="V299" s="537">
        <f ca="1">SUMIF(CPQL!$D$5:$W$68,'FORM OH'!$I$299,CPQL!O5:O68)</f>
        <v>0</v>
      </c>
      <c r="W299" s="537">
        <f ca="1">SUMIF(CPQL!$D$5:$W$68,'FORM OH'!$I$299,CPQL!P5:P68)</f>
        <v>0</v>
      </c>
      <c r="X299" s="537">
        <f ca="1">SUMIF(CPQL!$D$5:$W$68,'FORM OH'!$I$299,CPQL!Q5:Q68)</f>
        <v>0</v>
      </c>
      <c r="Y299" s="537">
        <f ca="1">SUMIF(CPQL!$D$5:$W$68,'FORM OH'!$I$299,CPQL!R5:R68)</f>
        <v>0</v>
      </c>
      <c r="Z299" s="537">
        <f ca="1">SUMIF(CPQL!$D$5:$W$68,'FORM OH'!$I$299,CPQL!S5:S68)</f>
        <v>0</v>
      </c>
      <c r="AA299" s="537">
        <f ca="1">SUMIF(CPQL!$D$5:$W$68,'FORM OH'!$I$299,CPQL!T5:T68)</f>
        <v>0</v>
      </c>
      <c r="AB299" s="537">
        <f ca="1">SUMIF(CPQL!$D$5:$W$68,'FORM OH'!$I$299,CPQL!U5:U68)</f>
        <v>0</v>
      </c>
      <c r="AC299" s="537">
        <f ca="1">SUMIF(CPQL!$D$5:$W$68,'FORM OH'!$I$299,CPQL!V5:V68)</f>
        <v>0</v>
      </c>
      <c r="AD299" s="537">
        <f t="shared" ca="1" si="47"/>
        <v>0</v>
      </c>
      <c r="AE299" s="533"/>
      <c r="AF299" s="537">
        <f ca="1">SUMIF(CPQL!$D$5:$W$68,'FORM OH'!$I$299,CPQL!Y5:Y68)</f>
        <v>0</v>
      </c>
      <c r="AG299" s="537">
        <f ca="1">SUMIF(CPQL!$D$5:$W$68,'FORM OH'!$I$299,CPQL!Z5:Z68)</f>
        <v>0</v>
      </c>
      <c r="AH299" s="537">
        <f ca="1">SUMIF(CPQL!$D$5:$W$68,'FORM OH'!$I$299,CPQL!AA5:AA68)</f>
        <v>0</v>
      </c>
      <c r="AI299" s="537">
        <f ca="1">SUMIF(CPQL!$D$5:$W$68,'FORM OH'!$I$299,CPQL!AB5:AB68)</f>
        <v>0</v>
      </c>
      <c r="AJ299" s="537">
        <f ca="1">SUMIF(CPQL!$D$5:$W$68,'FORM OH'!$I$299,CPQL!AC5:AC68)</f>
        <v>0</v>
      </c>
      <c r="AK299" s="537">
        <f ca="1">SUMIF(CPQL!$D$5:$W$68,'FORM OH'!$I$299,CPQL!AD5:AD68)</f>
        <v>0</v>
      </c>
      <c r="AL299" s="537">
        <f ca="1">SUMIF(CPQL!$D$5:$W$68,'FORM OH'!$I$299,CPQL!AE5:AE68)</f>
        <v>0</v>
      </c>
      <c r="AM299" s="537">
        <f ca="1">SUMIF(CPQL!$D$5:$W$68,'FORM OH'!$I$299,CPQL!AF5:AF68)</f>
        <v>0</v>
      </c>
      <c r="AN299" s="537">
        <f ca="1">SUMIF(CPQL!$D$5:$W$68,'FORM OH'!$I$299,CPQL!AG5:AG68)</f>
        <v>0</v>
      </c>
      <c r="AO299" s="537">
        <f ca="1">SUMIF(CPQL!$D$5:$W$68,'FORM OH'!$I$299,CPQL!AH5:AH68)</f>
        <v>0</v>
      </c>
      <c r="AP299" s="537">
        <f ca="1">SUMIF(CPQL!$D$5:$W$68,'FORM OH'!$I$299,CPQL!AI5:AI68)</f>
        <v>0</v>
      </c>
      <c r="AQ299" s="537">
        <f ca="1">SUMIF(CPQL!$D$5:$W$68,'FORM OH'!$I$299,CPQL!AJ5:AJ68)</f>
        <v>0</v>
      </c>
      <c r="AR299" s="1284">
        <f t="shared" ca="1" si="48"/>
        <v>0</v>
      </c>
      <c r="AS299" s="1284">
        <f t="shared" ca="1" si="45"/>
        <v>0</v>
      </c>
      <c r="AT299" s="1297">
        <f t="shared" ca="1" si="46"/>
        <v>0</v>
      </c>
    </row>
    <row r="300" spans="1:46" s="539" customFormat="1" ht="16.399999999999999" customHeight="1" outlineLevel="1" x14ac:dyDescent="0.35">
      <c r="A300" s="534" t="s">
        <v>782</v>
      </c>
      <c r="B300" s="534" t="s">
        <v>783</v>
      </c>
      <c r="C300" s="535" t="s">
        <v>1418</v>
      </c>
      <c r="D300" s="536" t="s">
        <v>817</v>
      </c>
      <c r="E300" s="536" t="s">
        <v>818</v>
      </c>
      <c r="F300" s="536" t="s">
        <v>1341</v>
      </c>
      <c r="G300" s="536" t="s">
        <v>1431</v>
      </c>
      <c r="H300" s="536" t="s">
        <v>1342</v>
      </c>
      <c r="I300" s="535" t="s">
        <v>1499</v>
      </c>
      <c r="J300" s="536" t="s">
        <v>1496</v>
      </c>
      <c r="K300" s="536" t="s">
        <v>1203</v>
      </c>
      <c r="L300" s="535" t="s">
        <v>1497</v>
      </c>
      <c r="M300" s="536" t="s">
        <v>1498</v>
      </c>
      <c r="N300" s="536"/>
      <c r="O300" s="535"/>
      <c r="P300" s="536"/>
      <c r="Q300" s="536"/>
      <c r="R300" s="537">
        <f ca="1">SUMIF(CPQL!$D$5:$W$68,'FORM OH'!$I$300,CPQL!K5:K68)</f>
        <v>0</v>
      </c>
      <c r="S300" s="537">
        <f ca="1">SUMIF(CPQL!$D$5:$W$68,'FORM OH'!$I$300,CPQL!L5:L68)</f>
        <v>0</v>
      </c>
      <c r="T300" s="537">
        <f ca="1">SUMIF(CPQL!$D$5:$W$68,'FORM OH'!$I$300,CPQL!M5:M68)</f>
        <v>0</v>
      </c>
      <c r="U300" s="537">
        <f ca="1">SUMIF(CPQL!$D$5:$W$68,'FORM OH'!$I$300,CPQL!N5:N68)</f>
        <v>0</v>
      </c>
      <c r="V300" s="537">
        <f ca="1">SUMIF(CPQL!$D$5:$W$68,'FORM OH'!$I$300,CPQL!O5:O68)</f>
        <v>0</v>
      </c>
      <c r="W300" s="537">
        <f ca="1">SUMIF(CPQL!$D$5:$W$68,'FORM OH'!$I$300,CPQL!P5:P68)</f>
        <v>0</v>
      </c>
      <c r="X300" s="537">
        <f ca="1">SUMIF(CPQL!$D$5:$W$68,'FORM OH'!$I$300,CPQL!Q5:Q68)</f>
        <v>0</v>
      </c>
      <c r="Y300" s="537">
        <f ca="1">SUMIF(CPQL!$D$5:$W$68,'FORM OH'!$I$300,CPQL!R5:R68)</f>
        <v>0</v>
      </c>
      <c r="Z300" s="537">
        <f ca="1">SUMIF(CPQL!$D$5:$W$68,'FORM OH'!$I$300,CPQL!S5:S68)</f>
        <v>0</v>
      </c>
      <c r="AA300" s="537">
        <f ca="1">SUMIF(CPQL!$D$5:$W$68,'FORM OH'!$I$300,CPQL!T5:T68)</f>
        <v>0</v>
      </c>
      <c r="AB300" s="537">
        <f ca="1">SUMIF(CPQL!$D$5:$W$68,'FORM OH'!$I$300,CPQL!U5:U68)</f>
        <v>0</v>
      </c>
      <c r="AC300" s="537">
        <f ca="1">SUMIF(CPQL!$D$5:$W$68,'FORM OH'!$I$300,CPQL!V5:V68)</f>
        <v>0</v>
      </c>
      <c r="AD300" s="537">
        <f t="shared" ca="1" si="47"/>
        <v>0</v>
      </c>
      <c r="AE300" s="533"/>
      <c r="AF300" s="537">
        <f ca="1">SUMIF(CPQL!$D$5:$W$68,'FORM OH'!$I$300,CPQL!Y5:Y68)</f>
        <v>0</v>
      </c>
      <c r="AG300" s="537">
        <f ca="1">SUMIF(CPQL!$D$5:$W$68,'FORM OH'!$I$300,CPQL!Z5:Z68)</f>
        <v>0</v>
      </c>
      <c r="AH300" s="537">
        <f ca="1">SUMIF(CPQL!$D$5:$W$68,'FORM OH'!$I$300,CPQL!AA5:AA68)</f>
        <v>0</v>
      </c>
      <c r="AI300" s="537">
        <f ca="1">SUMIF(CPQL!$D$5:$W$68,'FORM OH'!$I$300,CPQL!AB5:AB68)</f>
        <v>0</v>
      </c>
      <c r="AJ300" s="537">
        <f ca="1">SUMIF(CPQL!$D$5:$W$68,'FORM OH'!$I$300,CPQL!AC5:AC68)</f>
        <v>0</v>
      </c>
      <c r="AK300" s="537">
        <f ca="1">SUMIF(CPQL!$D$5:$W$68,'FORM OH'!$I$300,CPQL!AD5:AD68)</f>
        <v>0</v>
      </c>
      <c r="AL300" s="537">
        <f ca="1">SUMIF(CPQL!$D$5:$W$68,'FORM OH'!$I$300,CPQL!AE5:AE68)</f>
        <v>0</v>
      </c>
      <c r="AM300" s="537">
        <f ca="1">SUMIF(CPQL!$D$5:$W$68,'FORM OH'!$I$300,CPQL!AF5:AF68)</f>
        <v>0</v>
      </c>
      <c r="AN300" s="537">
        <f ca="1">SUMIF(CPQL!$D$5:$W$68,'FORM OH'!$I$300,CPQL!AG5:AG68)</f>
        <v>0</v>
      </c>
      <c r="AO300" s="537">
        <f ca="1">SUMIF(CPQL!$D$5:$W$68,'FORM OH'!$I$300,CPQL!AH5:AH68)</f>
        <v>0</v>
      </c>
      <c r="AP300" s="537">
        <f ca="1">SUMIF(CPQL!$D$5:$W$68,'FORM OH'!$I$300,CPQL!AI5:AI68)</f>
        <v>0</v>
      </c>
      <c r="AQ300" s="537">
        <f ca="1">SUMIF(CPQL!$D$5:$W$68,'FORM OH'!$I$300,CPQL!AJ5:AJ68)</f>
        <v>0</v>
      </c>
      <c r="AR300" s="1284">
        <f t="shared" ca="1" si="48"/>
        <v>0</v>
      </c>
      <c r="AS300" s="1284">
        <f t="shared" ca="1" si="45"/>
        <v>0</v>
      </c>
      <c r="AT300" s="1297">
        <f t="shared" ca="1" si="46"/>
        <v>0</v>
      </c>
    </row>
    <row r="301" spans="1:46" s="539" customFormat="1" ht="16.399999999999999" customHeight="1" outlineLevel="1" x14ac:dyDescent="0.35">
      <c r="A301" s="534" t="s">
        <v>782</v>
      </c>
      <c r="B301" s="534" t="s">
        <v>783</v>
      </c>
      <c r="C301" s="535" t="s">
        <v>1418</v>
      </c>
      <c r="D301" s="536" t="s">
        <v>817</v>
      </c>
      <c r="E301" s="536" t="s">
        <v>818</v>
      </c>
      <c r="F301" s="536" t="s">
        <v>1341</v>
      </c>
      <c r="G301" s="536" t="s">
        <v>1431</v>
      </c>
      <c r="H301" s="536" t="s">
        <v>1342</v>
      </c>
      <c r="I301" s="535" t="s">
        <v>1500</v>
      </c>
      <c r="J301" s="536" t="s">
        <v>484</v>
      </c>
      <c r="K301" s="536" t="s">
        <v>585</v>
      </c>
      <c r="L301" s="535" t="s">
        <v>1501</v>
      </c>
      <c r="M301" s="536" t="s">
        <v>1502</v>
      </c>
      <c r="N301" s="536"/>
      <c r="O301" s="535"/>
      <c r="P301" s="536"/>
      <c r="Q301" s="536"/>
      <c r="R301" s="540">
        <f ca="1">SUMIF(CPQL!$D$5:$W$68,'FORM OH'!$I$301,CPQL!K5:K68)</f>
        <v>0</v>
      </c>
      <c r="S301" s="540">
        <f ca="1">SUMIF(CPQL!$D$5:$W$68,'FORM OH'!$I$301,CPQL!L5:L68)</f>
        <v>0</v>
      </c>
      <c r="T301" s="540">
        <f ca="1">SUMIF(CPQL!$D$5:$W$68,'FORM OH'!$I$301,CPQL!M5:M68)</f>
        <v>0</v>
      </c>
      <c r="U301" s="540">
        <f ca="1">SUMIF(CPQL!$D$5:$W$68,'FORM OH'!$I$301,CPQL!N5:N68)</f>
        <v>0</v>
      </c>
      <c r="V301" s="540">
        <f ca="1">SUMIF(CPQL!$D$5:$W$68,'FORM OH'!$I$301,CPQL!O5:O68)</f>
        <v>0</v>
      </c>
      <c r="W301" s="540">
        <f ca="1">SUMIF(CPQL!$D$5:$W$68,'FORM OH'!$I$301,CPQL!P5:P68)</f>
        <v>0</v>
      </c>
      <c r="X301" s="540">
        <f ca="1">SUMIF(CPQL!$D$5:$W$68,'FORM OH'!$I$301,CPQL!Q5:Q68)</f>
        <v>0</v>
      </c>
      <c r="Y301" s="540">
        <f ca="1">SUMIF(CPQL!$D$5:$W$68,'FORM OH'!$I$301,CPQL!R5:R68)</f>
        <v>0</v>
      </c>
      <c r="Z301" s="540">
        <f ca="1">SUMIF(CPQL!$D$5:$W$68,'FORM OH'!$I$301,CPQL!S5:S68)</f>
        <v>0</v>
      </c>
      <c r="AA301" s="540">
        <f ca="1">SUMIF(CPQL!$D$5:$W$68,'FORM OH'!$I$301,CPQL!T5:T68)</f>
        <v>0</v>
      </c>
      <c r="AB301" s="540">
        <f ca="1">SUMIF(CPQL!$D$5:$W$68,'FORM OH'!$I$301,CPQL!U5:U68)</f>
        <v>0</v>
      </c>
      <c r="AC301" s="540">
        <f ca="1">SUMIF(CPQL!$D$5:$W$68,'FORM OH'!$I$301,CPQL!V5:V68)</f>
        <v>0</v>
      </c>
      <c r="AD301" s="537">
        <f t="shared" ca="1" si="47"/>
        <v>0</v>
      </c>
      <c r="AE301" s="533"/>
      <c r="AF301" s="540">
        <f ca="1">SUMIF(CPQL!$D$5:$W$68,'FORM OH'!$I$301,CPQL!Y5:Y68)</f>
        <v>0</v>
      </c>
      <c r="AG301" s="540">
        <f ca="1">SUMIF(CPQL!$D$5:$W$68,'FORM OH'!$I$301,CPQL!Z5:Z68)</f>
        <v>0</v>
      </c>
      <c r="AH301" s="540">
        <f ca="1">SUMIF(CPQL!$D$5:$W$68,'FORM OH'!$I$301,CPQL!AA5:AA68)</f>
        <v>0</v>
      </c>
      <c r="AI301" s="540">
        <f ca="1">SUMIF(CPQL!$D$5:$W$68,'FORM OH'!$I$301,CPQL!AB5:AB68)</f>
        <v>0</v>
      </c>
      <c r="AJ301" s="540">
        <f ca="1">SUMIF(CPQL!$D$5:$W$68,'FORM OH'!$I$301,CPQL!AC5:AC68)</f>
        <v>0</v>
      </c>
      <c r="AK301" s="540">
        <f ca="1">SUMIF(CPQL!$D$5:$W$68,'FORM OH'!$I$301,CPQL!AD5:AD68)</f>
        <v>0</v>
      </c>
      <c r="AL301" s="540">
        <f ca="1">SUMIF(CPQL!$D$5:$W$68,'FORM OH'!$I$301,CPQL!AE5:AE68)</f>
        <v>0</v>
      </c>
      <c r="AM301" s="540">
        <f ca="1">SUMIF(CPQL!$D$5:$W$68,'FORM OH'!$I$301,CPQL!AF5:AF68)</f>
        <v>0</v>
      </c>
      <c r="AN301" s="540">
        <f ca="1">SUMIF(CPQL!$D$5:$W$68,'FORM OH'!$I$301,CPQL!AG5:AG68)</f>
        <v>0</v>
      </c>
      <c r="AO301" s="540">
        <f ca="1">SUMIF(CPQL!$D$5:$W$68,'FORM OH'!$I$301,CPQL!AH5:AH68)</f>
        <v>0</v>
      </c>
      <c r="AP301" s="540">
        <f ca="1">SUMIF(CPQL!$D$5:$W$68,'FORM OH'!$I$301,CPQL!AI5:AI68)</f>
        <v>0</v>
      </c>
      <c r="AQ301" s="540">
        <f ca="1">SUMIF(CPQL!$D$5:$W$68,'FORM OH'!$I$301,CPQL!AJ5:AJ68)</f>
        <v>0</v>
      </c>
      <c r="AR301" s="1284">
        <f t="shared" ca="1" si="48"/>
        <v>0</v>
      </c>
      <c r="AS301" s="1284">
        <f t="shared" ca="1" si="45"/>
        <v>0</v>
      </c>
      <c r="AT301" s="1297">
        <f t="shared" ca="1" si="46"/>
        <v>0</v>
      </c>
    </row>
    <row r="302" spans="1:46" s="539" customFormat="1" ht="16.399999999999999" customHeight="1" outlineLevel="1" x14ac:dyDescent="0.35">
      <c r="A302" s="534" t="s">
        <v>782</v>
      </c>
      <c r="B302" s="534" t="s">
        <v>783</v>
      </c>
      <c r="C302" s="535" t="s">
        <v>1418</v>
      </c>
      <c r="D302" s="536" t="s">
        <v>817</v>
      </c>
      <c r="E302" s="536" t="s">
        <v>818</v>
      </c>
      <c r="F302" s="536" t="s">
        <v>1341</v>
      </c>
      <c r="G302" s="536" t="s">
        <v>1431</v>
      </c>
      <c r="H302" s="536" t="s">
        <v>1342</v>
      </c>
      <c r="I302" s="535" t="s">
        <v>1503</v>
      </c>
      <c r="J302" s="536" t="s">
        <v>484</v>
      </c>
      <c r="K302" s="536" t="s">
        <v>585</v>
      </c>
      <c r="L302" s="535" t="s">
        <v>1501</v>
      </c>
      <c r="M302" s="536" t="s">
        <v>1502</v>
      </c>
      <c r="N302" s="536"/>
      <c r="O302" s="535"/>
      <c r="P302" s="536"/>
      <c r="Q302" s="536"/>
      <c r="R302" s="537">
        <f ca="1">SUMIF(CPQL!$D$5:$W$68,'FORM OH'!$I$302,CPQL!K5:K68)</f>
        <v>0</v>
      </c>
      <c r="S302" s="537">
        <f ca="1">SUMIF(CPQL!$D$5:$W$68,'FORM OH'!$I$302,CPQL!L5:L68)</f>
        <v>0</v>
      </c>
      <c r="T302" s="537">
        <f ca="1">SUMIF(CPQL!$D$5:$W$68,'FORM OH'!$I$302,CPQL!M5:M68)</f>
        <v>0</v>
      </c>
      <c r="U302" s="537">
        <f ca="1">SUMIF(CPQL!$D$5:$W$68,'FORM OH'!$I$302,CPQL!N5:N68)</f>
        <v>0</v>
      </c>
      <c r="V302" s="537">
        <f ca="1">SUMIF(CPQL!$D$5:$W$68,'FORM OH'!$I$302,CPQL!O5:O68)</f>
        <v>0</v>
      </c>
      <c r="W302" s="537">
        <f ca="1">SUMIF(CPQL!$D$5:$W$68,'FORM OH'!$I$302,CPQL!P5:P68)</f>
        <v>0</v>
      </c>
      <c r="X302" s="537">
        <f ca="1">SUMIF(CPQL!$D$5:$W$68,'FORM OH'!$I$302,CPQL!Q5:Q68)</f>
        <v>0</v>
      </c>
      <c r="Y302" s="537">
        <f ca="1">SUMIF(CPQL!$D$5:$W$68,'FORM OH'!$I$302,CPQL!R5:R68)</f>
        <v>0</v>
      </c>
      <c r="Z302" s="537">
        <f ca="1">SUMIF(CPQL!$D$5:$W$68,'FORM OH'!$I$302,CPQL!S5:S68)</f>
        <v>0</v>
      </c>
      <c r="AA302" s="537">
        <f ca="1">SUMIF(CPQL!$D$5:$W$68,'FORM OH'!$I$302,CPQL!T5:T68)</f>
        <v>0</v>
      </c>
      <c r="AB302" s="537">
        <f ca="1">SUMIF(CPQL!$D$5:$W$68,'FORM OH'!$I$302,CPQL!U5:U68)</f>
        <v>0</v>
      </c>
      <c r="AC302" s="537">
        <f ca="1">SUMIF(CPQL!$D$5:$W$68,'FORM OH'!$I$302,CPQL!V5:V68)</f>
        <v>0</v>
      </c>
      <c r="AD302" s="537">
        <f t="shared" ca="1" si="47"/>
        <v>0</v>
      </c>
      <c r="AE302" s="533"/>
      <c r="AF302" s="537">
        <f ca="1">SUMIF(CPQL!$D$5:$W$68,'FORM OH'!$I$302,CPQL!Y5:Y68)</f>
        <v>0</v>
      </c>
      <c r="AG302" s="537">
        <f ca="1">SUMIF(CPQL!$D$5:$W$68,'FORM OH'!$I$302,CPQL!Z5:Z68)</f>
        <v>0</v>
      </c>
      <c r="AH302" s="537">
        <f ca="1">SUMIF(CPQL!$D$5:$W$68,'FORM OH'!$I$302,CPQL!AA5:AA68)</f>
        <v>0</v>
      </c>
      <c r="AI302" s="537">
        <f ca="1">SUMIF(CPQL!$D$5:$W$68,'FORM OH'!$I$302,CPQL!AB5:AB68)</f>
        <v>0</v>
      </c>
      <c r="AJ302" s="537">
        <f ca="1">SUMIF(CPQL!$D$5:$W$68,'FORM OH'!$I$302,CPQL!AC5:AC68)</f>
        <v>0</v>
      </c>
      <c r="AK302" s="537">
        <f ca="1">SUMIF(CPQL!$D$5:$W$68,'FORM OH'!$I$302,CPQL!AD5:AD68)</f>
        <v>0</v>
      </c>
      <c r="AL302" s="537">
        <f ca="1">SUMIF(CPQL!$D$5:$W$68,'FORM OH'!$I$302,CPQL!AE5:AE68)</f>
        <v>0</v>
      </c>
      <c r="AM302" s="537">
        <f ca="1">SUMIF(CPQL!$D$5:$W$68,'FORM OH'!$I$302,CPQL!AF5:AF68)</f>
        <v>0</v>
      </c>
      <c r="AN302" s="537">
        <f ca="1">SUMIF(CPQL!$D$5:$W$68,'FORM OH'!$I$302,CPQL!AG5:AG68)</f>
        <v>0</v>
      </c>
      <c r="AO302" s="537">
        <f ca="1">SUMIF(CPQL!$D$5:$W$68,'FORM OH'!$I$302,CPQL!AH5:AH68)</f>
        <v>0</v>
      </c>
      <c r="AP302" s="537">
        <f ca="1">SUMIF(CPQL!$D$5:$W$68,'FORM OH'!$I$302,CPQL!AI5:AI68)</f>
        <v>0</v>
      </c>
      <c r="AQ302" s="537">
        <f ca="1">SUMIF(CPQL!$D$5:$W$68,'FORM OH'!$I$302,CPQL!AJ5:AJ68)</f>
        <v>0</v>
      </c>
      <c r="AR302" s="1284">
        <f t="shared" ca="1" si="48"/>
        <v>0</v>
      </c>
      <c r="AS302" s="1284">
        <f t="shared" ca="1" si="45"/>
        <v>0</v>
      </c>
      <c r="AT302" s="1297">
        <f t="shared" ca="1" si="46"/>
        <v>0</v>
      </c>
    </row>
    <row r="303" spans="1:46" s="539" customFormat="1" ht="16.399999999999999" customHeight="1" outlineLevel="1" x14ac:dyDescent="0.35">
      <c r="A303" s="534" t="s">
        <v>782</v>
      </c>
      <c r="B303" s="534" t="s">
        <v>783</v>
      </c>
      <c r="C303" s="535" t="s">
        <v>1418</v>
      </c>
      <c r="D303" s="536" t="s">
        <v>817</v>
      </c>
      <c r="E303" s="536" t="s">
        <v>818</v>
      </c>
      <c r="F303" s="536" t="s">
        <v>1341</v>
      </c>
      <c r="G303" s="536" t="s">
        <v>1431</v>
      </c>
      <c r="H303" s="536" t="s">
        <v>1342</v>
      </c>
      <c r="I303" s="535" t="s">
        <v>1504</v>
      </c>
      <c r="J303" s="536" t="s">
        <v>1505</v>
      </c>
      <c r="K303" s="536" t="s">
        <v>587</v>
      </c>
      <c r="L303" s="535" t="s">
        <v>1506</v>
      </c>
      <c r="M303" s="536" t="s">
        <v>1507</v>
      </c>
      <c r="N303" s="536"/>
      <c r="O303" s="535"/>
      <c r="P303" s="536"/>
      <c r="Q303" s="536"/>
      <c r="R303" s="537">
        <f ca="1">SUMIF(CPQL!$D$5:$W$68,'FORM OH'!$I$303,CPQL!K5:K68)</f>
        <v>0</v>
      </c>
      <c r="S303" s="537">
        <f ca="1">SUMIF(CPQL!$D$5:$W$68,'FORM OH'!$I$303,CPQL!L5:L68)</f>
        <v>0</v>
      </c>
      <c r="T303" s="537">
        <f ca="1">SUMIF(CPQL!$D$5:$W$68,'FORM OH'!$I$303,CPQL!M5:M68)</f>
        <v>0</v>
      </c>
      <c r="U303" s="537">
        <f ca="1">SUMIF(CPQL!$D$5:$W$68,'FORM OH'!$I$303,CPQL!N5:N68)</f>
        <v>0</v>
      </c>
      <c r="V303" s="537">
        <f ca="1">SUMIF(CPQL!$D$5:$W$68,'FORM OH'!$I$303,CPQL!O5:O68)</f>
        <v>0</v>
      </c>
      <c r="W303" s="537">
        <f ca="1">SUMIF(CPQL!$D$5:$W$68,'FORM OH'!$I$303,CPQL!P5:P68)</f>
        <v>0</v>
      </c>
      <c r="X303" s="537">
        <f ca="1">SUMIF(CPQL!$D$5:$W$68,'FORM OH'!$I$303,CPQL!Q5:Q68)</f>
        <v>0</v>
      </c>
      <c r="Y303" s="537">
        <f ca="1">SUMIF(CPQL!$D$5:$W$68,'FORM OH'!$I$303,CPQL!R5:R68)</f>
        <v>0</v>
      </c>
      <c r="Z303" s="537">
        <f ca="1">SUMIF(CPQL!$D$5:$W$68,'FORM OH'!$I$303,CPQL!S5:S68)</f>
        <v>0</v>
      </c>
      <c r="AA303" s="537">
        <f ca="1">SUMIF(CPQL!$D$5:$W$68,'FORM OH'!$I$303,CPQL!T5:T68)</f>
        <v>0</v>
      </c>
      <c r="AB303" s="537">
        <f ca="1">SUMIF(CPQL!$D$5:$W$68,'FORM OH'!$I$303,CPQL!U5:U68)</f>
        <v>0</v>
      </c>
      <c r="AC303" s="537">
        <f ca="1">SUMIF(CPQL!$D$5:$W$68,'FORM OH'!$I$303,CPQL!V5:V68)</f>
        <v>0</v>
      </c>
      <c r="AD303" s="537">
        <f t="shared" ca="1" si="47"/>
        <v>0</v>
      </c>
      <c r="AE303" s="533"/>
      <c r="AF303" s="537">
        <f ca="1">SUMIF(CPQL!$D$5:$W$68,'FORM OH'!$I$303,CPQL!Y5:Y68)</f>
        <v>0</v>
      </c>
      <c r="AG303" s="537">
        <f ca="1">SUMIF(CPQL!$D$5:$W$68,'FORM OH'!$I$303,CPQL!Z5:Z68)</f>
        <v>0</v>
      </c>
      <c r="AH303" s="537">
        <f ca="1">SUMIF(CPQL!$D$5:$W$68,'FORM OH'!$I$303,CPQL!AA5:AA68)</f>
        <v>0</v>
      </c>
      <c r="AI303" s="537">
        <f ca="1">SUMIF(CPQL!$D$5:$W$68,'FORM OH'!$I$303,CPQL!AB5:AB68)</f>
        <v>0</v>
      </c>
      <c r="AJ303" s="537">
        <f ca="1">SUMIF(CPQL!$D$5:$W$68,'FORM OH'!$I$303,CPQL!AC5:AC68)</f>
        <v>0</v>
      </c>
      <c r="AK303" s="537">
        <f ca="1">SUMIF(CPQL!$D$5:$W$68,'FORM OH'!$I$303,CPQL!AD5:AD68)</f>
        <v>0</v>
      </c>
      <c r="AL303" s="537">
        <f ca="1">SUMIF(CPQL!$D$5:$W$68,'FORM OH'!$I$303,CPQL!AE5:AE68)</f>
        <v>0</v>
      </c>
      <c r="AM303" s="537">
        <f ca="1">SUMIF(CPQL!$D$5:$W$68,'FORM OH'!$I$303,CPQL!AF5:AF68)</f>
        <v>0</v>
      </c>
      <c r="AN303" s="537">
        <f ca="1">SUMIF(CPQL!$D$5:$W$68,'FORM OH'!$I$303,CPQL!AG5:AG68)</f>
        <v>0</v>
      </c>
      <c r="AO303" s="537">
        <f ca="1">SUMIF(CPQL!$D$5:$W$68,'FORM OH'!$I$303,CPQL!AH5:AH68)</f>
        <v>0</v>
      </c>
      <c r="AP303" s="537">
        <f ca="1">SUMIF(CPQL!$D$5:$W$68,'FORM OH'!$I$303,CPQL!AI5:AI68)</f>
        <v>0</v>
      </c>
      <c r="AQ303" s="537">
        <f ca="1">SUMIF(CPQL!$D$5:$W$68,'FORM OH'!$I$303,CPQL!AJ5:AJ68)</f>
        <v>0</v>
      </c>
      <c r="AR303" s="1284">
        <f t="shared" ca="1" si="48"/>
        <v>0</v>
      </c>
      <c r="AS303" s="1284">
        <f t="shared" ca="1" si="45"/>
        <v>0</v>
      </c>
      <c r="AT303" s="1297">
        <f t="shared" ca="1" si="46"/>
        <v>0</v>
      </c>
    </row>
    <row r="304" spans="1:46" s="539" customFormat="1" ht="16.399999999999999" customHeight="1" outlineLevel="1" x14ac:dyDescent="0.35">
      <c r="A304" s="534" t="s">
        <v>782</v>
      </c>
      <c r="B304" s="534" t="s">
        <v>783</v>
      </c>
      <c r="C304" s="535" t="s">
        <v>1418</v>
      </c>
      <c r="D304" s="536" t="s">
        <v>817</v>
      </c>
      <c r="E304" s="536" t="s">
        <v>818</v>
      </c>
      <c r="F304" s="536" t="s">
        <v>1508</v>
      </c>
      <c r="G304" s="536" t="s">
        <v>1431</v>
      </c>
      <c r="H304" s="536" t="s">
        <v>1509</v>
      </c>
      <c r="I304" s="535" t="s">
        <v>1510</v>
      </c>
      <c r="J304" s="536" t="s">
        <v>485</v>
      </c>
      <c r="K304" s="536" t="s">
        <v>577</v>
      </c>
      <c r="L304" s="535" t="s">
        <v>1511</v>
      </c>
      <c r="M304" s="536" t="s">
        <v>1512</v>
      </c>
      <c r="N304" s="536"/>
      <c r="O304" s="535"/>
      <c r="P304" s="536"/>
      <c r="Q304" s="536"/>
      <c r="R304" s="537">
        <f ca="1">SUMIF(CPQL!$D$5:$W$68,'FORM OH'!$I$304,CPQL!K5:K68)</f>
        <v>0</v>
      </c>
      <c r="S304" s="537">
        <f ca="1">SUMIF(CPQL!$D$5:$W$68,'FORM OH'!$I$304,CPQL!L5:L68)</f>
        <v>0</v>
      </c>
      <c r="T304" s="537">
        <f ca="1">SUMIF(CPQL!$D$5:$W$68,'FORM OH'!$I$304,CPQL!M5:M68)</f>
        <v>0</v>
      </c>
      <c r="U304" s="537">
        <f ca="1">SUMIF(CPQL!$D$5:$W$68,'FORM OH'!$I$304,CPQL!N5:N68)</f>
        <v>0</v>
      </c>
      <c r="V304" s="537">
        <f ca="1">SUMIF(CPQL!$D$5:$W$68,'FORM OH'!$I$304,CPQL!O5:O68)</f>
        <v>0</v>
      </c>
      <c r="W304" s="537">
        <f ca="1">SUMIF(CPQL!$D$5:$W$68,'FORM OH'!$I$304,CPQL!P5:P68)</f>
        <v>0</v>
      </c>
      <c r="X304" s="537">
        <f ca="1">SUMIF(CPQL!$D$5:$W$68,'FORM OH'!$I$304,CPQL!Q5:Q68)</f>
        <v>0</v>
      </c>
      <c r="Y304" s="537">
        <f ca="1">SUMIF(CPQL!$D$5:$W$68,'FORM OH'!$I$304,CPQL!R5:R68)</f>
        <v>0</v>
      </c>
      <c r="Z304" s="537">
        <f ca="1">SUMIF(CPQL!$D$5:$W$68,'FORM OH'!$I$304,CPQL!S5:S68)</f>
        <v>0</v>
      </c>
      <c r="AA304" s="537">
        <f ca="1">SUMIF(CPQL!$D$5:$W$68,'FORM OH'!$I$304,CPQL!T5:T68)</f>
        <v>0</v>
      </c>
      <c r="AB304" s="537">
        <f ca="1">SUMIF(CPQL!$D$5:$W$68,'FORM OH'!$I$304,CPQL!U5:U68)</f>
        <v>0</v>
      </c>
      <c r="AC304" s="537">
        <f ca="1">SUMIF(CPQL!$D$5:$W$68,'FORM OH'!$I$304,CPQL!V5:V68)</f>
        <v>0</v>
      </c>
      <c r="AD304" s="537">
        <f t="shared" ca="1" si="47"/>
        <v>0</v>
      </c>
      <c r="AE304" s="533"/>
      <c r="AF304" s="537">
        <f ca="1">SUMIF(CPQL!$D$5:$W$68,'FORM OH'!$I$304,CPQL!Y5:Y68)</f>
        <v>0</v>
      </c>
      <c r="AG304" s="537">
        <f ca="1">SUMIF(CPQL!$D$5:$W$68,'FORM OH'!$I$304,CPQL!Z5:Z68)</f>
        <v>0</v>
      </c>
      <c r="AH304" s="537">
        <f ca="1">SUMIF(CPQL!$D$5:$W$68,'FORM OH'!$I$304,CPQL!AA5:AA68)</f>
        <v>0</v>
      </c>
      <c r="AI304" s="537">
        <f ca="1">SUMIF(CPQL!$D$5:$W$68,'FORM OH'!$I$304,CPQL!AB5:AB68)</f>
        <v>0</v>
      </c>
      <c r="AJ304" s="537">
        <f ca="1">SUMIF(CPQL!$D$5:$W$68,'FORM OH'!$I$304,CPQL!AC5:AC68)</f>
        <v>0</v>
      </c>
      <c r="AK304" s="537">
        <f ca="1">SUMIF(CPQL!$D$5:$W$68,'FORM OH'!$I$304,CPQL!AD5:AD68)</f>
        <v>0</v>
      </c>
      <c r="AL304" s="537">
        <f ca="1">SUMIF(CPQL!$D$5:$W$68,'FORM OH'!$I$304,CPQL!AE5:AE68)</f>
        <v>0</v>
      </c>
      <c r="AM304" s="537">
        <f ca="1">SUMIF(CPQL!$D$5:$W$68,'FORM OH'!$I$304,CPQL!AF5:AF68)</f>
        <v>0</v>
      </c>
      <c r="AN304" s="537">
        <f ca="1">SUMIF(CPQL!$D$5:$W$68,'FORM OH'!$I$304,CPQL!AG5:AG68)</f>
        <v>0</v>
      </c>
      <c r="AO304" s="537">
        <f ca="1">SUMIF(CPQL!$D$5:$W$68,'FORM OH'!$I$304,CPQL!AH5:AH68)</f>
        <v>0</v>
      </c>
      <c r="AP304" s="537">
        <f ca="1">SUMIF(CPQL!$D$5:$W$68,'FORM OH'!$I$304,CPQL!AI5:AI68)</f>
        <v>0</v>
      </c>
      <c r="AQ304" s="537">
        <f ca="1">SUMIF(CPQL!$D$5:$W$68,'FORM OH'!$I$304,CPQL!AJ5:AJ68)</f>
        <v>0</v>
      </c>
      <c r="AR304" s="1284">
        <f t="shared" ca="1" si="48"/>
        <v>0</v>
      </c>
      <c r="AS304" s="1284">
        <f t="shared" ca="1" si="45"/>
        <v>0</v>
      </c>
      <c r="AT304" s="1297">
        <f t="shared" ca="1" si="46"/>
        <v>0</v>
      </c>
    </row>
    <row r="305" spans="1:46" s="539" customFormat="1" ht="16.399999999999999" customHeight="1" outlineLevel="1" x14ac:dyDescent="0.35">
      <c r="A305" s="534" t="s">
        <v>782</v>
      </c>
      <c r="B305" s="534" t="s">
        <v>783</v>
      </c>
      <c r="C305" s="535" t="s">
        <v>1418</v>
      </c>
      <c r="D305" s="536" t="s">
        <v>817</v>
      </c>
      <c r="E305" s="536" t="s">
        <v>818</v>
      </c>
      <c r="F305" s="536" t="s">
        <v>1022</v>
      </c>
      <c r="G305" s="536" t="s">
        <v>1431</v>
      </c>
      <c r="H305" s="536" t="s">
        <v>1023</v>
      </c>
      <c r="I305" s="535" t="s">
        <v>1513</v>
      </c>
      <c r="J305" s="536" t="s">
        <v>1514</v>
      </c>
      <c r="K305" s="536" t="s">
        <v>572</v>
      </c>
      <c r="L305" s="535" t="s">
        <v>890</v>
      </c>
      <c r="M305" s="536" t="s">
        <v>891</v>
      </c>
      <c r="N305" s="536"/>
      <c r="O305" s="535"/>
      <c r="P305" s="536"/>
      <c r="Q305" s="536"/>
      <c r="R305" s="537">
        <f ca="1">SUMIF(CPQL!$D$5:$W$68,'FORM OH'!$I$305,CPQL!K5:K68)</f>
        <v>0</v>
      </c>
      <c r="S305" s="537">
        <f ca="1">SUMIF(CPQL!$D$5:$W$68,'FORM OH'!$I$305,CPQL!L5:L68)</f>
        <v>0</v>
      </c>
      <c r="T305" s="537">
        <f ca="1">SUMIF(CPQL!$D$5:$W$68,'FORM OH'!$I$305,CPQL!M5:M68)</f>
        <v>0</v>
      </c>
      <c r="U305" s="537">
        <f ca="1">SUMIF(CPQL!$D$5:$W$68,'FORM OH'!$I$305,CPQL!N5:N68)</f>
        <v>0</v>
      </c>
      <c r="V305" s="537">
        <f ca="1">SUMIF(CPQL!$D$5:$W$68,'FORM OH'!$I$305,CPQL!O5:O68)</f>
        <v>0</v>
      </c>
      <c r="W305" s="537">
        <f ca="1">SUMIF(CPQL!$D$5:$W$68,'FORM OH'!$I$305,CPQL!P5:P68)</f>
        <v>0</v>
      </c>
      <c r="X305" s="537">
        <f ca="1">SUMIF(CPQL!$D$5:$W$68,'FORM OH'!$I$305,CPQL!Q5:Q68)</f>
        <v>0</v>
      </c>
      <c r="Y305" s="537">
        <f ca="1">SUMIF(CPQL!$D$5:$W$68,'FORM OH'!$I$305,CPQL!R5:R68)</f>
        <v>0</v>
      </c>
      <c r="Z305" s="537">
        <f ca="1">SUMIF(CPQL!$D$5:$W$68,'FORM OH'!$I$305,CPQL!S5:S68)</f>
        <v>0</v>
      </c>
      <c r="AA305" s="537">
        <f ca="1">SUMIF(CPQL!$D$5:$W$68,'FORM OH'!$I$305,CPQL!T5:T68)</f>
        <v>0</v>
      </c>
      <c r="AB305" s="537">
        <f ca="1">SUMIF(CPQL!$D$5:$W$68,'FORM OH'!$I$305,CPQL!U5:U68)</f>
        <v>0</v>
      </c>
      <c r="AC305" s="537">
        <f ca="1">SUMIF(CPQL!$D$5:$W$68,'FORM OH'!$I$305,CPQL!V5:V68)</f>
        <v>0</v>
      </c>
      <c r="AD305" s="537">
        <f t="shared" ca="1" si="47"/>
        <v>0</v>
      </c>
      <c r="AE305" s="533"/>
      <c r="AF305" s="537">
        <f ca="1">SUMIF(CPQL!$D$5:$W$68,'FORM OH'!$I$305,CPQL!Y5:Y68)</f>
        <v>0</v>
      </c>
      <c r="AG305" s="537">
        <f ca="1">SUMIF(CPQL!$D$5:$W$68,'FORM OH'!$I$305,CPQL!Z5:Z68)</f>
        <v>0</v>
      </c>
      <c r="AH305" s="537">
        <f ca="1">SUMIF(CPQL!$D$5:$W$68,'FORM OH'!$I$305,CPQL!AA5:AA68)</f>
        <v>0</v>
      </c>
      <c r="AI305" s="537">
        <f ca="1">SUMIF(CPQL!$D$5:$W$68,'FORM OH'!$I$305,CPQL!AB5:AB68)</f>
        <v>0</v>
      </c>
      <c r="AJ305" s="537">
        <f ca="1">SUMIF(CPQL!$D$5:$W$68,'FORM OH'!$I$305,CPQL!AC5:AC68)</f>
        <v>0</v>
      </c>
      <c r="AK305" s="537">
        <f ca="1">SUMIF(CPQL!$D$5:$W$68,'FORM OH'!$I$305,CPQL!AD5:AD68)</f>
        <v>0</v>
      </c>
      <c r="AL305" s="537">
        <f ca="1">SUMIF(CPQL!$D$5:$W$68,'FORM OH'!$I$305,CPQL!AE5:AE68)</f>
        <v>0</v>
      </c>
      <c r="AM305" s="537">
        <f ca="1">SUMIF(CPQL!$D$5:$W$68,'FORM OH'!$I$305,CPQL!AF5:AF68)</f>
        <v>0</v>
      </c>
      <c r="AN305" s="537">
        <f ca="1">SUMIF(CPQL!$D$5:$W$68,'FORM OH'!$I$305,CPQL!AG5:AG68)</f>
        <v>0</v>
      </c>
      <c r="AO305" s="537">
        <f ca="1">SUMIF(CPQL!$D$5:$W$68,'FORM OH'!$I$305,CPQL!AH5:AH68)</f>
        <v>0</v>
      </c>
      <c r="AP305" s="537">
        <f ca="1">SUMIF(CPQL!$D$5:$W$68,'FORM OH'!$I$305,CPQL!AI5:AI68)</f>
        <v>0</v>
      </c>
      <c r="AQ305" s="537">
        <f ca="1">SUMIF(CPQL!$D$5:$W$68,'FORM OH'!$I$305,CPQL!AJ5:AJ68)</f>
        <v>0</v>
      </c>
      <c r="AR305" s="1284">
        <f t="shared" ca="1" si="48"/>
        <v>0</v>
      </c>
      <c r="AS305" s="1284">
        <f t="shared" ca="1" si="45"/>
        <v>0</v>
      </c>
      <c r="AT305" s="1297">
        <f t="shared" ca="1" si="46"/>
        <v>0</v>
      </c>
    </row>
    <row r="306" spans="1:46" s="539" customFormat="1" ht="16.399999999999999" customHeight="1" outlineLevel="1" x14ac:dyDescent="0.35">
      <c r="A306" s="534" t="s">
        <v>782</v>
      </c>
      <c r="B306" s="534" t="s">
        <v>783</v>
      </c>
      <c r="C306" s="535" t="s">
        <v>1418</v>
      </c>
      <c r="D306" s="536" t="s">
        <v>817</v>
      </c>
      <c r="E306" s="536" t="s">
        <v>818</v>
      </c>
      <c r="F306" s="536" t="s">
        <v>1022</v>
      </c>
      <c r="G306" s="536" t="s">
        <v>1431</v>
      </c>
      <c r="H306" s="536" t="s">
        <v>1023</v>
      </c>
      <c r="I306" s="535" t="s">
        <v>1515</v>
      </c>
      <c r="J306" s="536" t="s">
        <v>91</v>
      </c>
      <c r="K306" s="551" t="s">
        <v>572</v>
      </c>
      <c r="L306" s="552" t="s">
        <v>1025</v>
      </c>
      <c r="M306" s="551" t="s">
        <v>1026</v>
      </c>
      <c r="N306" s="536"/>
      <c r="O306" s="535"/>
      <c r="P306" s="536"/>
      <c r="Q306" s="536"/>
      <c r="R306" s="537">
        <f ca="1">SUMIF(CPQL!$D$5:$W$68,'FORM OH'!$I$306,CPQL!K5:K68)</f>
        <v>8611353.0749999993</v>
      </c>
      <c r="S306" s="537">
        <f ca="1">SUMIF(CPQL!$D$5:$W$68,'FORM OH'!$I$306,CPQL!L5:L68)</f>
        <v>6948103.0750000002</v>
      </c>
      <c r="T306" s="537">
        <f ca="1">SUMIF(CPQL!$D$5:$W$68,'FORM OH'!$I$306,CPQL!M5:M68)</f>
        <v>6770203.0750000002</v>
      </c>
      <c r="U306" s="537">
        <f ca="1">SUMIF(CPQL!$D$5:$W$68,'FORM OH'!$I$306,CPQL!N5:N68)</f>
        <v>7460303.0750000002</v>
      </c>
      <c r="V306" s="537">
        <f ca="1">SUMIF(CPQL!$D$5:$W$68,'FORM OH'!$I$306,CPQL!O5:O68)</f>
        <v>6680203.0750000002</v>
      </c>
      <c r="W306" s="537">
        <f ca="1">SUMIF(CPQL!$D$5:$W$68,'FORM OH'!$I$306,CPQL!P5:P68)</f>
        <v>7892353.0750000002</v>
      </c>
      <c r="X306" s="537">
        <f ca="1">SUMIF(CPQL!$D$5:$W$68,'FORM OH'!$I$306,CPQL!Q5:Q68)</f>
        <v>6810703.0750000002</v>
      </c>
      <c r="Y306" s="537">
        <f ca="1">SUMIF(CPQL!$D$5:$W$68,'FORM OH'!$I$306,CPQL!R5:R68)</f>
        <v>7369703.0750000002</v>
      </c>
      <c r="Z306" s="537">
        <f ca="1">SUMIF(CPQL!$D$5:$W$68,'FORM OH'!$I$306,CPQL!S5:S68)</f>
        <v>6837403.0750000002</v>
      </c>
      <c r="AA306" s="537">
        <f ca="1">SUMIF(CPQL!$D$5:$W$68,'FORM OH'!$I$306,CPQL!T5:T68)</f>
        <v>6929303.0750000002</v>
      </c>
      <c r="AB306" s="537">
        <f ca="1">SUMIF(CPQL!$D$5:$W$68,'FORM OH'!$I$306,CPQL!U5:U68)</f>
        <v>6782003.0750000002</v>
      </c>
      <c r="AC306" s="537">
        <f ca="1">SUMIF(CPQL!$D$5:$W$68,'FORM OH'!$I$306,CPQL!V5:V68)</f>
        <v>8465503.0749999993</v>
      </c>
      <c r="AD306" s="537">
        <f t="shared" ca="1" si="47"/>
        <v>87557136.900000021</v>
      </c>
      <c r="AE306" s="533"/>
      <c r="AF306" s="537">
        <f ca="1">SUMIF(CPQL!$D$5:$W$68,'FORM OH'!$I$306,CPQL!Y5:Y68)</f>
        <v>2023944</v>
      </c>
      <c r="AG306" s="537">
        <f ca="1">SUMIF(CPQL!$D$5:$W$68,'FORM OH'!$I$306,CPQL!Z5:Z68)</f>
        <v>4457950</v>
      </c>
      <c r="AH306" s="537">
        <f ca="1">SUMIF(CPQL!$D$5:$W$68,'FORM OH'!$I$306,CPQL!AA5:AA68)</f>
        <v>6062344</v>
      </c>
      <c r="AI306" s="537">
        <f ca="1">SUMIF(CPQL!$D$5:$W$68,'FORM OH'!$I$306,CPQL!AB5:AB68)</f>
        <v>4586500</v>
      </c>
      <c r="AJ306" s="537">
        <f ca="1">SUMIF(CPQL!$D$5:$W$68,'FORM OH'!$I$306,CPQL!AC5:AC68)</f>
        <v>5092216</v>
      </c>
      <c r="AK306" s="537">
        <f ca="1">SUMIF(CPQL!$D$5:$W$68,'FORM OH'!$I$306,CPQL!AD5:AD68)</f>
        <v>2417500</v>
      </c>
      <c r="AL306" s="537">
        <f ca="1">SUMIF(CPQL!$D$5:$W$68,'FORM OH'!$I$306,CPQL!AE5:AE68)</f>
        <v>11167698</v>
      </c>
      <c r="AM306" s="537">
        <f ca="1">SUMIF(CPQL!$D$5:$W$68,'FORM OH'!$I$306,CPQL!AF5:AF68)</f>
        <v>7910868</v>
      </c>
      <c r="AN306" s="537">
        <f ca="1">SUMIF(CPQL!$D$5:$W$68,'FORM OH'!$I$306,CPQL!AG5:AG68)</f>
        <v>5428820</v>
      </c>
      <c r="AO306" s="537">
        <f ca="1">SUMIF(CPQL!$D$5:$W$68,'FORM OH'!$I$306,CPQL!AH5:AH68)</f>
        <v>5460871</v>
      </c>
      <c r="AP306" s="537">
        <f ca="1">SUMIF(CPQL!$D$5:$W$68,'FORM OH'!$I$306,CPQL!AI5:AI68)</f>
        <v>5460871</v>
      </c>
      <c r="AQ306" s="537">
        <f ca="1">SUMIF(CPQL!$D$5:$W$68,'FORM OH'!$I$306,CPQL!AJ5:AJ68)</f>
        <v>5460871</v>
      </c>
      <c r="AR306" s="1284">
        <f t="shared" ca="1" si="48"/>
        <v>65530453</v>
      </c>
      <c r="AS306" s="1284">
        <f t="shared" ca="1" si="45"/>
        <v>22026683.900000021</v>
      </c>
      <c r="AT306" s="1297">
        <f t="shared" ca="1" si="46"/>
        <v>0.33612897350183157</v>
      </c>
    </row>
    <row r="307" spans="1:46" s="539" customFormat="1" ht="16.399999999999999" customHeight="1" outlineLevel="1" x14ac:dyDescent="0.35">
      <c r="A307" s="534" t="s">
        <v>782</v>
      </c>
      <c r="B307" s="534" t="s">
        <v>783</v>
      </c>
      <c r="C307" s="535" t="s">
        <v>1418</v>
      </c>
      <c r="D307" s="536" t="s">
        <v>817</v>
      </c>
      <c r="E307" s="536" t="s">
        <v>818</v>
      </c>
      <c r="F307" s="536" t="s">
        <v>1022</v>
      </c>
      <c r="G307" s="536" t="s">
        <v>1431</v>
      </c>
      <c r="H307" s="536" t="s">
        <v>1023</v>
      </c>
      <c r="I307" s="535" t="s">
        <v>1516</v>
      </c>
      <c r="J307" s="536" t="s">
        <v>91</v>
      </c>
      <c r="K307" s="536" t="s">
        <v>572</v>
      </c>
      <c r="L307" s="535" t="s">
        <v>1025</v>
      </c>
      <c r="M307" s="536" t="s">
        <v>1026</v>
      </c>
      <c r="N307" s="536"/>
      <c r="O307" s="535"/>
      <c r="P307" s="536"/>
      <c r="Q307" s="536"/>
      <c r="R307" s="537">
        <f ca="1">SUMIF(CPQL!$D$5:$W$68,'FORM OH'!$I$307,CPQL!K5:K68)</f>
        <v>0</v>
      </c>
      <c r="S307" s="537">
        <f ca="1">SUMIF(CPQL!$D$5:$W$68,'FORM OH'!$I$307,CPQL!L5:L68)</f>
        <v>0</v>
      </c>
      <c r="T307" s="537">
        <f ca="1">SUMIF(CPQL!$D$5:$W$68,'FORM OH'!$I$307,CPQL!M5:M68)</f>
        <v>0</v>
      </c>
      <c r="U307" s="537">
        <f ca="1">SUMIF(CPQL!$D$5:$W$68,'FORM OH'!$I$307,CPQL!N5:N68)</f>
        <v>0</v>
      </c>
      <c r="V307" s="537">
        <f ca="1">SUMIF(CPQL!$D$5:$W$68,'FORM OH'!$I$307,CPQL!O5:O68)</f>
        <v>0</v>
      </c>
      <c r="W307" s="537">
        <f ca="1">SUMIF(CPQL!$D$5:$W$68,'FORM OH'!$I$307,CPQL!P5:P68)</f>
        <v>0</v>
      </c>
      <c r="X307" s="537">
        <f ca="1">SUMIF(CPQL!$D$5:$W$68,'FORM OH'!$I$307,CPQL!Q5:Q68)</f>
        <v>0</v>
      </c>
      <c r="Y307" s="537">
        <f ca="1">SUMIF(CPQL!$D$5:$W$68,'FORM OH'!$I$307,CPQL!R5:R68)</f>
        <v>0</v>
      </c>
      <c r="Z307" s="537">
        <f ca="1">SUMIF(CPQL!$D$5:$W$68,'FORM OH'!$I$307,CPQL!S5:S68)</f>
        <v>0</v>
      </c>
      <c r="AA307" s="537">
        <f ca="1">SUMIF(CPQL!$D$5:$W$68,'FORM OH'!$I$307,CPQL!T5:T68)</f>
        <v>0</v>
      </c>
      <c r="AB307" s="537">
        <f ca="1">SUMIF(CPQL!$D$5:$W$68,'FORM OH'!$I$307,CPQL!U5:U68)</f>
        <v>0</v>
      </c>
      <c r="AC307" s="537">
        <f ca="1">SUMIF(CPQL!$D$5:$W$68,'FORM OH'!$I$307,CPQL!V5:V68)</f>
        <v>0</v>
      </c>
      <c r="AD307" s="537">
        <f t="shared" ca="1" si="47"/>
        <v>0</v>
      </c>
      <c r="AE307" s="533"/>
      <c r="AF307" s="537">
        <f ca="1">SUMIF(CPQL!$D$5:$W$68,'FORM OH'!$I$307,CPQL!Y5:Y68)</f>
        <v>0</v>
      </c>
      <c r="AG307" s="537">
        <f ca="1">SUMIF(CPQL!$D$5:$W$68,'FORM OH'!$I$307,CPQL!Z5:Z68)</f>
        <v>0</v>
      </c>
      <c r="AH307" s="537">
        <f ca="1">SUMIF(CPQL!$D$5:$W$68,'FORM OH'!$I$307,CPQL!AA5:AA68)</f>
        <v>0</v>
      </c>
      <c r="AI307" s="537">
        <f ca="1">SUMIF(CPQL!$D$5:$W$68,'FORM OH'!$I$307,CPQL!AB5:AB68)</f>
        <v>0</v>
      </c>
      <c r="AJ307" s="537">
        <f ca="1">SUMIF(CPQL!$D$5:$W$68,'FORM OH'!$I$307,CPQL!AC5:AC68)</f>
        <v>0</v>
      </c>
      <c r="AK307" s="537">
        <f ca="1">SUMIF(CPQL!$D$5:$W$68,'FORM OH'!$I$307,CPQL!AD5:AD68)</f>
        <v>0</v>
      </c>
      <c r="AL307" s="537">
        <f ca="1">SUMIF(CPQL!$D$5:$W$68,'FORM OH'!$I$307,CPQL!AE5:AE68)</f>
        <v>0</v>
      </c>
      <c r="AM307" s="537">
        <f ca="1">SUMIF(CPQL!$D$5:$W$68,'FORM OH'!$I$307,CPQL!AF5:AF68)</f>
        <v>0</v>
      </c>
      <c r="AN307" s="537">
        <f ca="1">SUMIF(CPQL!$D$5:$W$68,'FORM OH'!$I$307,CPQL!AG5:AG68)</f>
        <v>0</v>
      </c>
      <c r="AO307" s="537">
        <f ca="1">SUMIF(CPQL!$D$5:$W$68,'FORM OH'!$I$307,CPQL!AH5:AH68)</f>
        <v>0</v>
      </c>
      <c r="AP307" s="537">
        <f ca="1">SUMIF(CPQL!$D$5:$W$68,'FORM OH'!$I$307,CPQL!AI5:AI68)</f>
        <v>0</v>
      </c>
      <c r="AQ307" s="537">
        <f ca="1">SUMIF(CPQL!$D$5:$W$68,'FORM OH'!$I$307,CPQL!AJ5:AJ68)</f>
        <v>0</v>
      </c>
      <c r="AR307" s="1284">
        <f t="shared" ca="1" si="48"/>
        <v>0</v>
      </c>
      <c r="AS307" s="1284">
        <f t="shared" ca="1" si="45"/>
        <v>0</v>
      </c>
      <c r="AT307" s="1297">
        <f t="shared" ca="1" si="46"/>
        <v>0</v>
      </c>
    </row>
    <row r="308" spans="1:46" s="539" customFormat="1" ht="16.399999999999999" customHeight="1" outlineLevel="1" x14ac:dyDescent="0.35">
      <c r="A308" s="534" t="s">
        <v>782</v>
      </c>
      <c r="B308" s="534" t="s">
        <v>783</v>
      </c>
      <c r="C308" s="535" t="s">
        <v>1418</v>
      </c>
      <c r="D308" s="536" t="s">
        <v>817</v>
      </c>
      <c r="E308" s="536" t="s">
        <v>818</v>
      </c>
      <c r="F308" s="536" t="s">
        <v>1022</v>
      </c>
      <c r="G308" s="536" t="s">
        <v>1431</v>
      </c>
      <c r="H308" s="536" t="s">
        <v>1023</v>
      </c>
      <c r="I308" s="535" t="s">
        <v>1517</v>
      </c>
      <c r="J308" s="536" t="s">
        <v>445</v>
      </c>
      <c r="K308" s="536" t="s">
        <v>572</v>
      </c>
      <c r="L308" s="535" t="s">
        <v>1029</v>
      </c>
      <c r="M308" s="536" t="s">
        <v>1030</v>
      </c>
      <c r="N308" s="536"/>
      <c r="O308" s="535"/>
      <c r="P308" s="536"/>
      <c r="Q308" s="536"/>
      <c r="R308" s="537">
        <f ca="1">SUMIF(CPQL!$D$5:$W$68,'FORM OH'!$I$308,CPQL!K5:K68)</f>
        <v>811500</v>
      </c>
      <c r="S308" s="537">
        <f ca="1">SUMIF(CPQL!$D$5:$W$68,'FORM OH'!$I$308,CPQL!L5:L68)</f>
        <v>339000</v>
      </c>
      <c r="T308" s="537">
        <f ca="1">SUMIF(CPQL!$D$5:$W$68,'FORM OH'!$I$308,CPQL!M5:M68)</f>
        <v>339000</v>
      </c>
      <c r="U308" s="537">
        <f ca="1">SUMIF(CPQL!$D$5:$W$68,'FORM OH'!$I$308,CPQL!N5:N68)</f>
        <v>339000</v>
      </c>
      <c r="V308" s="537">
        <f ca="1">SUMIF(CPQL!$D$5:$W$68,'FORM OH'!$I$308,CPQL!O5:O68)</f>
        <v>1284000</v>
      </c>
      <c r="W308" s="537">
        <f ca="1">SUMIF(CPQL!$D$5:$W$68,'FORM OH'!$I$308,CPQL!P5:P68)</f>
        <v>339000</v>
      </c>
      <c r="X308" s="537">
        <f ca="1">SUMIF(CPQL!$D$5:$W$68,'FORM OH'!$I$308,CPQL!Q5:Q68)</f>
        <v>339000</v>
      </c>
      <c r="Y308" s="537">
        <f ca="1">SUMIF(CPQL!$D$5:$W$68,'FORM OH'!$I$308,CPQL!R5:R68)</f>
        <v>339000</v>
      </c>
      <c r="Z308" s="537">
        <f ca="1">SUMIF(CPQL!$D$5:$W$68,'FORM OH'!$I$308,CPQL!S5:S68)</f>
        <v>811500</v>
      </c>
      <c r="AA308" s="537">
        <f ca="1">SUMIF(CPQL!$D$5:$W$68,'FORM OH'!$I$308,CPQL!T5:T68)</f>
        <v>339000</v>
      </c>
      <c r="AB308" s="537">
        <f ca="1">SUMIF(CPQL!$D$5:$W$68,'FORM OH'!$I$308,CPQL!U5:U68)</f>
        <v>339000</v>
      </c>
      <c r="AC308" s="537">
        <f ca="1">SUMIF(CPQL!$D$5:$W$68,'FORM OH'!$I$308,CPQL!V5:V68)</f>
        <v>339000</v>
      </c>
      <c r="AD308" s="537">
        <f t="shared" ca="1" si="47"/>
        <v>5958000</v>
      </c>
      <c r="AE308" s="533"/>
      <c r="AF308" s="537">
        <f ca="1">SUMIF(CPQL!$D$5:$W$68,'FORM OH'!$I$308,CPQL!Y5:Y68)</f>
        <v>0</v>
      </c>
      <c r="AG308" s="537">
        <f ca="1">SUMIF(CPQL!$D$5:$W$68,'FORM OH'!$I$308,CPQL!Z5:Z68)</f>
        <v>0</v>
      </c>
      <c r="AH308" s="537">
        <f ca="1">SUMIF(CPQL!$D$5:$W$68,'FORM OH'!$I$308,CPQL!AA5:AA68)</f>
        <v>1470000</v>
      </c>
      <c r="AI308" s="537">
        <f ca="1">SUMIF(CPQL!$D$5:$W$68,'FORM OH'!$I$308,CPQL!AB5:AB68)</f>
        <v>0</v>
      </c>
      <c r="AJ308" s="537">
        <f ca="1">SUMIF(CPQL!$D$5:$W$68,'FORM OH'!$I$308,CPQL!AC5:AC68)</f>
        <v>0</v>
      </c>
      <c r="AK308" s="537">
        <f ca="1">SUMIF(CPQL!$D$5:$W$68,'FORM OH'!$I$308,CPQL!AD5:AD68)</f>
        <v>0</v>
      </c>
      <c r="AL308" s="537">
        <f ca="1">SUMIF(CPQL!$D$5:$W$68,'FORM OH'!$I$308,CPQL!AE5:AE68)</f>
        <v>0</v>
      </c>
      <c r="AM308" s="537">
        <f ca="1">SUMIF(CPQL!$D$5:$W$68,'FORM OH'!$I$308,CPQL!AF5:AF68)</f>
        <v>0</v>
      </c>
      <c r="AN308" s="537">
        <f ca="1">SUMIF(CPQL!$D$5:$W$68,'FORM OH'!$I$308,CPQL!AG5:AG68)</f>
        <v>0</v>
      </c>
      <c r="AO308" s="537">
        <f ca="1">SUMIF(CPQL!$D$5:$W$68,'FORM OH'!$I$308,CPQL!AH5:AH68)</f>
        <v>0</v>
      </c>
      <c r="AP308" s="537">
        <f ca="1">SUMIF(CPQL!$D$5:$W$68,'FORM OH'!$I$308,CPQL!AI5:AI68)</f>
        <v>500000</v>
      </c>
      <c r="AQ308" s="537">
        <f ca="1">SUMIF(CPQL!$D$5:$W$68,'FORM OH'!$I$308,CPQL!AJ5:AJ68)</f>
        <v>0</v>
      </c>
      <c r="AR308" s="1284">
        <f t="shared" ca="1" si="48"/>
        <v>1970000</v>
      </c>
      <c r="AS308" s="1284">
        <f t="shared" ca="1" si="45"/>
        <v>3988000</v>
      </c>
      <c r="AT308" s="1297">
        <f t="shared" ca="1" si="46"/>
        <v>2.0243654822335024</v>
      </c>
    </row>
    <row r="309" spans="1:46" s="539" customFormat="1" ht="16.399999999999999" customHeight="1" outlineLevel="1" x14ac:dyDescent="0.35">
      <c r="A309" s="534" t="s">
        <v>782</v>
      </c>
      <c r="B309" s="534" t="s">
        <v>783</v>
      </c>
      <c r="C309" s="535" t="s">
        <v>1418</v>
      </c>
      <c r="D309" s="536" t="s">
        <v>817</v>
      </c>
      <c r="E309" s="536" t="s">
        <v>818</v>
      </c>
      <c r="F309" s="536" t="s">
        <v>1031</v>
      </c>
      <c r="G309" s="536" t="s">
        <v>1431</v>
      </c>
      <c r="H309" s="536" t="s">
        <v>1032</v>
      </c>
      <c r="I309" s="535" t="s">
        <v>1518</v>
      </c>
      <c r="J309" s="536" t="s">
        <v>486</v>
      </c>
      <c r="K309" s="536" t="s">
        <v>586</v>
      </c>
      <c r="L309" s="535" t="s">
        <v>1359</v>
      </c>
      <c r="M309" s="536" t="s">
        <v>1360</v>
      </c>
      <c r="N309" s="536"/>
      <c r="O309" s="535"/>
      <c r="P309" s="536"/>
      <c r="Q309" s="536"/>
      <c r="R309" s="537">
        <f ca="1">SUMIF(CPQL!$D$5:$W$68,'FORM OH'!$I$309,CPQL!K5:K68)</f>
        <v>0</v>
      </c>
      <c r="S309" s="537">
        <f ca="1">SUMIF(CPQL!$D$5:$W$68,'FORM OH'!$I$309,CPQL!L5:L68)</f>
        <v>0</v>
      </c>
      <c r="T309" s="537">
        <f ca="1">SUMIF(CPQL!$D$5:$W$68,'FORM OH'!$I$309,CPQL!M5:M68)</f>
        <v>0</v>
      </c>
      <c r="U309" s="537">
        <f ca="1">SUMIF(CPQL!$D$5:$W$68,'FORM OH'!$I$309,CPQL!N5:N68)</f>
        <v>0</v>
      </c>
      <c r="V309" s="537">
        <f ca="1">SUMIF(CPQL!$D$5:$W$68,'FORM OH'!$I$309,CPQL!O5:O68)</f>
        <v>0</v>
      </c>
      <c r="W309" s="537">
        <f ca="1">SUMIF(CPQL!$D$5:$W$68,'FORM OH'!$I$309,CPQL!P5:P68)</f>
        <v>0</v>
      </c>
      <c r="X309" s="537">
        <f ca="1">SUMIF(CPQL!$D$5:$W$68,'FORM OH'!$I$309,CPQL!Q5:Q68)</f>
        <v>0</v>
      </c>
      <c r="Y309" s="537">
        <f ca="1">SUMIF(CPQL!$D$5:$W$68,'FORM OH'!$I$309,CPQL!R5:R68)</f>
        <v>0</v>
      </c>
      <c r="Z309" s="537">
        <f ca="1">SUMIF(CPQL!$D$5:$W$68,'FORM OH'!$I$309,CPQL!S5:S68)</f>
        <v>0</v>
      </c>
      <c r="AA309" s="537">
        <f ca="1">SUMIF(CPQL!$D$5:$W$68,'FORM OH'!$I$309,CPQL!T5:T68)</f>
        <v>0</v>
      </c>
      <c r="AB309" s="537">
        <f ca="1">SUMIF(CPQL!$D$5:$W$68,'FORM OH'!$I$309,CPQL!U5:U68)</f>
        <v>0</v>
      </c>
      <c r="AC309" s="537">
        <f ca="1">SUMIF(CPQL!$D$5:$W$68,'FORM OH'!$I$309,CPQL!V5:V68)</f>
        <v>0</v>
      </c>
      <c r="AD309" s="537">
        <f t="shared" ca="1" si="47"/>
        <v>0</v>
      </c>
      <c r="AE309" s="533"/>
      <c r="AF309" s="537">
        <f ca="1">SUMIF(CPQL!$D$5:$W$68,'FORM OH'!$I$309,CPQL!Y5:Y68)</f>
        <v>0</v>
      </c>
      <c r="AG309" s="537">
        <f ca="1">SUMIF(CPQL!$D$5:$W$68,'FORM OH'!$I$309,CPQL!Z5:Z68)</f>
        <v>0</v>
      </c>
      <c r="AH309" s="537">
        <f ca="1">SUMIF(CPQL!$D$5:$W$68,'FORM OH'!$I$309,CPQL!AA5:AA68)</f>
        <v>0</v>
      </c>
      <c r="AI309" s="537">
        <f ca="1">SUMIF(CPQL!$D$5:$W$68,'FORM OH'!$I$309,CPQL!AB5:AB68)</f>
        <v>0</v>
      </c>
      <c r="AJ309" s="537">
        <f ca="1">SUMIF(CPQL!$D$5:$W$68,'FORM OH'!$I$309,CPQL!AC5:AC68)</f>
        <v>0</v>
      </c>
      <c r="AK309" s="537">
        <f ca="1">SUMIF(CPQL!$D$5:$W$68,'FORM OH'!$I$309,CPQL!AD5:AD68)</f>
        <v>0</v>
      </c>
      <c r="AL309" s="537">
        <f ca="1">SUMIF(CPQL!$D$5:$W$68,'FORM OH'!$I$309,CPQL!AE5:AE68)</f>
        <v>0</v>
      </c>
      <c r="AM309" s="537">
        <f ca="1">SUMIF(CPQL!$D$5:$W$68,'FORM OH'!$I$309,CPQL!AF5:AF68)</f>
        <v>0</v>
      </c>
      <c r="AN309" s="537">
        <f ca="1">SUMIF(CPQL!$D$5:$W$68,'FORM OH'!$I$309,CPQL!AG5:AG68)</f>
        <v>0</v>
      </c>
      <c r="AO309" s="537">
        <f ca="1">SUMIF(CPQL!$D$5:$W$68,'FORM OH'!$I$309,CPQL!AH5:AH68)</f>
        <v>0</v>
      </c>
      <c r="AP309" s="537">
        <f ca="1">SUMIF(CPQL!$D$5:$W$68,'FORM OH'!$I$309,CPQL!AI5:AI68)</f>
        <v>0</v>
      </c>
      <c r="AQ309" s="537">
        <f ca="1">SUMIF(CPQL!$D$5:$W$68,'FORM OH'!$I$309,CPQL!AJ5:AJ68)</f>
        <v>0</v>
      </c>
      <c r="AR309" s="1284">
        <f t="shared" ca="1" si="48"/>
        <v>0</v>
      </c>
      <c r="AS309" s="1284">
        <f t="shared" ca="1" si="45"/>
        <v>0</v>
      </c>
      <c r="AT309" s="1297">
        <f t="shared" ca="1" si="46"/>
        <v>0</v>
      </c>
    </row>
    <row r="310" spans="1:46" s="539" customFormat="1" ht="16.399999999999999" customHeight="1" outlineLevel="1" x14ac:dyDescent="0.35">
      <c r="A310" s="534" t="s">
        <v>782</v>
      </c>
      <c r="B310" s="534" t="s">
        <v>783</v>
      </c>
      <c r="C310" s="535" t="s">
        <v>1418</v>
      </c>
      <c r="D310" s="536" t="s">
        <v>817</v>
      </c>
      <c r="E310" s="536" t="s">
        <v>818</v>
      </c>
      <c r="F310" s="536" t="s">
        <v>1031</v>
      </c>
      <c r="G310" s="536" t="s">
        <v>1431</v>
      </c>
      <c r="H310" s="536" t="s">
        <v>1032</v>
      </c>
      <c r="I310" s="535" t="s">
        <v>1519</v>
      </c>
      <c r="J310" s="536" t="s">
        <v>446</v>
      </c>
      <c r="K310" s="536" t="s">
        <v>585</v>
      </c>
      <c r="L310" s="535" t="s">
        <v>1034</v>
      </c>
      <c r="M310" s="536" t="s">
        <v>1035</v>
      </c>
      <c r="N310" s="536"/>
      <c r="O310" s="535"/>
      <c r="P310" s="536"/>
      <c r="Q310" s="536"/>
      <c r="R310" s="537">
        <f ca="1">SUMIF(CPQL!$D$5:$W$68,'FORM OH'!$I$310,CPQL!K5:K68)</f>
        <v>0</v>
      </c>
      <c r="S310" s="537">
        <f ca="1">SUMIF(CPQL!$D$5:$W$68,'FORM OH'!$I$310,CPQL!L5:L68)</f>
        <v>0</v>
      </c>
      <c r="T310" s="537">
        <f ca="1">SUMIF(CPQL!$D$5:$W$68,'FORM OH'!$I$310,CPQL!M5:M68)</f>
        <v>0</v>
      </c>
      <c r="U310" s="537">
        <f ca="1">SUMIF(CPQL!$D$5:$W$68,'FORM OH'!$I$310,CPQL!N5:N68)</f>
        <v>0</v>
      </c>
      <c r="V310" s="537">
        <f ca="1">SUMIF(CPQL!$D$5:$W$68,'FORM OH'!$I$310,CPQL!O5:O68)</f>
        <v>6300000</v>
      </c>
      <c r="W310" s="537">
        <f ca="1">SUMIF(CPQL!$D$5:$W$68,'FORM OH'!$I$310,CPQL!P5:P68)</f>
        <v>0</v>
      </c>
      <c r="X310" s="537">
        <f ca="1">SUMIF(CPQL!$D$5:$W$68,'FORM OH'!$I$310,CPQL!Q5:Q68)</f>
        <v>2500000</v>
      </c>
      <c r="Y310" s="537">
        <f ca="1">SUMIF(CPQL!$D$5:$W$68,'FORM OH'!$I$310,CPQL!R5:R68)</f>
        <v>0</v>
      </c>
      <c r="Z310" s="537">
        <f ca="1">SUMIF(CPQL!$D$5:$W$68,'FORM OH'!$I$310,CPQL!S5:S68)</f>
        <v>0</v>
      </c>
      <c r="AA310" s="537">
        <f ca="1">SUMIF(CPQL!$D$5:$W$68,'FORM OH'!$I$310,CPQL!T5:T68)</f>
        <v>11300000</v>
      </c>
      <c r="AB310" s="537">
        <f ca="1">SUMIF(CPQL!$D$5:$W$68,'FORM OH'!$I$310,CPQL!U5:U68)</f>
        <v>0</v>
      </c>
      <c r="AC310" s="537">
        <f ca="1">SUMIF(CPQL!$D$5:$W$68,'FORM OH'!$I$310,CPQL!V5:V68)</f>
        <v>0</v>
      </c>
      <c r="AD310" s="537">
        <f t="shared" ca="1" si="47"/>
        <v>20100000</v>
      </c>
      <c r="AE310" s="533"/>
      <c r="AF310" s="537">
        <f ca="1">SUMIF(CPQL!$D$5:$W$68,'FORM OH'!$I$310,CPQL!Y5:Y68)</f>
        <v>0</v>
      </c>
      <c r="AG310" s="537">
        <f ca="1">SUMIF(CPQL!$D$5:$W$68,'FORM OH'!$I$310,CPQL!Z5:Z68)</f>
        <v>0</v>
      </c>
      <c r="AH310" s="537">
        <f ca="1">SUMIF(CPQL!$D$5:$W$68,'FORM OH'!$I$310,CPQL!AA5:AA68)</f>
        <v>0</v>
      </c>
      <c r="AI310" s="537">
        <f ca="1">SUMIF(CPQL!$D$5:$W$68,'FORM OH'!$I$310,CPQL!AB5:AB68)</f>
        <v>0</v>
      </c>
      <c r="AJ310" s="537">
        <f ca="1">SUMIF(CPQL!$D$5:$W$68,'FORM OH'!$I$310,CPQL!AC5:AC68)</f>
        <v>3000000</v>
      </c>
      <c r="AK310" s="537">
        <f ca="1">SUMIF(CPQL!$D$5:$W$68,'FORM OH'!$I$310,CPQL!AD5:AD68)</f>
        <v>8000000</v>
      </c>
      <c r="AL310" s="537">
        <f ca="1">SUMIF(CPQL!$D$5:$W$68,'FORM OH'!$I$310,CPQL!AE5:AE68)</f>
        <v>7650000</v>
      </c>
      <c r="AM310" s="537">
        <f ca="1">SUMIF(CPQL!$D$5:$W$68,'FORM OH'!$I$310,CPQL!AF5:AF68)</f>
        <v>0</v>
      </c>
      <c r="AN310" s="537">
        <f ca="1">SUMIF(CPQL!$D$5:$W$68,'FORM OH'!$I$310,CPQL!AG5:AG68)</f>
        <v>0</v>
      </c>
      <c r="AO310" s="537">
        <f ca="1">SUMIF(CPQL!$D$5:$W$68,'FORM OH'!$I$310,CPQL!AH5:AH68)</f>
        <v>5000000</v>
      </c>
      <c r="AP310" s="537">
        <f ca="1">SUMIF(CPQL!$D$5:$W$68,'FORM OH'!$I$310,CPQL!AI5:AI68)</f>
        <v>0</v>
      </c>
      <c r="AQ310" s="537">
        <f ca="1">SUMIF(CPQL!$D$5:$W$68,'FORM OH'!$I$310,CPQL!AJ5:AJ68)</f>
        <v>0</v>
      </c>
      <c r="AR310" s="1284">
        <f t="shared" ca="1" si="48"/>
        <v>23650000</v>
      </c>
      <c r="AS310" s="1284">
        <f t="shared" ca="1" si="45"/>
        <v>-3550000</v>
      </c>
      <c r="AT310" s="1297">
        <f t="shared" ca="1" si="46"/>
        <v>-0.15010570824524314</v>
      </c>
    </row>
    <row r="311" spans="1:46" s="539" customFormat="1" ht="16.399999999999999" customHeight="1" outlineLevel="1" x14ac:dyDescent="0.35">
      <c r="A311" s="534" t="s">
        <v>782</v>
      </c>
      <c r="B311" s="534" t="s">
        <v>783</v>
      </c>
      <c r="C311" s="535" t="s">
        <v>1418</v>
      </c>
      <c r="D311" s="536" t="s">
        <v>817</v>
      </c>
      <c r="E311" s="536" t="s">
        <v>818</v>
      </c>
      <c r="F311" s="536" t="s">
        <v>1043</v>
      </c>
      <c r="G311" s="536" t="s">
        <v>1431</v>
      </c>
      <c r="H311" s="536" t="s">
        <v>606</v>
      </c>
      <c r="I311" s="535" t="s">
        <v>1520</v>
      </c>
      <c r="J311" s="536" t="s">
        <v>447</v>
      </c>
      <c r="K311" s="536" t="s">
        <v>579</v>
      </c>
      <c r="L311" s="535" t="s">
        <v>1045</v>
      </c>
      <c r="M311" s="536" t="s">
        <v>1046</v>
      </c>
      <c r="N311" s="536"/>
      <c r="O311" s="535"/>
      <c r="P311" s="536"/>
      <c r="Q311" s="536"/>
      <c r="R311" s="537">
        <f ca="1">SUMIF(CPQL!$D$5:$W$68,'FORM OH'!$I$311,CPQL!K5:K68)</f>
        <v>3574862</v>
      </c>
      <c r="S311" s="537">
        <f ca="1">SUMIF(CPQL!$D$5:$W$68,'FORM OH'!$I$311,CPQL!L5:L68)</f>
        <v>3574862</v>
      </c>
      <c r="T311" s="537">
        <f ca="1">SUMIF(CPQL!$D$5:$W$68,'FORM OH'!$I$311,CPQL!M5:M68)</f>
        <v>3574862</v>
      </c>
      <c r="U311" s="537">
        <f ca="1">SUMIF(CPQL!$D$5:$W$68,'FORM OH'!$I$311,CPQL!N5:N68)</f>
        <v>3574862</v>
      </c>
      <c r="V311" s="537">
        <f ca="1">SUMIF(CPQL!$D$5:$W$68,'FORM OH'!$I$311,CPQL!O5:O68)</f>
        <v>3574862</v>
      </c>
      <c r="W311" s="537">
        <f ca="1">SUMIF(CPQL!$D$5:$W$68,'FORM OH'!$I$311,CPQL!P5:P68)</f>
        <v>3574858</v>
      </c>
      <c r="X311" s="537">
        <f ca="1">SUMIF(CPQL!$D$5:$W$68,'FORM OH'!$I$311,CPQL!Q5:Q68)</f>
        <v>2885695</v>
      </c>
      <c r="Y311" s="537">
        <f ca="1">SUMIF(CPQL!$D$5:$W$68,'FORM OH'!$I$311,CPQL!R5:R68)</f>
        <v>2885695</v>
      </c>
      <c r="Z311" s="537">
        <f ca="1">SUMIF(CPQL!$D$5:$W$68,'FORM OH'!$I$311,CPQL!S5:S68)</f>
        <v>2885695</v>
      </c>
      <c r="AA311" s="537">
        <f ca="1">SUMIF(CPQL!$D$5:$W$68,'FORM OH'!$I$311,CPQL!T5:T68)</f>
        <v>2885695</v>
      </c>
      <c r="AB311" s="537">
        <f ca="1">SUMIF(CPQL!$D$5:$W$68,'FORM OH'!$I$311,CPQL!U5:U68)</f>
        <v>2885695</v>
      </c>
      <c r="AC311" s="537">
        <f ca="1">SUMIF(CPQL!$D$5:$W$68,'FORM OH'!$I$311,CPQL!V5:V68)</f>
        <v>2885695</v>
      </c>
      <c r="AD311" s="537">
        <f t="shared" ca="1" si="47"/>
        <v>38763338</v>
      </c>
      <c r="AE311" s="533"/>
      <c r="AF311" s="537">
        <f ca="1">SUMIF(CPQL!$D$5:$W$68,'FORM OH'!$I$311,CPQL!Y5:Y68)</f>
        <v>0</v>
      </c>
      <c r="AG311" s="537">
        <f ca="1">SUMIF(CPQL!$D$5:$W$68,'FORM OH'!$I$311,CPQL!Z5:Z68)</f>
        <v>2264732</v>
      </c>
      <c r="AH311" s="537">
        <f ca="1">SUMIF(CPQL!$D$5:$W$68,'FORM OH'!$I$311,CPQL!AA5:AA68)</f>
        <v>1359732</v>
      </c>
      <c r="AI311" s="537">
        <f ca="1">SUMIF(CPQL!$D$5:$W$68,'FORM OH'!$I$311,CPQL!AB5:AB68)</f>
        <v>1359732</v>
      </c>
      <c r="AJ311" s="537">
        <f ca="1">SUMIF(CPQL!$D$5:$W$68,'FORM OH'!$I$311,CPQL!AC5:AC68)</f>
        <v>1359732</v>
      </c>
      <c r="AK311" s="537">
        <f ca="1">SUMIF(CPQL!$D$5:$W$68,'FORM OH'!$I$311,CPQL!AD5:AD68)</f>
        <v>2034732</v>
      </c>
      <c r="AL311" s="537">
        <f ca="1">SUMIF(CPQL!$D$5:$W$68,'FORM OH'!$I$311,CPQL!AE5:AE68)</f>
        <v>2723899</v>
      </c>
      <c r="AM311" s="537">
        <f ca="1">SUMIF(CPQL!$D$5:$W$68,'FORM OH'!$I$311,CPQL!AF5:AF68)</f>
        <v>4928344</v>
      </c>
      <c r="AN311" s="537">
        <f ca="1">SUMIF(CPQL!$D$5:$W$68,'FORM OH'!$I$311,CPQL!AG5:AG68)</f>
        <v>5609594</v>
      </c>
      <c r="AO311" s="537">
        <f ca="1">SUMIF(CPQL!$D$5:$W$68,'FORM OH'!$I$311,CPQL!AH5:AH68)</f>
        <v>5609594</v>
      </c>
      <c r="AP311" s="537">
        <f ca="1">SUMIF(CPQL!$D$5:$W$68,'FORM OH'!$I$311,CPQL!AI5:AI68)</f>
        <v>5609594</v>
      </c>
      <c r="AQ311" s="537">
        <f ca="1">SUMIF(CPQL!$D$5:$W$68,'FORM OH'!$I$311,CPQL!AJ5:AJ68)</f>
        <v>3574862</v>
      </c>
      <c r="AR311" s="1284">
        <f t="shared" ca="1" si="48"/>
        <v>36434547</v>
      </c>
      <c r="AS311" s="1284">
        <f t="shared" ca="1" si="45"/>
        <v>2328791</v>
      </c>
      <c r="AT311" s="1297">
        <f t="shared" ca="1" si="46"/>
        <v>6.3917111416261052E-2</v>
      </c>
    </row>
    <row r="312" spans="1:46" s="539" customFormat="1" ht="16.399999999999999" customHeight="1" outlineLevel="1" x14ac:dyDescent="0.35">
      <c r="A312" s="534" t="s">
        <v>782</v>
      </c>
      <c r="B312" s="534" t="s">
        <v>783</v>
      </c>
      <c r="C312" s="535" t="s">
        <v>1418</v>
      </c>
      <c r="D312" s="536" t="s">
        <v>817</v>
      </c>
      <c r="E312" s="536" t="s">
        <v>818</v>
      </c>
      <c r="F312" s="536" t="s">
        <v>1048</v>
      </c>
      <c r="G312" s="536" t="s">
        <v>1431</v>
      </c>
      <c r="H312" s="536" t="s">
        <v>1049</v>
      </c>
      <c r="I312" s="535" t="s">
        <v>1521</v>
      </c>
      <c r="J312" s="536" t="s">
        <v>1364</v>
      </c>
      <c r="K312" s="536" t="s">
        <v>1203</v>
      </c>
      <c r="L312" s="535" t="s">
        <v>1365</v>
      </c>
      <c r="M312" s="536" t="s">
        <v>1366</v>
      </c>
      <c r="N312" s="536"/>
      <c r="O312" s="535"/>
      <c r="P312" s="536"/>
      <c r="Q312" s="536"/>
      <c r="R312" s="537">
        <f ca="1">SUMIF(CPQL!$D$5:$W$68,'FORM OH'!$I$312,CPQL!K5:K68)</f>
        <v>0</v>
      </c>
      <c r="S312" s="537">
        <f ca="1">SUMIF(CPQL!$D$5:$W$68,'FORM OH'!$I$312,CPQL!L5:L68)</f>
        <v>0</v>
      </c>
      <c r="T312" s="537">
        <f ca="1">SUMIF(CPQL!$D$5:$W$68,'FORM OH'!$I$312,CPQL!M5:M68)</f>
        <v>0</v>
      </c>
      <c r="U312" s="537">
        <f ca="1">SUMIF(CPQL!$D$5:$W$68,'FORM OH'!$I$312,CPQL!N5:N68)</f>
        <v>0</v>
      </c>
      <c r="V312" s="537">
        <f ca="1">SUMIF(CPQL!$D$5:$W$68,'FORM OH'!$I$312,CPQL!O5:O68)</f>
        <v>0</v>
      </c>
      <c r="W312" s="537">
        <f ca="1">SUMIF(CPQL!$D$5:$W$68,'FORM OH'!$I$312,CPQL!P5:P68)</f>
        <v>0</v>
      </c>
      <c r="X312" s="537">
        <f ca="1">SUMIF(CPQL!$D$5:$W$68,'FORM OH'!$I$312,CPQL!Q5:Q68)</f>
        <v>0</v>
      </c>
      <c r="Y312" s="537">
        <f ca="1">SUMIF(CPQL!$D$5:$W$68,'FORM OH'!$I$312,CPQL!R5:R68)</f>
        <v>0</v>
      </c>
      <c r="Z312" s="537">
        <f ca="1">SUMIF(CPQL!$D$5:$W$68,'FORM OH'!$I$312,CPQL!S5:S68)</f>
        <v>0</v>
      </c>
      <c r="AA312" s="537">
        <f ca="1">SUMIF(CPQL!$D$5:$W$68,'FORM OH'!$I$312,CPQL!T5:T68)</f>
        <v>0</v>
      </c>
      <c r="AB312" s="537">
        <f ca="1">SUMIF(CPQL!$D$5:$W$68,'FORM OH'!$I$312,CPQL!U5:U68)</f>
        <v>0</v>
      </c>
      <c r="AC312" s="537">
        <f ca="1">SUMIF(CPQL!$D$5:$W$68,'FORM OH'!$I$312,CPQL!V5:V68)</f>
        <v>0</v>
      </c>
      <c r="AD312" s="537">
        <f t="shared" ca="1" si="47"/>
        <v>0</v>
      </c>
      <c r="AE312" s="533"/>
      <c r="AF312" s="537">
        <f ca="1">SUMIF(CPQL!$D$5:$W$68,'FORM OH'!$I$312,CPQL!Y5:Y68)</f>
        <v>0</v>
      </c>
      <c r="AG312" s="537">
        <f ca="1">SUMIF(CPQL!$D$5:$W$68,'FORM OH'!$I$312,CPQL!Z5:Z68)</f>
        <v>0</v>
      </c>
      <c r="AH312" s="537">
        <f ca="1">SUMIF(CPQL!$D$5:$W$68,'FORM OH'!$I$312,CPQL!AA5:AA68)</f>
        <v>0</v>
      </c>
      <c r="AI312" s="537">
        <f ca="1">SUMIF(CPQL!$D$5:$W$68,'FORM OH'!$I$312,CPQL!AB5:AB68)</f>
        <v>0</v>
      </c>
      <c r="AJ312" s="537">
        <f ca="1">SUMIF(CPQL!$D$5:$W$68,'FORM OH'!$I$312,CPQL!AC5:AC68)</f>
        <v>0</v>
      </c>
      <c r="AK312" s="537">
        <f ca="1">SUMIF(CPQL!$D$5:$W$68,'FORM OH'!$I$312,CPQL!AD5:AD68)</f>
        <v>0</v>
      </c>
      <c r="AL312" s="537">
        <f ca="1">SUMIF(CPQL!$D$5:$W$68,'FORM OH'!$I$312,CPQL!AE5:AE68)</f>
        <v>0</v>
      </c>
      <c r="AM312" s="537">
        <f ca="1">SUMIF(CPQL!$D$5:$W$68,'FORM OH'!$I$312,CPQL!AF5:AF68)</f>
        <v>0</v>
      </c>
      <c r="AN312" s="537">
        <f ca="1">SUMIF(CPQL!$D$5:$W$68,'FORM OH'!$I$312,CPQL!AG5:AG68)</f>
        <v>0</v>
      </c>
      <c r="AO312" s="537">
        <f ca="1">SUMIF(CPQL!$D$5:$W$68,'FORM OH'!$I$312,CPQL!AH5:AH68)</f>
        <v>0</v>
      </c>
      <c r="AP312" s="537">
        <f ca="1">SUMIF(CPQL!$D$5:$W$68,'FORM OH'!$I$312,CPQL!AI5:AI68)</f>
        <v>0</v>
      </c>
      <c r="AQ312" s="537">
        <f ca="1">SUMIF(CPQL!$D$5:$W$68,'FORM OH'!$I$312,CPQL!AJ5:AJ68)</f>
        <v>0</v>
      </c>
      <c r="AR312" s="1284">
        <f t="shared" ca="1" si="48"/>
        <v>0</v>
      </c>
      <c r="AS312" s="1284">
        <f t="shared" ca="1" si="45"/>
        <v>0</v>
      </c>
      <c r="AT312" s="1297">
        <f t="shared" ca="1" si="46"/>
        <v>0</v>
      </c>
    </row>
    <row r="313" spans="1:46" s="539" customFormat="1" ht="16.399999999999999" customHeight="1" outlineLevel="1" x14ac:dyDescent="0.35">
      <c r="A313" s="534" t="s">
        <v>782</v>
      </c>
      <c r="B313" s="534" t="s">
        <v>783</v>
      </c>
      <c r="C313" s="535" t="s">
        <v>1418</v>
      </c>
      <c r="D313" s="536" t="s">
        <v>817</v>
      </c>
      <c r="E313" s="536" t="s">
        <v>818</v>
      </c>
      <c r="F313" s="536" t="s">
        <v>1048</v>
      </c>
      <c r="G313" s="536" t="s">
        <v>1431</v>
      </c>
      <c r="H313" s="536" t="s">
        <v>1049</v>
      </c>
      <c r="I313" s="535" t="s">
        <v>1522</v>
      </c>
      <c r="J313" s="536" t="s">
        <v>487</v>
      </c>
      <c r="K313" s="536" t="s">
        <v>595</v>
      </c>
      <c r="L313" s="535" t="s">
        <v>1368</v>
      </c>
      <c r="M313" s="536" t="s">
        <v>1369</v>
      </c>
      <c r="N313" s="536"/>
      <c r="O313" s="535"/>
      <c r="P313" s="536"/>
      <c r="Q313" s="536"/>
      <c r="R313" s="537">
        <f ca="1">SUMIF(CPQL!$D$5:$W$68,'FORM OH'!$I$313,CPQL!K5:K68)</f>
        <v>0</v>
      </c>
      <c r="S313" s="537">
        <f ca="1">SUMIF(CPQL!$D$5:$W$68,'FORM OH'!$I$313,CPQL!L5:L68)</f>
        <v>0</v>
      </c>
      <c r="T313" s="537">
        <f ca="1">SUMIF(CPQL!$D$5:$W$68,'FORM OH'!$I$313,CPQL!M5:M68)</f>
        <v>0</v>
      </c>
      <c r="U313" s="537">
        <f ca="1">SUMIF(CPQL!$D$5:$W$68,'FORM OH'!$I$313,CPQL!N5:N68)</f>
        <v>0</v>
      </c>
      <c r="V313" s="537">
        <f ca="1">SUMIF(CPQL!$D$5:$W$68,'FORM OH'!$I$313,CPQL!O5:O68)</f>
        <v>0</v>
      </c>
      <c r="W313" s="537">
        <f ca="1">SUMIF(CPQL!$D$5:$W$68,'FORM OH'!$I$313,CPQL!P5:P68)</f>
        <v>0</v>
      </c>
      <c r="X313" s="537">
        <f ca="1">SUMIF(CPQL!$D$5:$W$68,'FORM OH'!$I$313,CPQL!Q5:Q68)</f>
        <v>0</v>
      </c>
      <c r="Y313" s="537">
        <f ca="1">SUMIF(CPQL!$D$5:$W$68,'FORM OH'!$I$313,CPQL!R5:R68)</f>
        <v>0</v>
      </c>
      <c r="Z313" s="537">
        <f ca="1">SUMIF(CPQL!$D$5:$W$68,'FORM OH'!$I$313,CPQL!S5:S68)</f>
        <v>0</v>
      </c>
      <c r="AA313" s="537">
        <f ca="1">SUMIF(CPQL!$D$5:$W$68,'FORM OH'!$I$313,CPQL!T5:T68)</f>
        <v>0</v>
      </c>
      <c r="AB313" s="537">
        <f ca="1">SUMIF(CPQL!$D$5:$W$68,'FORM OH'!$I$313,CPQL!U5:U68)</f>
        <v>0</v>
      </c>
      <c r="AC313" s="537">
        <f ca="1">SUMIF(CPQL!$D$5:$W$68,'FORM OH'!$I$313,CPQL!V5:V68)</f>
        <v>0</v>
      </c>
      <c r="AD313" s="537">
        <f t="shared" ca="1" si="47"/>
        <v>0</v>
      </c>
      <c r="AE313" s="533"/>
      <c r="AF313" s="537">
        <f ca="1">SUMIF(CPQL!$D$5:$W$68,'FORM OH'!$I$313,CPQL!Y5:Y68)</f>
        <v>0</v>
      </c>
      <c r="AG313" s="537">
        <f ca="1">SUMIF(CPQL!$D$5:$W$68,'FORM OH'!$I$313,CPQL!Z5:Z68)</f>
        <v>0</v>
      </c>
      <c r="AH313" s="537">
        <f ca="1">SUMIF(CPQL!$D$5:$W$68,'FORM OH'!$I$313,CPQL!AA5:AA68)</f>
        <v>0</v>
      </c>
      <c r="AI313" s="537">
        <f ca="1">SUMIF(CPQL!$D$5:$W$68,'FORM OH'!$I$313,CPQL!AB5:AB68)</f>
        <v>0</v>
      </c>
      <c r="AJ313" s="537">
        <f ca="1">SUMIF(CPQL!$D$5:$W$68,'FORM OH'!$I$313,CPQL!AC5:AC68)</f>
        <v>0</v>
      </c>
      <c r="AK313" s="537">
        <f ca="1">SUMIF(CPQL!$D$5:$W$68,'FORM OH'!$I$313,CPQL!AD5:AD68)</f>
        <v>0</v>
      </c>
      <c r="AL313" s="537">
        <f ca="1">SUMIF(CPQL!$D$5:$W$68,'FORM OH'!$I$313,CPQL!AE5:AE68)</f>
        <v>0</v>
      </c>
      <c r="AM313" s="537">
        <f ca="1">SUMIF(CPQL!$D$5:$W$68,'FORM OH'!$I$313,CPQL!AF5:AF68)</f>
        <v>0</v>
      </c>
      <c r="AN313" s="537">
        <f ca="1">SUMIF(CPQL!$D$5:$W$68,'FORM OH'!$I$313,CPQL!AG5:AG68)</f>
        <v>0</v>
      </c>
      <c r="AO313" s="537">
        <f ca="1">SUMIF(CPQL!$D$5:$W$68,'FORM OH'!$I$313,CPQL!AH5:AH68)</f>
        <v>0</v>
      </c>
      <c r="AP313" s="537">
        <f ca="1">SUMIF(CPQL!$D$5:$W$68,'FORM OH'!$I$313,CPQL!AI5:AI68)</f>
        <v>0</v>
      </c>
      <c r="AQ313" s="537">
        <f ca="1">SUMIF(CPQL!$D$5:$W$68,'FORM OH'!$I$313,CPQL!AJ5:AJ68)</f>
        <v>0</v>
      </c>
      <c r="AR313" s="1284">
        <f t="shared" ca="1" si="48"/>
        <v>0</v>
      </c>
      <c r="AS313" s="1284">
        <f t="shared" ca="1" si="45"/>
        <v>0</v>
      </c>
      <c r="AT313" s="1297">
        <f t="shared" ca="1" si="46"/>
        <v>0</v>
      </c>
    </row>
    <row r="314" spans="1:46" s="539" customFormat="1" ht="16.399999999999999" customHeight="1" outlineLevel="1" x14ac:dyDescent="0.35">
      <c r="A314" s="534" t="s">
        <v>782</v>
      </c>
      <c r="B314" s="534" t="s">
        <v>783</v>
      </c>
      <c r="C314" s="535" t="s">
        <v>1418</v>
      </c>
      <c r="D314" s="536" t="s">
        <v>817</v>
      </c>
      <c r="E314" s="536" t="s">
        <v>818</v>
      </c>
      <c r="F314" s="536" t="s">
        <v>1048</v>
      </c>
      <c r="G314" s="536" t="s">
        <v>1431</v>
      </c>
      <c r="H314" s="536" t="s">
        <v>1049</v>
      </c>
      <c r="I314" s="535" t="s">
        <v>1523</v>
      </c>
      <c r="J314" s="536" t="s">
        <v>1524</v>
      </c>
      <c r="K314" s="536" t="s">
        <v>594</v>
      </c>
      <c r="L314" s="535" t="s">
        <v>1525</v>
      </c>
      <c r="M314" s="536" t="s">
        <v>1526</v>
      </c>
      <c r="N314" s="536"/>
      <c r="O314" s="535"/>
      <c r="P314" s="536"/>
      <c r="Q314" s="536"/>
      <c r="R314" s="537">
        <f ca="1">SUMIF(CPQL!$D$5:$W$68,'FORM OH'!$I$314,CPQL!K5:K68)</f>
        <v>0</v>
      </c>
      <c r="S314" s="537">
        <f ca="1">SUMIF(CPQL!$D$5:$W$68,'FORM OH'!$I$314,CPQL!L5:L68)</f>
        <v>0</v>
      </c>
      <c r="T314" s="537">
        <f ca="1">SUMIF(CPQL!$D$5:$W$68,'FORM OH'!$I$314,CPQL!M5:M68)</f>
        <v>0</v>
      </c>
      <c r="U314" s="537">
        <f ca="1">SUMIF(CPQL!$D$5:$W$68,'FORM OH'!$I$314,CPQL!N5:N68)</f>
        <v>0</v>
      </c>
      <c r="V314" s="537">
        <f ca="1">SUMIF(CPQL!$D$5:$W$68,'FORM OH'!$I$314,CPQL!O5:O68)</f>
        <v>0</v>
      </c>
      <c r="W314" s="537">
        <f ca="1">SUMIF(CPQL!$D$5:$W$68,'FORM OH'!$I$314,CPQL!P5:P68)</f>
        <v>0</v>
      </c>
      <c r="X314" s="537">
        <f ca="1">SUMIF(CPQL!$D$5:$W$68,'FORM OH'!$I$314,CPQL!Q5:Q68)</f>
        <v>0</v>
      </c>
      <c r="Y314" s="537">
        <f ca="1">SUMIF(CPQL!$D$5:$W$68,'FORM OH'!$I$314,CPQL!R5:R68)</f>
        <v>0</v>
      </c>
      <c r="Z314" s="537">
        <f ca="1">SUMIF(CPQL!$D$5:$W$68,'FORM OH'!$I$314,CPQL!S5:S68)</f>
        <v>0</v>
      </c>
      <c r="AA314" s="537">
        <f ca="1">SUMIF(CPQL!$D$5:$W$68,'FORM OH'!$I$314,CPQL!T5:T68)</f>
        <v>0</v>
      </c>
      <c r="AB314" s="537">
        <f ca="1">SUMIF(CPQL!$D$5:$W$68,'FORM OH'!$I$314,CPQL!U5:U68)</f>
        <v>0</v>
      </c>
      <c r="AC314" s="537">
        <f ca="1">SUMIF(CPQL!$D$5:$W$68,'FORM OH'!$I$314,CPQL!V5:V68)</f>
        <v>0</v>
      </c>
      <c r="AD314" s="537">
        <f t="shared" ca="1" si="47"/>
        <v>0</v>
      </c>
      <c r="AE314" s="533"/>
      <c r="AF314" s="537">
        <f ca="1">SUMIF(CPQL!$D$5:$W$68,'FORM OH'!$I$314,CPQL!Y5:Y68)</f>
        <v>0</v>
      </c>
      <c r="AG314" s="537">
        <f ca="1">SUMIF(CPQL!$D$5:$W$68,'FORM OH'!$I$314,CPQL!Z5:Z68)</f>
        <v>0</v>
      </c>
      <c r="AH314" s="537">
        <f ca="1">SUMIF(CPQL!$D$5:$W$68,'FORM OH'!$I$314,CPQL!AA5:AA68)</f>
        <v>0</v>
      </c>
      <c r="AI314" s="537">
        <f ca="1">SUMIF(CPQL!$D$5:$W$68,'FORM OH'!$I$314,CPQL!AB5:AB68)</f>
        <v>0</v>
      </c>
      <c r="AJ314" s="537">
        <f ca="1">SUMIF(CPQL!$D$5:$W$68,'FORM OH'!$I$314,CPQL!AC5:AC68)</f>
        <v>0</v>
      </c>
      <c r="AK314" s="537">
        <f ca="1">SUMIF(CPQL!$D$5:$W$68,'FORM OH'!$I$314,CPQL!AD5:AD68)</f>
        <v>0</v>
      </c>
      <c r="AL314" s="537">
        <f ca="1">SUMIF(CPQL!$D$5:$W$68,'FORM OH'!$I$314,CPQL!AE5:AE68)</f>
        <v>0</v>
      </c>
      <c r="AM314" s="537">
        <f ca="1">SUMIF(CPQL!$D$5:$W$68,'FORM OH'!$I$314,CPQL!AF5:AF68)</f>
        <v>0</v>
      </c>
      <c r="AN314" s="537">
        <f ca="1">SUMIF(CPQL!$D$5:$W$68,'FORM OH'!$I$314,CPQL!AG5:AG68)</f>
        <v>0</v>
      </c>
      <c r="AO314" s="537">
        <f ca="1">SUMIF(CPQL!$D$5:$W$68,'FORM OH'!$I$314,CPQL!AH5:AH68)</f>
        <v>0</v>
      </c>
      <c r="AP314" s="537">
        <f ca="1">SUMIF(CPQL!$D$5:$W$68,'FORM OH'!$I$314,CPQL!AI5:AI68)</f>
        <v>0</v>
      </c>
      <c r="AQ314" s="537">
        <f ca="1">SUMIF(CPQL!$D$5:$W$68,'FORM OH'!$I$314,CPQL!AJ5:AJ68)</f>
        <v>0</v>
      </c>
      <c r="AR314" s="1284">
        <f t="shared" ca="1" si="48"/>
        <v>0</v>
      </c>
      <c r="AS314" s="1284">
        <f t="shared" ca="1" si="45"/>
        <v>0</v>
      </c>
      <c r="AT314" s="1297">
        <f t="shared" ca="1" si="46"/>
        <v>0</v>
      </c>
    </row>
    <row r="315" spans="1:46" s="539" customFormat="1" ht="16.399999999999999" customHeight="1" outlineLevel="1" x14ac:dyDescent="0.35">
      <c r="A315" s="534" t="s">
        <v>782</v>
      </c>
      <c r="B315" s="534" t="s">
        <v>783</v>
      </c>
      <c r="C315" s="535" t="s">
        <v>1418</v>
      </c>
      <c r="D315" s="536" t="s">
        <v>817</v>
      </c>
      <c r="E315" s="536" t="s">
        <v>818</v>
      </c>
      <c r="F315" s="536" t="s">
        <v>1048</v>
      </c>
      <c r="G315" s="536" t="s">
        <v>1431</v>
      </c>
      <c r="H315" s="536" t="s">
        <v>1049</v>
      </c>
      <c r="I315" s="535" t="s">
        <v>1527</v>
      </c>
      <c r="J315" s="536" t="s">
        <v>448</v>
      </c>
      <c r="K315" s="536" t="s">
        <v>594</v>
      </c>
      <c r="L315" s="535" t="s">
        <v>1051</v>
      </c>
      <c r="M315" s="536" t="s">
        <v>1052</v>
      </c>
      <c r="N315" s="536"/>
      <c r="O315" s="535"/>
      <c r="P315" s="536"/>
      <c r="Q315" s="536"/>
      <c r="R315" s="537">
        <f ca="1">SUMIF(CPQL!$D$5:$W$68,'FORM OH'!$I$315,CPQL!K5:K68)</f>
        <v>0</v>
      </c>
      <c r="S315" s="537">
        <f ca="1">SUMIF(CPQL!$D$5:$W$68,'FORM OH'!$I$315,CPQL!L5:L68)</f>
        <v>0</v>
      </c>
      <c r="T315" s="537">
        <f ca="1">SUMIF(CPQL!$D$5:$W$68,'FORM OH'!$I$315,CPQL!M5:M68)</f>
        <v>0</v>
      </c>
      <c r="U315" s="537">
        <f ca="1">SUMIF(CPQL!$D$5:$W$68,'FORM OH'!$I$315,CPQL!N5:N68)</f>
        <v>0</v>
      </c>
      <c r="V315" s="537">
        <f ca="1">SUMIF(CPQL!$D$5:$W$68,'FORM OH'!$I$315,CPQL!O5:O68)</f>
        <v>0</v>
      </c>
      <c r="W315" s="537">
        <f ca="1">SUMIF(CPQL!$D$5:$W$68,'FORM OH'!$I$315,CPQL!P5:P68)</f>
        <v>0</v>
      </c>
      <c r="X315" s="537">
        <f ca="1">SUMIF(CPQL!$D$5:$W$68,'FORM OH'!$I$315,CPQL!Q5:Q68)</f>
        <v>0</v>
      </c>
      <c r="Y315" s="537">
        <f ca="1">SUMIF(CPQL!$D$5:$W$68,'FORM OH'!$I$315,CPQL!R5:R68)</f>
        <v>0</v>
      </c>
      <c r="Z315" s="537">
        <f ca="1">SUMIF(CPQL!$D$5:$W$68,'FORM OH'!$I$315,CPQL!S5:S68)</f>
        <v>0</v>
      </c>
      <c r="AA315" s="537">
        <f ca="1">SUMIF(CPQL!$D$5:$W$68,'FORM OH'!$I$315,CPQL!T5:T68)</f>
        <v>0</v>
      </c>
      <c r="AB315" s="537">
        <f ca="1">SUMIF(CPQL!$D$5:$W$68,'FORM OH'!$I$315,CPQL!U5:U68)</f>
        <v>0</v>
      </c>
      <c r="AC315" s="537">
        <f ca="1">SUMIF(CPQL!$D$5:$W$68,'FORM OH'!$I$315,CPQL!V5:V68)</f>
        <v>0</v>
      </c>
      <c r="AD315" s="537">
        <f t="shared" ca="1" si="47"/>
        <v>0</v>
      </c>
      <c r="AE315" s="533"/>
      <c r="AF315" s="537">
        <f ca="1">SUMIF(CPQL!$D$5:$W$68,'FORM OH'!$I$315,CPQL!Y5:Y68)</f>
        <v>0</v>
      </c>
      <c r="AG315" s="537">
        <f ca="1">SUMIF(CPQL!$D$5:$W$68,'FORM OH'!$I$315,CPQL!Z5:Z68)</f>
        <v>0</v>
      </c>
      <c r="AH315" s="537">
        <f ca="1">SUMIF(CPQL!$D$5:$W$68,'FORM OH'!$I$315,CPQL!AA5:AA68)</f>
        <v>0</v>
      </c>
      <c r="AI315" s="537">
        <f ca="1">SUMIF(CPQL!$D$5:$W$68,'FORM OH'!$I$315,CPQL!AB5:AB68)</f>
        <v>0</v>
      </c>
      <c r="AJ315" s="537">
        <f ca="1">SUMIF(CPQL!$D$5:$W$68,'FORM OH'!$I$315,CPQL!AC5:AC68)</f>
        <v>0</v>
      </c>
      <c r="AK315" s="537">
        <f ca="1">SUMIF(CPQL!$D$5:$W$68,'FORM OH'!$I$315,CPQL!AD5:AD68)</f>
        <v>0</v>
      </c>
      <c r="AL315" s="537">
        <f ca="1">SUMIF(CPQL!$D$5:$W$68,'FORM OH'!$I$315,CPQL!AE5:AE68)</f>
        <v>0</v>
      </c>
      <c r="AM315" s="537">
        <f ca="1">SUMIF(CPQL!$D$5:$W$68,'FORM OH'!$I$315,CPQL!AF5:AF68)</f>
        <v>0</v>
      </c>
      <c r="AN315" s="537">
        <f ca="1">SUMIF(CPQL!$D$5:$W$68,'FORM OH'!$I$315,CPQL!AG5:AG68)</f>
        <v>0</v>
      </c>
      <c r="AO315" s="537">
        <f ca="1">SUMIF(CPQL!$D$5:$W$68,'FORM OH'!$I$315,CPQL!AH5:AH68)</f>
        <v>0</v>
      </c>
      <c r="AP315" s="537">
        <f ca="1">SUMIF(CPQL!$D$5:$W$68,'FORM OH'!$I$315,CPQL!AI5:AI68)</f>
        <v>0</v>
      </c>
      <c r="AQ315" s="537">
        <f ca="1">SUMIF(CPQL!$D$5:$W$68,'FORM OH'!$I$315,CPQL!AJ5:AJ68)</f>
        <v>0</v>
      </c>
      <c r="AR315" s="1284">
        <f t="shared" ca="1" si="48"/>
        <v>0</v>
      </c>
      <c r="AS315" s="1284">
        <f t="shared" ca="1" si="45"/>
        <v>0</v>
      </c>
      <c r="AT315" s="1297">
        <f t="shared" ca="1" si="46"/>
        <v>0</v>
      </c>
    </row>
    <row r="316" spans="1:46" s="539" customFormat="1" ht="16.399999999999999" customHeight="1" outlineLevel="1" x14ac:dyDescent="0.35">
      <c r="A316" s="534" t="s">
        <v>782</v>
      </c>
      <c r="B316" s="534" t="s">
        <v>783</v>
      </c>
      <c r="C316" s="535" t="s">
        <v>1418</v>
      </c>
      <c r="D316" s="536" t="s">
        <v>817</v>
      </c>
      <c r="E316" s="536" t="s">
        <v>818</v>
      </c>
      <c r="F316" s="536" t="s">
        <v>1048</v>
      </c>
      <c r="G316" s="536" t="s">
        <v>1431</v>
      </c>
      <c r="H316" s="536" t="s">
        <v>1049</v>
      </c>
      <c r="I316" s="535" t="s">
        <v>1528</v>
      </c>
      <c r="J316" s="536" t="s">
        <v>1054</v>
      </c>
      <c r="K316" s="536" t="s">
        <v>594</v>
      </c>
      <c r="L316" s="535" t="s">
        <v>1055</v>
      </c>
      <c r="M316" s="536" t="s">
        <v>1056</v>
      </c>
      <c r="N316" s="536"/>
      <c r="O316" s="535"/>
      <c r="P316" s="536"/>
      <c r="Q316" s="536"/>
      <c r="R316" s="537">
        <f ca="1">SUMIF(CPQL!$D$5:$W$68,'FORM OH'!$I$316,CPQL!K5:K68)</f>
        <v>0</v>
      </c>
      <c r="S316" s="537">
        <f ca="1">SUMIF(CPQL!$D$5:$W$68,'FORM OH'!$I$316,CPQL!L5:L68)</f>
        <v>0</v>
      </c>
      <c r="T316" s="537">
        <f ca="1">SUMIF(CPQL!$D$5:$W$68,'FORM OH'!$I$316,CPQL!M5:M68)</f>
        <v>0</v>
      </c>
      <c r="U316" s="537">
        <f ca="1">SUMIF(CPQL!$D$5:$W$68,'FORM OH'!$I$316,CPQL!N5:N68)</f>
        <v>0</v>
      </c>
      <c r="V316" s="537">
        <f ca="1">SUMIF(CPQL!$D$5:$W$68,'FORM OH'!$I$316,CPQL!O5:O68)</f>
        <v>0</v>
      </c>
      <c r="W316" s="537">
        <f ca="1">SUMIF(CPQL!$D$5:$W$68,'FORM OH'!$I$316,CPQL!P5:P68)</f>
        <v>0</v>
      </c>
      <c r="X316" s="537">
        <f ca="1">SUMIF(CPQL!$D$5:$W$68,'FORM OH'!$I$316,CPQL!Q5:Q68)</f>
        <v>0</v>
      </c>
      <c r="Y316" s="537">
        <f ca="1">SUMIF(CPQL!$D$5:$W$68,'FORM OH'!$I$316,CPQL!R5:R68)</f>
        <v>0</v>
      </c>
      <c r="Z316" s="537">
        <f ca="1">SUMIF(CPQL!$D$5:$W$68,'FORM OH'!$I$316,CPQL!S5:S68)</f>
        <v>0</v>
      </c>
      <c r="AA316" s="537">
        <f ca="1">SUMIF(CPQL!$D$5:$W$68,'FORM OH'!$I$316,CPQL!T5:T68)</f>
        <v>0</v>
      </c>
      <c r="AB316" s="537">
        <f ca="1">SUMIF(CPQL!$D$5:$W$68,'FORM OH'!$I$316,CPQL!U5:U68)</f>
        <v>0</v>
      </c>
      <c r="AC316" s="537">
        <f ca="1">SUMIF(CPQL!$D$5:$W$68,'FORM OH'!$I$316,CPQL!V5:V68)</f>
        <v>0</v>
      </c>
      <c r="AD316" s="537">
        <f t="shared" ca="1" si="47"/>
        <v>0</v>
      </c>
      <c r="AE316" s="533"/>
      <c r="AF316" s="537">
        <f ca="1">SUMIF(CPQL!$D$5:$W$68,'FORM OH'!$I$316,CPQL!Y5:Y68)</f>
        <v>0</v>
      </c>
      <c r="AG316" s="537">
        <f ca="1">SUMIF(CPQL!$D$5:$W$68,'FORM OH'!$I$316,CPQL!Z5:Z68)</f>
        <v>0</v>
      </c>
      <c r="AH316" s="537">
        <f ca="1">SUMIF(CPQL!$D$5:$W$68,'FORM OH'!$I$316,CPQL!AA5:AA68)</f>
        <v>0</v>
      </c>
      <c r="AI316" s="537">
        <f ca="1">SUMIF(CPQL!$D$5:$W$68,'FORM OH'!$I$316,CPQL!AB5:AB68)</f>
        <v>0</v>
      </c>
      <c r="AJ316" s="537">
        <f ca="1">SUMIF(CPQL!$D$5:$W$68,'FORM OH'!$I$316,CPQL!AC5:AC68)</f>
        <v>0</v>
      </c>
      <c r="AK316" s="537">
        <f ca="1">SUMIF(CPQL!$D$5:$W$68,'FORM OH'!$I$316,CPQL!AD5:AD68)</f>
        <v>0</v>
      </c>
      <c r="AL316" s="537">
        <f ca="1">SUMIF(CPQL!$D$5:$W$68,'FORM OH'!$I$316,CPQL!AE5:AE68)</f>
        <v>0</v>
      </c>
      <c r="AM316" s="537">
        <f ca="1">SUMIF(CPQL!$D$5:$W$68,'FORM OH'!$I$316,CPQL!AF5:AF68)</f>
        <v>0</v>
      </c>
      <c r="AN316" s="537">
        <f ca="1">SUMIF(CPQL!$D$5:$W$68,'FORM OH'!$I$316,CPQL!AG5:AG68)</f>
        <v>0</v>
      </c>
      <c r="AO316" s="537">
        <f ca="1">SUMIF(CPQL!$D$5:$W$68,'FORM OH'!$I$316,CPQL!AH5:AH68)</f>
        <v>0</v>
      </c>
      <c r="AP316" s="537">
        <f ca="1">SUMIF(CPQL!$D$5:$W$68,'FORM OH'!$I$316,CPQL!AI5:AI68)</f>
        <v>0</v>
      </c>
      <c r="AQ316" s="537">
        <f ca="1">SUMIF(CPQL!$D$5:$W$68,'FORM OH'!$I$316,CPQL!AJ5:AJ68)</f>
        <v>0</v>
      </c>
      <c r="AR316" s="1284">
        <f t="shared" ca="1" si="48"/>
        <v>0</v>
      </c>
      <c r="AS316" s="1284">
        <f t="shared" ca="1" si="45"/>
        <v>0</v>
      </c>
      <c r="AT316" s="1297">
        <f t="shared" ca="1" si="46"/>
        <v>0</v>
      </c>
    </row>
    <row r="317" spans="1:46" s="539" customFormat="1" ht="16.399999999999999" customHeight="1" outlineLevel="1" x14ac:dyDescent="0.35">
      <c r="A317" s="534" t="s">
        <v>782</v>
      </c>
      <c r="B317" s="534" t="s">
        <v>783</v>
      </c>
      <c r="C317" s="535" t="s">
        <v>1418</v>
      </c>
      <c r="D317" s="536" t="s">
        <v>817</v>
      </c>
      <c r="E317" s="536" t="s">
        <v>818</v>
      </c>
      <c r="F317" s="536" t="s">
        <v>1048</v>
      </c>
      <c r="G317" s="536" t="s">
        <v>1431</v>
      </c>
      <c r="H317" s="536" t="s">
        <v>1049</v>
      </c>
      <c r="I317" s="535" t="s">
        <v>1529</v>
      </c>
      <c r="J317" s="536" t="s">
        <v>1054</v>
      </c>
      <c r="K317" s="536" t="s">
        <v>594</v>
      </c>
      <c r="L317" s="535" t="s">
        <v>1055</v>
      </c>
      <c r="M317" s="536" t="s">
        <v>1056</v>
      </c>
      <c r="N317" s="536"/>
      <c r="O317" s="535"/>
      <c r="P317" s="536"/>
      <c r="Q317" s="536"/>
      <c r="R317" s="537">
        <f ca="1">SUMIF(CPQL!$D$5:$W$68,'FORM OH'!$I$317,CPQL!K5:K68)</f>
        <v>0</v>
      </c>
      <c r="S317" s="537">
        <f ca="1">SUMIF(CPQL!$D$5:$W$68,'FORM OH'!$I$317,CPQL!L5:L68)</f>
        <v>0</v>
      </c>
      <c r="T317" s="537">
        <f ca="1">SUMIF(CPQL!$D$5:$W$68,'FORM OH'!$I$317,CPQL!M5:M68)</f>
        <v>0</v>
      </c>
      <c r="U317" s="537">
        <f ca="1">SUMIF(CPQL!$D$5:$W$68,'FORM OH'!$I$317,CPQL!N5:N68)</f>
        <v>0</v>
      </c>
      <c r="V317" s="537">
        <f ca="1">SUMIF(CPQL!$D$5:$W$68,'FORM OH'!$I$317,CPQL!O5:O68)</f>
        <v>0</v>
      </c>
      <c r="W317" s="537">
        <f ca="1">SUMIF(CPQL!$D$5:$W$68,'FORM OH'!$I$317,CPQL!P5:P68)</f>
        <v>0</v>
      </c>
      <c r="X317" s="537">
        <f ca="1">SUMIF(CPQL!$D$5:$W$68,'FORM OH'!$I$317,CPQL!Q5:Q68)</f>
        <v>0</v>
      </c>
      <c r="Y317" s="537">
        <f ca="1">SUMIF(CPQL!$D$5:$W$68,'FORM OH'!$I$317,CPQL!R5:R68)</f>
        <v>0</v>
      </c>
      <c r="Z317" s="537">
        <f ca="1">SUMIF(CPQL!$D$5:$W$68,'FORM OH'!$I$317,CPQL!S5:S68)</f>
        <v>0</v>
      </c>
      <c r="AA317" s="537">
        <f ca="1">SUMIF(CPQL!$D$5:$W$68,'FORM OH'!$I$317,CPQL!T5:T68)</f>
        <v>0</v>
      </c>
      <c r="AB317" s="537">
        <f ca="1">SUMIF(CPQL!$D$5:$W$68,'FORM OH'!$I$317,CPQL!U5:U68)</f>
        <v>0</v>
      </c>
      <c r="AC317" s="537">
        <f ca="1">SUMIF(CPQL!$D$5:$W$68,'FORM OH'!$I$317,CPQL!V5:V68)</f>
        <v>0</v>
      </c>
      <c r="AD317" s="537">
        <f t="shared" ca="1" si="47"/>
        <v>0</v>
      </c>
      <c r="AE317" s="533"/>
      <c r="AF317" s="537">
        <f ca="1">SUMIF(CPQL!$D$5:$W$68,'FORM OH'!$I$317,CPQL!Y5:Y68)</f>
        <v>0</v>
      </c>
      <c r="AG317" s="537">
        <f ca="1">SUMIF(CPQL!$D$5:$W$68,'FORM OH'!$I$317,CPQL!Z5:Z68)</f>
        <v>0</v>
      </c>
      <c r="AH317" s="537">
        <f ca="1">SUMIF(CPQL!$D$5:$W$68,'FORM OH'!$I$317,CPQL!AA5:AA68)</f>
        <v>0</v>
      </c>
      <c r="AI317" s="537">
        <f ca="1">SUMIF(CPQL!$D$5:$W$68,'FORM OH'!$I$317,CPQL!AB5:AB68)</f>
        <v>0</v>
      </c>
      <c r="AJ317" s="537">
        <f ca="1">SUMIF(CPQL!$D$5:$W$68,'FORM OH'!$I$317,CPQL!AC5:AC68)</f>
        <v>0</v>
      </c>
      <c r="AK317" s="537">
        <f ca="1">SUMIF(CPQL!$D$5:$W$68,'FORM OH'!$I$317,CPQL!AD5:AD68)</f>
        <v>0</v>
      </c>
      <c r="AL317" s="537">
        <f ca="1">SUMIF(CPQL!$D$5:$W$68,'FORM OH'!$I$317,CPQL!AE5:AE68)</f>
        <v>0</v>
      </c>
      <c r="AM317" s="537">
        <f ca="1">SUMIF(CPQL!$D$5:$W$68,'FORM OH'!$I$317,CPQL!AF5:AF68)</f>
        <v>0</v>
      </c>
      <c r="AN317" s="537">
        <f ca="1">SUMIF(CPQL!$D$5:$W$68,'FORM OH'!$I$317,CPQL!AG5:AG68)</f>
        <v>0</v>
      </c>
      <c r="AO317" s="537">
        <f ca="1">SUMIF(CPQL!$D$5:$W$68,'FORM OH'!$I$317,CPQL!AH5:AH68)</f>
        <v>0</v>
      </c>
      <c r="AP317" s="537">
        <f ca="1">SUMIF(CPQL!$D$5:$W$68,'FORM OH'!$I$317,CPQL!AI5:AI68)</f>
        <v>0</v>
      </c>
      <c r="AQ317" s="537">
        <f ca="1">SUMIF(CPQL!$D$5:$W$68,'FORM OH'!$I$317,CPQL!AJ5:AJ68)</f>
        <v>0</v>
      </c>
      <c r="AR317" s="1284">
        <f t="shared" ca="1" si="48"/>
        <v>0</v>
      </c>
      <c r="AS317" s="1284">
        <f t="shared" ca="1" si="45"/>
        <v>0</v>
      </c>
      <c r="AT317" s="1297">
        <f t="shared" ca="1" si="46"/>
        <v>0</v>
      </c>
    </row>
    <row r="318" spans="1:46" s="539" customFormat="1" ht="16.399999999999999" customHeight="1" outlineLevel="1" x14ac:dyDescent="0.35">
      <c r="A318" s="534" t="s">
        <v>782</v>
      </c>
      <c r="B318" s="534" t="s">
        <v>783</v>
      </c>
      <c r="C318" s="535" t="s">
        <v>1418</v>
      </c>
      <c r="D318" s="536" t="s">
        <v>817</v>
      </c>
      <c r="E318" s="536" t="s">
        <v>818</v>
      </c>
      <c r="F318" s="536" t="s">
        <v>1048</v>
      </c>
      <c r="G318" s="536" t="s">
        <v>1431</v>
      </c>
      <c r="H318" s="536" t="s">
        <v>1049</v>
      </c>
      <c r="I318" s="535" t="s">
        <v>1530</v>
      </c>
      <c r="J318" s="536" t="s">
        <v>1054</v>
      </c>
      <c r="K318" s="536" t="s">
        <v>594</v>
      </c>
      <c r="L318" s="535" t="s">
        <v>1055</v>
      </c>
      <c r="M318" s="536" t="s">
        <v>1056</v>
      </c>
      <c r="N318" s="536"/>
      <c r="O318" s="535"/>
      <c r="P318" s="536"/>
      <c r="Q318" s="536"/>
      <c r="R318" s="537">
        <f ca="1">SUMIF(CPQL!$D$5:$W$68,'FORM OH'!$I$318,CPQL!K5:K68)</f>
        <v>0</v>
      </c>
      <c r="S318" s="537">
        <f ca="1">SUMIF(CPQL!$D$5:$W$68,'FORM OH'!$I$318,CPQL!L5:L68)</f>
        <v>0</v>
      </c>
      <c r="T318" s="537">
        <f ca="1">SUMIF(CPQL!$D$5:$W$68,'FORM OH'!$I$318,CPQL!M5:M68)</f>
        <v>0</v>
      </c>
      <c r="U318" s="537">
        <f ca="1">SUMIF(CPQL!$D$5:$W$68,'FORM OH'!$I$318,CPQL!N5:N68)</f>
        <v>0</v>
      </c>
      <c r="V318" s="537">
        <f ca="1">SUMIF(CPQL!$D$5:$W$68,'FORM OH'!$I$318,CPQL!O5:O68)</f>
        <v>0</v>
      </c>
      <c r="W318" s="537">
        <f ca="1">SUMIF(CPQL!$D$5:$W$68,'FORM OH'!$I$318,CPQL!P5:P68)</f>
        <v>0</v>
      </c>
      <c r="X318" s="537">
        <f ca="1">SUMIF(CPQL!$D$5:$W$68,'FORM OH'!$I$318,CPQL!Q5:Q68)</f>
        <v>0</v>
      </c>
      <c r="Y318" s="537">
        <f ca="1">SUMIF(CPQL!$D$5:$W$68,'FORM OH'!$I$318,CPQL!R5:R68)</f>
        <v>0</v>
      </c>
      <c r="Z318" s="537">
        <f ca="1">SUMIF(CPQL!$D$5:$W$68,'FORM OH'!$I$318,CPQL!S5:S68)</f>
        <v>0</v>
      </c>
      <c r="AA318" s="537">
        <f ca="1">SUMIF(CPQL!$D$5:$W$68,'FORM OH'!$I$318,CPQL!T5:T68)</f>
        <v>0</v>
      </c>
      <c r="AB318" s="537">
        <f ca="1">SUMIF(CPQL!$D$5:$W$68,'FORM OH'!$I$318,CPQL!U5:U68)</f>
        <v>0</v>
      </c>
      <c r="AC318" s="537">
        <f ca="1">SUMIF(CPQL!$D$5:$W$68,'FORM OH'!$I$318,CPQL!V5:V68)</f>
        <v>0</v>
      </c>
      <c r="AD318" s="537">
        <f t="shared" ca="1" si="47"/>
        <v>0</v>
      </c>
      <c r="AE318" s="533"/>
      <c r="AF318" s="537">
        <f ca="1">SUMIF(CPQL!$D$5:$W$68,'FORM OH'!$I$318,CPQL!Y5:Y68)</f>
        <v>0</v>
      </c>
      <c r="AG318" s="537">
        <f ca="1">SUMIF(CPQL!$D$5:$W$68,'FORM OH'!$I$318,CPQL!Z5:Z68)</f>
        <v>0</v>
      </c>
      <c r="AH318" s="537">
        <f ca="1">SUMIF(CPQL!$D$5:$W$68,'FORM OH'!$I$318,CPQL!AA5:AA68)</f>
        <v>0</v>
      </c>
      <c r="AI318" s="537">
        <f ca="1">SUMIF(CPQL!$D$5:$W$68,'FORM OH'!$I$318,CPQL!AB5:AB68)</f>
        <v>0</v>
      </c>
      <c r="AJ318" s="537">
        <f ca="1">SUMIF(CPQL!$D$5:$W$68,'FORM OH'!$I$318,CPQL!AC5:AC68)</f>
        <v>0</v>
      </c>
      <c r="AK318" s="537">
        <f ca="1">SUMIF(CPQL!$D$5:$W$68,'FORM OH'!$I$318,CPQL!AD5:AD68)</f>
        <v>0</v>
      </c>
      <c r="AL318" s="537">
        <f ca="1">SUMIF(CPQL!$D$5:$W$68,'FORM OH'!$I$318,CPQL!AE5:AE68)</f>
        <v>0</v>
      </c>
      <c r="AM318" s="537">
        <f ca="1">SUMIF(CPQL!$D$5:$W$68,'FORM OH'!$I$318,CPQL!AF5:AF68)</f>
        <v>0</v>
      </c>
      <c r="AN318" s="537">
        <f ca="1">SUMIF(CPQL!$D$5:$W$68,'FORM OH'!$I$318,CPQL!AG5:AG68)</f>
        <v>0</v>
      </c>
      <c r="AO318" s="537">
        <f ca="1">SUMIF(CPQL!$D$5:$W$68,'FORM OH'!$I$318,CPQL!AH5:AH68)</f>
        <v>0</v>
      </c>
      <c r="AP318" s="537">
        <f ca="1">SUMIF(CPQL!$D$5:$W$68,'FORM OH'!$I$318,CPQL!AI5:AI68)</f>
        <v>0</v>
      </c>
      <c r="AQ318" s="537">
        <f ca="1">SUMIF(CPQL!$D$5:$W$68,'FORM OH'!$I$318,CPQL!AJ5:AJ68)</f>
        <v>0</v>
      </c>
      <c r="AR318" s="1284">
        <f t="shared" ca="1" si="48"/>
        <v>0</v>
      </c>
      <c r="AS318" s="1284">
        <f t="shared" ca="1" si="45"/>
        <v>0</v>
      </c>
      <c r="AT318" s="1297">
        <f t="shared" ca="1" si="46"/>
        <v>0</v>
      </c>
    </row>
    <row r="319" spans="1:46" s="539" customFormat="1" ht="16.399999999999999" customHeight="1" outlineLevel="1" x14ac:dyDescent="0.35">
      <c r="A319" s="534" t="s">
        <v>782</v>
      </c>
      <c r="B319" s="534" t="s">
        <v>783</v>
      </c>
      <c r="C319" s="535" t="s">
        <v>1418</v>
      </c>
      <c r="D319" s="536" t="s">
        <v>817</v>
      </c>
      <c r="E319" s="536" t="s">
        <v>818</v>
      </c>
      <c r="F319" s="536" t="s">
        <v>1048</v>
      </c>
      <c r="G319" s="536" t="s">
        <v>1431</v>
      </c>
      <c r="H319" s="536" t="s">
        <v>1049</v>
      </c>
      <c r="I319" s="535" t="s">
        <v>1531</v>
      </c>
      <c r="J319" s="536" t="s">
        <v>1059</v>
      </c>
      <c r="K319" s="536" t="s">
        <v>594</v>
      </c>
      <c r="L319" s="535" t="s">
        <v>1060</v>
      </c>
      <c r="M319" s="536" t="s">
        <v>1061</v>
      </c>
      <c r="N319" s="536"/>
      <c r="O319" s="535"/>
      <c r="P319" s="536"/>
      <c r="Q319" s="536"/>
      <c r="R319" s="537">
        <f ca="1">SUMIF(CPQL!$D$5:$W$68,'FORM OH'!$I$319,CPQL!K5:K68)</f>
        <v>0</v>
      </c>
      <c r="S319" s="537">
        <f ca="1">SUMIF(CPQL!$D$5:$W$68,'FORM OH'!$I$319,CPQL!L5:L68)</f>
        <v>0</v>
      </c>
      <c r="T319" s="537">
        <f ca="1">SUMIF(CPQL!$D$5:$W$68,'FORM OH'!$I$319,CPQL!M5:M68)</f>
        <v>0</v>
      </c>
      <c r="U319" s="537">
        <f ca="1">SUMIF(CPQL!$D$5:$W$68,'FORM OH'!$I$319,CPQL!N5:N68)</f>
        <v>0</v>
      </c>
      <c r="V319" s="537">
        <f ca="1">SUMIF(CPQL!$D$5:$W$68,'FORM OH'!$I$319,CPQL!O5:O68)</f>
        <v>0</v>
      </c>
      <c r="W319" s="537">
        <f ca="1">SUMIF(CPQL!$D$5:$W$68,'FORM OH'!$I$319,CPQL!P5:P68)</f>
        <v>0</v>
      </c>
      <c r="X319" s="537">
        <f ca="1">SUMIF(CPQL!$D$5:$W$68,'FORM OH'!$I$319,CPQL!Q5:Q68)</f>
        <v>0</v>
      </c>
      <c r="Y319" s="537">
        <f ca="1">SUMIF(CPQL!$D$5:$W$68,'FORM OH'!$I$319,CPQL!R5:R68)</f>
        <v>0</v>
      </c>
      <c r="Z319" s="537">
        <f ca="1">SUMIF(CPQL!$D$5:$W$68,'FORM OH'!$I$319,CPQL!S5:S68)</f>
        <v>0</v>
      </c>
      <c r="AA319" s="537">
        <f ca="1">SUMIF(CPQL!$D$5:$W$68,'FORM OH'!$I$319,CPQL!T5:T68)</f>
        <v>0</v>
      </c>
      <c r="AB319" s="537">
        <f ca="1">SUMIF(CPQL!$D$5:$W$68,'FORM OH'!$I$319,CPQL!U5:U68)</f>
        <v>0</v>
      </c>
      <c r="AC319" s="537">
        <f ca="1">SUMIF(CPQL!$D$5:$W$68,'FORM OH'!$I$319,CPQL!V5:V68)</f>
        <v>0</v>
      </c>
      <c r="AD319" s="537">
        <f t="shared" ca="1" si="47"/>
        <v>0</v>
      </c>
      <c r="AE319" s="533"/>
      <c r="AF319" s="537">
        <f ca="1">SUMIF(CPQL!$D$5:$W$68,'FORM OH'!$I$319,CPQL!Y5:Y68)</f>
        <v>0</v>
      </c>
      <c r="AG319" s="537">
        <f ca="1">SUMIF(CPQL!$D$5:$W$68,'FORM OH'!$I$319,CPQL!Z5:Z68)</f>
        <v>0</v>
      </c>
      <c r="AH319" s="537">
        <f ca="1">SUMIF(CPQL!$D$5:$W$68,'FORM OH'!$I$319,CPQL!AA5:AA68)</f>
        <v>0</v>
      </c>
      <c r="AI319" s="537">
        <f ca="1">SUMIF(CPQL!$D$5:$W$68,'FORM OH'!$I$319,CPQL!AB5:AB68)</f>
        <v>0</v>
      </c>
      <c r="AJ319" s="537">
        <f ca="1">SUMIF(CPQL!$D$5:$W$68,'FORM OH'!$I$319,CPQL!AC5:AC68)</f>
        <v>0</v>
      </c>
      <c r="AK319" s="537">
        <f ca="1">SUMIF(CPQL!$D$5:$W$68,'FORM OH'!$I$319,CPQL!AD5:AD68)</f>
        <v>0</v>
      </c>
      <c r="AL319" s="537">
        <f ca="1">SUMIF(CPQL!$D$5:$W$68,'FORM OH'!$I$319,CPQL!AE5:AE68)</f>
        <v>0</v>
      </c>
      <c r="AM319" s="537">
        <f ca="1">SUMIF(CPQL!$D$5:$W$68,'FORM OH'!$I$319,CPQL!AF5:AF68)</f>
        <v>0</v>
      </c>
      <c r="AN319" s="537">
        <f ca="1">SUMIF(CPQL!$D$5:$W$68,'FORM OH'!$I$319,CPQL!AG5:AG68)</f>
        <v>0</v>
      </c>
      <c r="AO319" s="537">
        <f ca="1">SUMIF(CPQL!$D$5:$W$68,'FORM OH'!$I$319,CPQL!AH5:AH68)</f>
        <v>0</v>
      </c>
      <c r="AP319" s="537">
        <f ca="1">SUMIF(CPQL!$D$5:$W$68,'FORM OH'!$I$319,CPQL!AI5:AI68)</f>
        <v>0</v>
      </c>
      <c r="AQ319" s="537">
        <f ca="1">SUMIF(CPQL!$D$5:$W$68,'FORM OH'!$I$319,CPQL!AJ5:AJ68)</f>
        <v>0</v>
      </c>
      <c r="AR319" s="1284">
        <f t="shared" ca="1" si="48"/>
        <v>0</v>
      </c>
      <c r="AS319" s="1284">
        <f t="shared" ca="1" si="45"/>
        <v>0</v>
      </c>
      <c r="AT319" s="1297">
        <f t="shared" ca="1" si="46"/>
        <v>0</v>
      </c>
    </row>
    <row r="320" spans="1:46" s="539" customFormat="1" ht="16.399999999999999" customHeight="1" outlineLevel="1" x14ac:dyDescent="0.35">
      <c r="A320" s="534" t="s">
        <v>782</v>
      </c>
      <c r="B320" s="534" t="s">
        <v>783</v>
      </c>
      <c r="C320" s="535" t="s">
        <v>1418</v>
      </c>
      <c r="D320" s="536" t="s">
        <v>817</v>
      </c>
      <c r="E320" s="536" t="s">
        <v>818</v>
      </c>
      <c r="F320" s="536" t="s">
        <v>1048</v>
      </c>
      <c r="G320" s="536" t="s">
        <v>1431</v>
      </c>
      <c r="H320" s="536" t="s">
        <v>1049</v>
      </c>
      <c r="I320" s="535" t="s">
        <v>1532</v>
      </c>
      <c r="J320" s="536" t="s">
        <v>1059</v>
      </c>
      <c r="K320" s="536" t="s">
        <v>594</v>
      </c>
      <c r="L320" s="535" t="s">
        <v>1060</v>
      </c>
      <c r="M320" s="536" t="s">
        <v>1061</v>
      </c>
      <c r="N320" s="536"/>
      <c r="O320" s="535"/>
      <c r="P320" s="536"/>
      <c r="Q320" s="536"/>
      <c r="R320" s="537">
        <f ca="1">SUMIF(CPQL!$D$5:$W$68,'FORM OH'!$I$320,CPQL!K5:K68)</f>
        <v>0</v>
      </c>
      <c r="S320" s="537">
        <f ca="1">SUMIF(CPQL!$D$5:$W$68,'FORM OH'!$I$320,CPQL!L5:L68)</f>
        <v>0</v>
      </c>
      <c r="T320" s="537">
        <f ca="1">SUMIF(CPQL!$D$5:$W$68,'FORM OH'!$I$320,CPQL!M5:M68)</f>
        <v>0</v>
      </c>
      <c r="U320" s="537">
        <f ca="1">SUMIF(CPQL!$D$5:$W$68,'FORM OH'!$I$320,CPQL!N5:N68)</f>
        <v>0</v>
      </c>
      <c r="V320" s="537">
        <f ca="1">SUMIF(CPQL!$D$5:$W$68,'FORM OH'!$I$320,CPQL!O5:O68)</f>
        <v>0</v>
      </c>
      <c r="W320" s="537">
        <f ca="1">SUMIF(CPQL!$D$5:$W$68,'FORM OH'!$I$320,CPQL!P5:P68)</f>
        <v>0</v>
      </c>
      <c r="X320" s="537">
        <f ca="1">SUMIF(CPQL!$D$5:$W$68,'FORM OH'!$I$320,CPQL!Q5:Q68)</f>
        <v>0</v>
      </c>
      <c r="Y320" s="537">
        <f ca="1">SUMIF(CPQL!$D$5:$W$68,'FORM OH'!$I$320,CPQL!R5:R68)</f>
        <v>0</v>
      </c>
      <c r="Z320" s="537">
        <f ca="1">SUMIF(CPQL!$D$5:$W$68,'FORM OH'!$I$320,CPQL!S5:S68)</f>
        <v>0</v>
      </c>
      <c r="AA320" s="537">
        <f ca="1">SUMIF(CPQL!$D$5:$W$68,'FORM OH'!$I$320,CPQL!T5:T68)</f>
        <v>0</v>
      </c>
      <c r="AB320" s="537">
        <f ca="1">SUMIF(CPQL!$D$5:$W$68,'FORM OH'!$I$320,CPQL!U5:U68)</f>
        <v>0</v>
      </c>
      <c r="AC320" s="537">
        <f ca="1">SUMIF(CPQL!$D$5:$W$68,'FORM OH'!$I$320,CPQL!V5:V68)</f>
        <v>0</v>
      </c>
      <c r="AD320" s="537">
        <f t="shared" ca="1" si="47"/>
        <v>0</v>
      </c>
      <c r="AE320" s="533"/>
      <c r="AF320" s="537">
        <f ca="1">SUMIF(CPQL!$D$5:$W$68,'FORM OH'!$I$320,CPQL!Y5:Y68)</f>
        <v>0</v>
      </c>
      <c r="AG320" s="537">
        <f ca="1">SUMIF(CPQL!$D$5:$W$68,'FORM OH'!$I$320,CPQL!Z5:Z68)</f>
        <v>0</v>
      </c>
      <c r="AH320" s="537">
        <f ca="1">SUMIF(CPQL!$D$5:$W$68,'FORM OH'!$I$320,CPQL!AA5:AA68)</f>
        <v>0</v>
      </c>
      <c r="AI320" s="537">
        <f ca="1">SUMIF(CPQL!$D$5:$W$68,'FORM OH'!$I$320,CPQL!AB5:AB68)</f>
        <v>0</v>
      </c>
      <c r="AJ320" s="537">
        <f ca="1">SUMIF(CPQL!$D$5:$W$68,'FORM OH'!$I$320,CPQL!AC5:AC68)</f>
        <v>0</v>
      </c>
      <c r="AK320" s="537">
        <f ca="1">SUMIF(CPQL!$D$5:$W$68,'FORM OH'!$I$320,CPQL!AD5:AD68)</f>
        <v>0</v>
      </c>
      <c r="AL320" s="537">
        <f ca="1">SUMIF(CPQL!$D$5:$W$68,'FORM OH'!$I$320,CPQL!AE5:AE68)</f>
        <v>0</v>
      </c>
      <c r="AM320" s="537">
        <f ca="1">SUMIF(CPQL!$D$5:$W$68,'FORM OH'!$I$320,CPQL!AF5:AF68)</f>
        <v>0</v>
      </c>
      <c r="AN320" s="537">
        <f ca="1">SUMIF(CPQL!$D$5:$W$68,'FORM OH'!$I$320,CPQL!AG5:AG68)</f>
        <v>0</v>
      </c>
      <c r="AO320" s="537">
        <f ca="1">SUMIF(CPQL!$D$5:$W$68,'FORM OH'!$I$320,CPQL!AH5:AH68)</f>
        <v>0</v>
      </c>
      <c r="AP320" s="537">
        <f ca="1">SUMIF(CPQL!$D$5:$W$68,'FORM OH'!$I$320,CPQL!AI5:AI68)</f>
        <v>0</v>
      </c>
      <c r="AQ320" s="537">
        <f ca="1">SUMIF(CPQL!$D$5:$W$68,'FORM OH'!$I$320,CPQL!AJ5:AJ68)</f>
        <v>0</v>
      </c>
      <c r="AR320" s="1284">
        <f t="shared" ca="1" si="48"/>
        <v>0</v>
      </c>
      <c r="AS320" s="1284">
        <f t="shared" ca="1" si="45"/>
        <v>0</v>
      </c>
      <c r="AT320" s="1297">
        <f t="shared" ca="1" si="46"/>
        <v>0</v>
      </c>
    </row>
    <row r="321" spans="1:46" s="539" customFormat="1" ht="16.399999999999999" customHeight="1" outlineLevel="1" x14ac:dyDescent="0.35">
      <c r="A321" s="534" t="s">
        <v>782</v>
      </c>
      <c r="B321" s="534" t="s">
        <v>783</v>
      </c>
      <c r="C321" s="535" t="s">
        <v>1418</v>
      </c>
      <c r="D321" s="536" t="s">
        <v>817</v>
      </c>
      <c r="E321" s="536" t="s">
        <v>818</v>
      </c>
      <c r="F321" s="536" t="s">
        <v>1048</v>
      </c>
      <c r="G321" s="536" t="s">
        <v>1431</v>
      </c>
      <c r="H321" s="536" t="s">
        <v>1049</v>
      </c>
      <c r="I321" s="535" t="s">
        <v>1533</v>
      </c>
      <c r="J321" s="536" t="s">
        <v>1059</v>
      </c>
      <c r="K321" s="536" t="s">
        <v>594</v>
      </c>
      <c r="L321" s="535" t="s">
        <v>1060</v>
      </c>
      <c r="M321" s="536" t="s">
        <v>1061</v>
      </c>
      <c r="N321" s="536"/>
      <c r="O321" s="535"/>
      <c r="P321" s="536"/>
      <c r="Q321" s="536"/>
      <c r="R321" s="537">
        <f ca="1">SUMIF(CPQL!$D$5:$W$68,'FORM OH'!$I$321,CPQL!K5:K68)</f>
        <v>0</v>
      </c>
      <c r="S321" s="537">
        <f ca="1">SUMIF(CPQL!$D$5:$W$68,'FORM OH'!$I$321,CPQL!L5:L68)</f>
        <v>0</v>
      </c>
      <c r="T321" s="537">
        <f ca="1">SUMIF(CPQL!$D$5:$W$68,'FORM OH'!$I$321,CPQL!M5:M68)</f>
        <v>0</v>
      </c>
      <c r="U321" s="537">
        <f ca="1">SUMIF(CPQL!$D$5:$W$68,'FORM OH'!$I$321,CPQL!N5:N68)</f>
        <v>0</v>
      </c>
      <c r="V321" s="537">
        <f ca="1">SUMIF(CPQL!$D$5:$W$68,'FORM OH'!$I$321,CPQL!O5:O68)</f>
        <v>0</v>
      </c>
      <c r="W321" s="537">
        <f ca="1">SUMIF(CPQL!$D$5:$W$68,'FORM OH'!$I$321,CPQL!P5:P68)</f>
        <v>0</v>
      </c>
      <c r="X321" s="537">
        <f ca="1">SUMIF(CPQL!$D$5:$W$68,'FORM OH'!$I$321,CPQL!Q5:Q68)</f>
        <v>0</v>
      </c>
      <c r="Y321" s="537">
        <f ca="1">SUMIF(CPQL!$D$5:$W$68,'FORM OH'!$I$321,CPQL!R5:R68)</f>
        <v>0</v>
      </c>
      <c r="Z321" s="537">
        <f ca="1">SUMIF(CPQL!$D$5:$W$68,'FORM OH'!$I$321,CPQL!S5:S68)</f>
        <v>0</v>
      </c>
      <c r="AA321" s="537">
        <f ca="1">SUMIF(CPQL!$D$5:$W$68,'FORM OH'!$I$321,CPQL!T5:T68)</f>
        <v>0</v>
      </c>
      <c r="AB321" s="537">
        <f ca="1">SUMIF(CPQL!$D$5:$W$68,'FORM OH'!$I$321,CPQL!U5:U68)</f>
        <v>0</v>
      </c>
      <c r="AC321" s="537">
        <f ca="1">SUMIF(CPQL!$D$5:$W$68,'FORM OH'!$I$321,CPQL!V5:V68)</f>
        <v>0</v>
      </c>
      <c r="AD321" s="537">
        <f t="shared" ca="1" si="47"/>
        <v>0</v>
      </c>
      <c r="AE321" s="533"/>
      <c r="AF321" s="537">
        <f ca="1">SUMIF(CPQL!$D$5:$W$68,'FORM OH'!$I$321,CPQL!Y5:Y68)</f>
        <v>0</v>
      </c>
      <c r="AG321" s="537">
        <f ca="1">SUMIF(CPQL!$D$5:$W$68,'FORM OH'!$I$321,CPQL!Z5:Z68)</f>
        <v>0</v>
      </c>
      <c r="AH321" s="537">
        <f ca="1">SUMIF(CPQL!$D$5:$W$68,'FORM OH'!$I$321,CPQL!AA5:AA68)</f>
        <v>0</v>
      </c>
      <c r="AI321" s="537">
        <f ca="1">SUMIF(CPQL!$D$5:$W$68,'FORM OH'!$I$321,CPQL!AB5:AB68)</f>
        <v>0</v>
      </c>
      <c r="AJ321" s="537">
        <f ca="1">SUMIF(CPQL!$D$5:$W$68,'FORM OH'!$I$321,CPQL!AC5:AC68)</f>
        <v>0</v>
      </c>
      <c r="AK321" s="537">
        <f ca="1">SUMIF(CPQL!$D$5:$W$68,'FORM OH'!$I$321,CPQL!AD5:AD68)</f>
        <v>0</v>
      </c>
      <c r="AL321" s="537">
        <f ca="1">SUMIF(CPQL!$D$5:$W$68,'FORM OH'!$I$321,CPQL!AE5:AE68)</f>
        <v>0</v>
      </c>
      <c r="AM321" s="537">
        <f ca="1">SUMIF(CPQL!$D$5:$W$68,'FORM OH'!$I$321,CPQL!AF5:AF68)</f>
        <v>0</v>
      </c>
      <c r="AN321" s="537">
        <f ca="1">SUMIF(CPQL!$D$5:$W$68,'FORM OH'!$I$321,CPQL!AG5:AG68)</f>
        <v>0</v>
      </c>
      <c r="AO321" s="537">
        <f ca="1">SUMIF(CPQL!$D$5:$W$68,'FORM OH'!$I$321,CPQL!AH5:AH68)</f>
        <v>0</v>
      </c>
      <c r="AP321" s="537">
        <f ca="1">SUMIF(CPQL!$D$5:$W$68,'FORM OH'!$I$321,CPQL!AI5:AI68)</f>
        <v>0</v>
      </c>
      <c r="AQ321" s="537">
        <f ca="1">SUMIF(CPQL!$D$5:$W$68,'FORM OH'!$I$321,CPQL!AJ5:AJ68)</f>
        <v>0</v>
      </c>
      <c r="AR321" s="1284">
        <f t="shared" ca="1" si="48"/>
        <v>0</v>
      </c>
      <c r="AS321" s="1284">
        <f t="shared" ca="1" si="45"/>
        <v>0</v>
      </c>
      <c r="AT321" s="1297">
        <f t="shared" ca="1" si="46"/>
        <v>0</v>
      </c>
    </row>
    <row r="322" spans="1:46" s="539" customFormat="1" ht="16.399999999999999" customHeight="1" outlineLevel="1" x14ac:dyDescent="0.35">
      <c r="A322" s="534" t="s">
        <v>782</v>
      </c>
      <c r="B322" s="534" t="s">
        <v>783</v>
      </c>
      <c r="C322" s="535" t="s">
        <v>1418</v>
      </c>
      <c r="D322" s="536" t="s">
        <v>817</v>
      </c>
      <c r="E322" s="536" t="s">
        <v>818</v>
      </c>
      <c r="F322" s="536" t="s">
        <v>1068</v>
      </c>
      <c r="G322" s="536" t="s">
        <v>1431</v>
      </c>
      <c r="H322" s="536" t="s">
        <v>1069</v>
      </c>
      <c r="I322" s="535" t="s">
        <v>1534</v>
      </c>
      <c r="J322" s="536" t="s">
        <v>488</v>
      </c>
      <c r="K322" s="536" t="s">
        <v>596</v>
      </c>
      <c r="L322" s="535" t="s">
        <v>1379</v>
      </c>
      <c r="M322" s="536" t="s">
        <v>1380</v>
      </c>
      <c r="N322" s="536"/>
      <c r="O322" s="535"/>
      <c r="P322" s="536"/>
      <c r="Q322" s="536"/>
      <c r="R322" s="537">
        <f ca="1">SUMIF(CPQL!$D$5:$W$68,'FORM OH'!$I$322,CPQL!K5:K68)</f>
        <v>0</v>
      </c>
      <c r="S322" s="537">
        <f ca="1">SUMIF(CPQL!$D$5:$W$68,'FORM OH'!$I$322,CPQL!L5:L68)</f>
        <v>0</v>
      </c>
      <c r="T322" s="537">
        <f ca="1">SUMIF(CPQL!$D$5:$W$68,'FORM OH'!$I$322,CPQL!M5:M68)</f>
        <v>0</v>
      </c>
      <c r="U322" s="537">
        <f ca="1">SUMIF(CPQL!$D$5:$W$68,'FORM OH'!$I$322,CPQL!N5:N68)</f>
        <v>0</v>
      </c>
      <c r="V322" s="537">
        <f ca="1">SUMIF(CPQL!$D$5:$W$68,'FORM OH'!$I$322,CPQL!O5:O68)</f>
        <v>0</v>
      </c>
      <c r="W322" s="537">
        <f ca="1">SUMIF(CPQL!$D$5:$W$68,'FORM OH'!$I$322,CPQL!P5:P68)</f>
        <v>0</v>
      </c>
      <c r="X322" s="537">
        <f ca="1">SUMIF(CPQL!$D$5:$W$68,'FORM OH'!$I$322,CPQL!Q5:Q68)</f>
        <v>0</v>
      </c>
      <c r="Y322" s="537">
        <f ca="1">SUMIF(CPQL!$D$5:$W$68,'FORM OH'!$I$322,CPQL!R5:R68)</f>
        <v>0</v>
      </c>
      <c r="Z322" s="537">
        <f ca="1">SUMIF(CPQL!$D$5:$W$68,'FORM OH'!$I$322,CPQL!S5:S68)</f>
        <v>0</v>
      </c>
      <c r="AA322" s="537">
        <f ca="1">SUMIF(CPQL!$D$5:$W$68,'FORM OH'!$I$322,CPQL!T5:T68)</f>
        <v>0</v>
      </c>
      <c r="AB322" s="537">
        <f ca="1">SUMIF(CPQL!$D$5:$W$68,'FORM OH'!$I$322,CPQL!U5:U68)</f>
        <v>0</v>
      </c>
      <c r="AC322" s="537">
        <f ca="1">SUMIF(CPQL!$D$5:$W$68,'FORM OH'!$I$322,CPQL!V5:V68)</f>
        <v>0</v>
      </c>
      <c r="AD322" s="537">
        <f t="shared" ca="1" si="47"/>
        <v>0</v>
      </c>
      <c r="AE322" s="533"/>
      <c r="AF322" s="537">
        <f ca="1">SUMIF(CPQL!$D$5:$W$68,'FORM OH'!$I$322,CPQL!Y5:Y68)</f>
        <v>0</v>
      </c>
      <c r="AG322" s="537">
        <f ca="1">SUMIF(CPQL!$D$5:$W$68,'FORM OH'!$I$322,CPQL!Z5:Z68)</f>
        <v>0</v>
      </c>
      <c r="AH322" s="537">
        <f ca="1">SUMIF(CPQL!$D$5:$W$68,'FORM OH'!$I$322,CPQL!AA5:AA68)</f>
        <v>0</v>
      </c>
      <c r="AI322" s="537">
        <f ca="1">SUMIF(CPQL!$D$5:$W$68,'FORM OH'!$I$322,CPQL!AB5:AB68)</f>
        <v>0</v>
      </c>
      <c r="AJ322" s="537">
        <f ca="1">SUMIF(CPQL!$D$5:$W$68,'FORM OH'!$I$322,CPQL!AC5:AC68)</f>
        <v>0</v>
      </c>
      <c r="AK322" s="537">
        <f ca="1">SUMIF(CPQL!$D$5:$W$68,'FORM OH'!$I$322,CPQL!AD5:AD68)</f>
        <v>0</v>
      </c>
      <c r="AL322" s="537">
        <f ca="1">SUMIF(CPQL!$D$5:$W$68,'FORM OH'!$I$322,CPQL!AE5:AE68)</f>
        <v>0</v>
      </c>
      <c r="AM322" s="537">
        <f ca="1">SUMIF(CPQL!$D$5:$W$68,'FORM OH'!$I$322,CPQL!AF5:AF68)</f>
        <v>0</v>
      </c>
      <c r="AN322" s="537">
        <f ca="1">SUMIF(CPQL!$D$5:$W$68,'FORM OH'!$I$322,CPQL!AG5:AG68)</f>
        <v>0</v>
      </c>
      <c r="AO322" s="537">
        <f ca="1">SUMIF(CPQL!$D$5:$W$68,'FORM OH'!$I$322,CPQL!AH5:AH68)</f>
        <v>0</v>
      </c>
      <c r="AP322" s="537">
        <f ca="1">SUMIF(CPQL!$D$5:$W$68,'FORM OH'!$I$322,CPQL!AI5:AI68)</f>
        <v>0</v>
      </c>
      <c r="AQ322" s="537">
        <f ca="1">SUMIF(CPQL!$D$5:$W$68,'FORM OH'!$I$322,CPQL!AJ5:AJ68)</f>
        <v>0</v>
      </c>
      <c r="AR322" s="1284">
        <f t="shared" ca="1" si="48"/>
        <v>0</v>
      </c>
      <c r="AS322" s="1284">
        <f t="shared" ca="1" si="45"/>
        <v>0</v>
      </c>
      <c r="AT322" s="1297">
        <f t="shared" ca="1" si="46"/>
        <v>0</v>
      </c>
    </row>
    <row r="323" spans="1:46" s="539" customFormat="1" ht="16.399999999999999" customHeight="1" outlineLevel="1" x14ac:dyDescent="0.35">
      <c r="A323" s="534" t="s">
        <v>782</v>
      </c>
      <c r="B323" s="534" t="s">
        <v>783</v>
      </c>
      <c r="C323" s="535" t="s">
        <v>1418</v>
      </c>
      <c r="D323" s="536" t="s">
        <v>817</v>
      </c>
      <c r="E323" s="536" t="s">
        <v>818</v>
      </c>
      <c r="F323" s="536" t="s">
        <v>1068</v>
      </c>
      <c r="G323" s="536" t="s">
        <v>1431</v>
      </c>
      <c r="H323" s="536" t="s">
        <v>1069</v>
      </c>
      <c r="I323" s="535" t="s">
        <v>1535</v>
      </c>
      <c r="J323" s="536" t="s">
        <v>489</v>
      </c>
      <c r="K323" s="536" t="s">
        <v>594</v>
      </c>
      <c r="L323" s="535" t="s">
        <v>1382</v>
      </c>
      <c r="M323" s="536" t="s">
        <v>1383</v>
      </c>
      <c r="N323" s="536"/>
      <c r="O323" s="535"/>
      <c r="P323" s="536"/>
      <c r="Q323" s="536"/>
      <c r="R323" s="537">
        <f ca="1">SUMIF(CPQL!$D$5:$W$68,'FORM OH'!$I$323,CPQL!K5:K68)</f>
        <v>0</v>
      </c>
      <c r="S323" s="537">
        <f ca="1">SUMIF(CPQL!$D$5:$W$68,'FORM OH'!$I$323,CPQL!L5:L68)</f>
        <v>0</v>
      </c>
      <c r="T323" s="537">
        <f ca="1">SUMIF(CPQL!$D$5:$W$68,'FORM OH'!$I$323,CPQL!M5:M68)</f>
        <v>0</v>
      </c>
      <c r="U323" s="537">
        <f ca="1">SUMIF(CPQL!$D$5:$W$68,'FORM OH'!$I$323,CPQL!N5:N68)</f>
        <v>0</v>
      </c>
      <c r="V323" s="537">
        <f ca="1">SUMIF(CPQL!$D$5:$W$68,'FORM OH'!$I$323,CPQL!O5:O68)</f>
        <v>0</v>
      </c>
      <c r="W323" s="537">
        <f ca="1">SUMIF(CPQL!$D$5:$W$68,'FORM OH'!$I$323,CPQL!P5:P68)</f>
        <v>0</v>
      </c>
      <c r="X323" s="537">
        <f ca="1">SUMIF(CPQL!$D$5:$W$68,'FORM OH'!$I$323,CPQL!Q5:Q68)</f>
        <v>0</v>
      </c>
      <c r="Y323" s="537">
        <f ca="1">SUMIF(CPQL!$D$5:$W$68,'FORM OH'!$I$323,CPQL!R5:R68)</f>
        <v>0</v>
      </c>
      <c r="Z323" s="537">
        <f ca="1">SUMIF(CPQL!$D$5:$W$68,'FORM OH'!$I$323,CPQL!S5:S68)</f>
        <v>0</v>
      </c>
      <c r="AA323" s="537">
        <f ca="1">SUMIF(CPQL!$D$5:$W$68,'FORM OH'!$I$323,CPQL!T5:T68)</f>
        <v>0</v>
      </c>
      <c r="AB323" s="537">
        <f ca="1">SUMIF(CPQL!$D$5:$W$68,'FORM OH'!$I$323,CPQL!U5:U68)</f>
        <v>0</v>
      </c>
      <c r="AC323" s="537">
        <f ca="1">SUMIF(CPQL!$D$5:$W$68,'FORM OH'!$I$323,CPQL!V5:V68)</f>
        <v>0</v>
      </c>
      <c r="AD323" s="537">
        <f t="shared" ca="1" si="47"/>
        <v>0</v>
      </c>
      <c r="AE323" s="533"/>
      <c r="AF323" s="537">
        <f ca="1">SUMIF(CPQL!$D$5:$W$68,'FORM OH'!$I$323,CPQL!Y5:Y68)</f>
        <v>0</v>
      </c>
      <c r="AG323" s="537">
        <f ca="1">SUMIF(CPQL!$D$5:$W$68,'FORM OH'!$I$323,CPQL!Z5:Z68)</f>
        <v>0</v>
      </c>
      <c r="AH323" s="537">
        <f ca="1">SUMIF(CPQL!$D$5:$W$68,'FORM OH'!$I$323,CPQL!AA5:AA68)</f>
        <v>0</v>
      </c>
      <c r="AI323" s="537">
        <f ca="1">SUMIF(CPQL!$D$5:$W$68,'FORM OH'!$I$323,CPQL!AB5:AB68)</f>
        <v>0</v>
      </c>
      <c r="AJ323" s="537">
        <f ca="1">SUMIF(CPQL!$D$5:$W$68,'FORM OH'!$I$323,CPQL!AC5:AC68)</f>
        <v>0</v>
      </c>
      <c r="AK323" s="537">
        <f ca="1">SUMIF(CPQL!$D$5:$W$68,'FORM OH'!$I$323,CPQL!AD5:AD68)</f>
        <v>0</v>
      </c>
      <c r="AL323" s="537">
        <f ca="1">SUMIF(CPQL!$D$5:$W$68,'FORM OH'!$I$323,CPQL!AE5:AE68)</f>
        <v>0</v>
      </c>
      <c r="AM323" s="537">
        <f ca="1">SUMIF(CPQL!$D$5:$W$68,'FORM OH'!$I$323,CPQL!AF5:AF68)</f>
        <v>0</v>
      </c>
      <c r="AN323" s="537">
        <f ca="1">SUMIF(CPQL!$D$5:$W$68,'FORM OH'!$I$323,CPQL!AG5:AG68)</f>
        <v>0</v>
      </c>
      <c r="AO323" s="537">
        <f ca="1">SUMIF(CPQL!$D$5:$W$68,'FORM OH'!$I$323,CPQL!AH5:AH68)</f>
        <v>0</v>
      </c>
      <c r="AP323" s="537">
        <f ca="1">SUMIF(CPQL!$D$5:$W$68,'FORM OH'!$I$323,CPQL!AI5:AI68)</f>
        <v>0</v>
      </c>
      <c r="AQ323" s="537">
        <f ca="1">SUMIF(CPQL!$D$5:$W$68,'FORM OH'!$I$323,CPQL!AJ5:AJ68)</f>
        <v>0</v>
      </c>
      <c r="AR323" s="1284">
        <f t="shared" ca="1" si="48"/>
        <v>0</v>
      </c>
      <c r="AS323" s="1284">
        <f t="shared" ca="1" si="45"/>
        <v>0</v>
      </c>
      <c r="AT323" s="1297">
        <f t="shared" ca="1" si="46"/>
        <v>0</v>
      </c>
    </row>
    <row r="324" spans="1:46" s="539" customFormat="1" ht="16.399999999999999" customHeight="1" outlineLevel="1" x14ac:dyDescent="0.35">
      <c r="A324" s="534" t="s">
        <v>782</v>
      </c>
      <c r="B324" s="534" t="s">
        <v>783</v>
      </c>
      <c r="C324" s="535" t="s">
        <v>1418</v>
      </c>
      <c r="D324" s="536" t="s">
        <v>817</v>
      </c>
      <c r="E324" s="536" t="s">
        <v>818</v>
      </c>
      <c r="F324" s="536" t="s">
        <v>1074</v>
      </c>
      <c r="G324" s="536" t="s">
        <v>1431</v>
      </c>
      <c r="H324" s="536" t="s">
        <v>1075</v>
      </c>
      <c r="I324" s="535" t="s">
        <v>1536</v>
      </c>
      <c r="J324" s="536" t="s">
        <v>84</v>
      </c>
      <c r="K324" s="536" t="s">
        <v>576</v>
      </c>
      <c r="L324" s="535" t="s">
        <v>1077</v>
      </c>
      <c r="M324" s="536" t="s">
        <v>1078</v>
      </c>
      <c r="N324" s="536"/>
      <c r="O324" s="535"/>
      <c r="P324" s="536"/>
      <c r="Q324" s="536"/>
      <c r="R324" s="537">
        <f ca="1">SUMIF(CPQL!$D$5:$W$68,'FORM OH'!$I$324,CPQL!K5:K68)</f>
        <v>0</v>
      </c>
      <c r="S324" s="537">
        <f ca="1">SUMIF(CPQL!$D$5:$W$68,'FORM OH'!$I$324,CPQL!L5:L68)</f>
        <v>0</v>
      </c>
      <c r="T324" s="537">
        <f ca="1">SUMIF(CPQL!$D$5:$W$68,'FORM OH'!$I$324,CPQL!M5:M68)</f>
        <v>0</v>
      </c>
      <c r="U324" s="537">
        <f ca="1">SUMIF(CPQL!$D$5:$W$68,'FORM OH'!$I$324,CPQL!N5:N68)</f>
        <v>0</v>
      </c>
      <c r="V324" s="537">
        <f ca="1">SUMIF(CPQL!$D$5:$W$68,'FORM OH'!$I$324,CPQL!O5:O68)</f>
        <v>0</v>
      </c>
      <c r="W324" s="537">
        <f ca="1">SUMIF(CPQL!$D$5:$W$68,'FORM OH'!$I$324,CPQL!P5:P68)</f>
        <v>0</v>
      </c>
      <c r="X324" s="537">
        <f ca="1">SUMIF(CPQL!$D$5:$W$68,'FORM OH'!$I$324,CPQL!Q5:Q68)</f>
        <v>0</v>
      </c>
      <c r="Y324" s="537">
        <f ca="1">SUMIF(CPQL!$D$5:$W$68,'FORM OH'!$I$324,CPQL!R5:R68)</f>
        <v>0</v>
      </c>
      <c r="Z324" s="537">
        <f ca="1">SUMIF(CPQL!$D$5:$W$68,'FORM OH'!$I$324,CPQL!S5:S68)</f>
        <v>0</v>
      </c>
      <c r="AA324" s="537">
        <f ca="1">SUMIF(CPQL!$D$5:$W$68,'FORM OH'!$I$324,CPQL!T5:T68)</f>
        <v>0</v>
      </c>
      <c r="AB324" s="537">
        <f ca="1">SUMIF(CPQL!$D$5:$W$68,'FORM OH'!$I$324,CPQL!U5:U68)</f>
        <v>0</v>
      </c>
      <c r="AC324" s="537">
        <f ca="1">SUMIF(CPQL!$D$5:$W$68,'FORM OH'!$I$324,CPQL!V5:V68)</f>
        <v>0</v>
      </c>
      <c r="AD324" s="537">
        <f t="shared" ca="1" si="47"/>
        <v>0</v>
      </c>
      <c r="AE324" s="533"/>
      <c r="AF324" s="537">
        <f ca="1">SUMIF(CPQL!$D$5:$W$68,'FORM OH'!$I$324,CPQL!Y5:Y68)</f>
        <v>0</v>
      </c>
      <c r="AG324" s="537">
        <f ca="1">SUMIF(CPQL!$D$5:$W$68,'FORM OH'!$I$324,CPQL!Z5:Z68)</f>
        <v>0</v>
      </c>
      <c r="AH324" s="537">
        <f ca="1">SUMIF(CPQL!$D$5:$W$68,'FORM OH'!$I$324,CPQL!AA5:AA68)</f>
        <v>0</v>
      </c>
      <c r="AI324" s="537">
        <f ca="1">SUMIF(CPQL!$D$5:$W$68,'FORM OH'!$I$324,CPQL!AB5:AB68)</f>
        <v>0</v>
      </c>
      <c r="AJ324" s="537">
        <f ca="1">SUMIF(CPQL!$D$5:$W$68,'FORM OH'!$I$324,CPQL!AC5:AC68)</f>
        <v>0</v>
      </c>
      <c r="AK324" s="537">
        <f ca="1">SUMIF(CPQL!$D$5:$W$68,'FORM OH'!$I$324,CPQL!AD5:AD68)</f>
        <v>0</v>
      </c>
      <c r="AL324" s="537">
        <f ca="1">SUMIF(CPQL!$D$5:$W$68,'FORM OH'!$I$324,CPQL!AE5:AE68)</f>
        <v>0</v>
      </c>
      <c r="AM324" s="537">
        <f ca="1">SUMIF(CPQL!$D$5:$W$68,'FORM OH'!$I$324,CPQL!AF5:AF68)</f>
        <v>0</v>
      </c>
      <c r="AN324" s="537">
        <f ca="1">SUMIF(CPQL!$D$5:$W$68,'FORM OH'!$I$324,CPQL!AG5:AG68)</f>
        <v>0</v>
      </c>
      <c r="AO324" s="537">
        <f ca="1">SUMIF(CPQL!$D$5:$W$68,'FORM OH'!$I$324,CPQL!AH5:AH68)</f>
        <v>0</v>
      </c>
      <c r="AP324" s="537">
        <f ca="1">SUMIF(CPQL!$D$5:$W$68,'FORM OH'!$I$324,CPQL!AI5:AI68)</f>
        <v>0</v>
      </c>
      <c r="AQ324" s="537">
        <f ca="1">SUMIF(CPQL!$D$5:$W$68,'FORM OH'!$I$324,CPQL!AJ5:AJ68)</f>
        <v>0</v>
      </c>
      <c r="AR324" s="1284">
        <f t="shared" ca="1" si="48"/>
        <v>0</v>
      </c>
      <c r="AS324" s="1284">
        <f t="shared" ca="1" si="45"/>
        <v>0</v>
      </c>
      <c r="AT324" s="1297">
        <f t="shared" ca="1" si="46"/>
        <v>0</v>
      </c>
    </row>
    <row r="325" spans="1:46" s="539" customFormat="1" ht="16.399999999999999" customHeight="1" outlineLevel="1" x14ac:dyDescent="0.35">
      <c r="A325" s="534" t="s">
        <v>782</v>
      </c>
      <c r="B325" s="534" t="s">
        <v>783</v>
      </c>
      <c r="C325" s="535" t="s">
        <v>1418</v>
      </c>
      <c r="D325" s="536" t="s">
        <v>817</v>
      </c>
      <c r="E325" s="536" t="s">
        <v>818</v>
      </c>
      <c r="F325" s="536" t="s">
        <v>1074</v>
      </c>
      <c r="G325" s="536" t="s">
        <v>1431</v>
      </c>
      <c r="H325" s="536" t="s">
        <v>1075</v>
      </c>
      <c r="I325" s="535" t="s">
        <v>1537</v>
      </c>
      <c r="J325" s="536" t="s">
        <v>490</v>
      </c>
      <c r="K325" s="536" t="s">
        <v>570</v>
      </c>
      <c r="L325" s="535" t="s">
        <v>1391</v>
      </c>
      <c r="M325" s="536" t="s">
        <v>1392</v>
      </c>
      <c r="N325" s="536"/>
      <c r="O325" s="535"/>
      <c r="P325" s="536"/>
      <c r="Q325" s="536"/>
      <c r="R325" s="537">
        <f ca="1">SUMIF(CPQL!$D$5:$W$68,'FORM OH'!$I$325,CPQL!K5:K68)</f>
        <v>0</v>
      </c>
      <c r="S325" s="537">
        <f ca="1">SUMIF(CPQL!$D$5:$W$68,'FORM OH'!$I$325,CPQL!L5:L68)</f>
        <v>0</v>
      </c>
      <c r="T325" s="537">
        <f ca="1">SUMIF(CPQL!$D$5:$W$68,'FORM OH'!$I$325,CPQL!M5:M68)</f>
        <v>0</v>
      </c>
      <c r="U325" s="537">
        <f ca="1">SUMIF(CPQL!$D$5:$W$68,'FORM OH'!$I$325,CPQL!N5:N68)</f>
        <v>0</v>
      </c>
      <c r="V325" s="537">
        <f ca="1">SUMIF(CPQL!$D$5:$W$68,'FORM OH'!$I$325,CPQL!O5:O68)</f>
        <v>0</v>
      </c>
      <c r="W325" s="537">
        <f ca="1">SUMIF(CPQL!$D$5:$W$68,'FORM OH'!$I$325,CPQL!P5:P68)</f>
        <v>0</v>
      </c>
      <c r="X325" s="537">
        <f ca="1">SUMIF(CPQL!$D$5:$W$68,'FORM OH'!$I$325,CPQL!Q5:Q68)</f>
        <v>0</v>
      </c>
      <c r="Y325" s="537">
        <f ca="1">SUMIF(CPQL!$D$5:$W$68,'FORM OH'!$I$325,CPQL!R5:R68)</f>
        <v>0</v>
      </c>
      <c r="Z325" s="537">
        <f ca="1">SUMIF(CPQL!$D$5:$W$68,'FORM OH'!$I$325,CPQL!S5:S68)</f>
        <v>0</v>
      </c>
      <c r="AA325" s="537">
        <f ca="1">SUMIF(CPQL!$D$5:$W$68,'FORM OH'!$I$325,CPQL!T5:T68)</f>
        <v>0</v>
      </c>
      <c r="AB325" s="537">
        <f ca="1">SUMIF(CPQL!$D$5:$W$68,'FORM OH'!$I$325,CPQL!U5:U68)</f>
        <v>0</v>
      </c>
      <c r="AC325" s="537">
        <f ca="1">SUMIF(CPQL!$D$5:$W$68,'FORM OH'!$I$325,CPQL!V5:V68)</f>
        <v>0</v>
      </c>
      <c r="AD325" s="537">
        <f t="shared" ca="1" si="47"/>
        <v>0</v>
      </c>
      <c r="AE325" s="533"/>
      <c r="AF325" s="537">
        <f ca="1">SUMIF(CPQL!$D$5:$W$68,'FORM OH'!$I$325,CPQL!Y5:Y68)</f>
        <v>0</v>
      </c>
      <c r="AG325" s="537">
        <f ca="1">SUMIF(CPQL!$D$5:$W$68,'FORM OH'!$I$325,CPQL!Z5:Z68)</f>
        <v>0</v>
      </c>
      <c r="AH325" s="537">
        <f ca="1">SUMIF(CPQL!$D$5:$W$68,'FORM OH'!$I$325,CPQL!AA5:AA68)</f>
        <v>0</v>
      </c>
      <c r="AI325" s="537">
        <f ca="1">SUMIF(CPQL!$D$5:$W$68,'FORM OH'!$I$325,CPQL!AB5:AB68)</f>
        <v>0</v>
      </c>
      <c r="AJ325" s="537">
        <f ca="1">SUMIF(CPQL!$D$5:$W$68,'FORM OH'!$I$325,CPQL!AC5:AC68)</f>
        <v>0</v>
      </c>
      <c r="AK325" s="537">
        <f ca="1">SUMIF(CPQL!$D$5:$W$68,'FORM OH'!$I$325,CPQL!AD5:AD68)</f>
        <v>0</v>
      </c>
      <c r="AL325" s="537">
        <f ca="1">SUMIF(CPQL!$D$5:$W$68,'FORM OH'!$I$325,CPQL!AE5:AE68)</f>
        <v>0</v>
      </c>
      <c r="AM325" s="537">
        <f ca="1">SUMIF(CPQL!$D$5:$W$68,'FORM OH'!$I$325,CPQL!AF5:AF68)</f>
        <v>0</v>
      </c>
      <c r="AN325" s="537">
        <f ca="1">SUMIF(CPQL!$D$5:$W$68,'FORM OH'!$I$325,CPQL!AG5:AG68)</f>
        <v>0</v>
      </c>
      <c r="AO325" s="537">
        <f ca="1">SUMIF(CPQL!$D$5:$W$68,'FORM OH'!$I$325,CPQL!AH5:AH68)</f>
        <v>0</v>
      </c>
      <c r="AP325" s="537">
        <f ca="1">SUMIF(CPQL!$D$5:$W$68,'FORM OH'!$I$325,CPQL!AI5:AI68)</f>
        <v>0</v>
      </c>
      <c r="AQ325" s="537">
        <f ca="1">SUMIF(CPQL!$D$5:$W$68,'FORM OH'!$I$325,CPQL!AJ5:AJ68)</f>
        <v>0</v>
      </c>
      <c r="AR325" s="1284">
        <f t="shared" ca="1" si="48"/>
        <v>0</v>
      </c>
      <c r="AS325" s="1284">
        <f t="shared" ca="1" si="45"/>
        <v>0</v>
      </c>
      <c r="AT325" s="1297">
        <f t="shared" ca="1" si="46"/>
        <v>0</v>
      </c>
    </row>
    <row r="326" spans="1:46" s="539" customFormat="1" ht="16.399999999999999" customHeight="1" outlineLevel="1" x14ac:dyDescent="0.35">
      <c r="A326" s="534" t="s">
        <v>782</v>
      </c>
      <c r="B326" s="534" t="s">
        <v>783</v>
      </c>
      <c r="C326" s="535" t="s">
        <v>1418</v>
      </c>
      <c r="D326" s="536" t="s">
        <v>817</v>
      </c>
      <c r="E326" s="536" t="s">
        <v>818</v>
      </c>
      <c r="F326" s="536" t="s">
        <v>819</v>
      </c>
      <c r="G326" s="536" t="s">
        <v>1431</v>
      </c>
      <c r="H326" s="536" t="s">
        <v>821</v>
      </c>
      <c r="I326" s="535" t="s">
        <v>1538</v>
      </c>
      <c r="J326" s="536" t="s">
        <v>449</v>
      </c>
      <c r="K326" s="536" t="s">
        <v>580</v>
      </c>
      <c r="L326" s="535" t="s">
        <v>1080</v>
      </c>
      <c r="M326" s="536" t="s">
        <v>1081</v>
      </c>
      <c r="N326" s="536"/>
      <c r="O326" s="535"/>
      <c r="P326" s="536"/>
      <c r="Q326" s="536"/>
      <c r="R326" s="537">
        <f ca="1">SUMIF(CPQL!$D$5:$W$68,'FORM OH'!$I$326,CPQL!K5:K68)</f>
        <v>1997592.5925925924</v>
      </c>
      <c r="S326" s="537">
        <f ca="1">SUMIF(CPQL!$D$5:$W$68,'FORM OH'!$I$326,CPQL!L5:L68)</f>
        <v>1997592.5925925924</v>
      </c>
      <c r="T326" s="537">
        <f ca="1">SUMIF(CPQL!$D$5:$W$68,'FORM OH'!$I$326,CPQL!M5:M68)</f>
        <v>1997592.5925925924</v>
      </c>
      <c r="U326" s="537">
        <f ca="1">SUMIF(CPQL!$D$5:$W$68,'FORM OH'!$I$326,CPQL!N5:N68)</f>
        <v>1997592.5925925924</v>
      </c>
      <c r="V326" s="537">
        <f ca="1">SUMIF(CPQL!$D$5:$W$68,'FORM OH'!$I$326,CPQL!O5:O68)</f>
        <v>1997592.5925925924</v>
      </c>
      <c r="W326" s="537">
        <f ca="1">SUMIF(CPQL!$D$5:$W$68,'FORM OH'!$I$326,CPQL!P5:P68)</f>
        <v>1997592.5925925924</v>
      </c>
      <c r="X326" s="537">
        <f ca="1">SUMIF(CPQL!$D$5:$W$68,'FORM OH'!$I$326,CPQL!Q5:Q68)</f>
        <v>1997592.5925925924</v>
      </c>
      <c r="Y326" s="537">
        <f ca="1">SUMIF(CPQL!$D$5:$W$68,'FORM OH'!$I$326,CPQL!R5:R68)</f>
        <v>1997592.5925925924</v>
      </c>
      <c r="Z326" s="537">
        <f ca="1">SUMIF(CPQL!$D$5:$W$68,'FORM OH'!$I$326,CPQL!S5:S68)</f>
        <v>1997592.5925925924</v>
      </c>
      <c r="AA326" s="537">
        <f ca="1">SUMIF(CPQL!$D$5:$W$68,'FORM OH'!$I$326,CPQL!T5:T68)</f>
        <v>1997592.5925925924</v>
      </c>
      <c r="AB326" s="537">
        <f ca="1">SUMIF(CPQL!$D$5:$W$68,'FORM OH'!$I$326,CPQL!U5:U68)</f>
        <v>1997592.5925925924</v>
      </c>
      <c r="AC326" s="537">
        <f ca="1">SUMIF(CPQL!$D$5:$W$68,'FORM OH'!$I$326,CPQL!V5:V68)</f>
        <v>1997592.5925925924</v>
      </c>
      <c r="AD326" s="537">
        <f t="shared" ca="1" si="47"/>
        <v>23971111.111111116</v>
      </c>
      <c r="AE326" s="533"/>
      <c r="AF326" s="537">
        <f ca="1">SUMIF(CPQL!$D$5:$W$68,'FORM OH'!$I$326,CPQL!Y5:Y68)</f>
        <v>0</v>
      </c>
      <c r="AG326" s="537">
        <f ca="1">SUMIF(CPQL!$D$5:$W$68,'FORM OH'!$I$326,CPQL!Z5:Z68)</f>
        <v>0</v>
      </c>
      <c r="AH326" s="537">
        <f ca="1">SUMIF(CPQL!$D$5:$W$68,'FORM OH'!$I$326,CPQL!AA5:AA68)</f>
        <v>1625000</v>
      </c>
      <c r="AI326" s="537">
        <f ca="1">SUMIF(CPQL!$D$5:$W$68,'FORM OH'!$I$326,CPQL!AB5:AB68)</f>
        <v>1625000</v>
      </c>
      <c r="AJ326" s="537">
        <f ca="1">SUMIF(CPQL!$D$5:$W$68,'FORM OH'!$I$326,CPQL!AC5:AC68)</f>
        <v>1625000</v>
      </c>
      <c r="AK326" s="537">
        <f ca="1">SUMIF(CPQL!$D$5:$W$68,'FORM OH'!$I$326,CPQL!AD5:AD68)</f>
        <v>0</v>
      </c>
      <c r="AL326" s="537">
        <f ca="1">SUMIF(CPQL!$D$5:$W$68,'FORM OH'!$I$326,CPQL!AE5:AE68)</f>
        <v>0</v>
      </c>
      <c r="AM326" s="537">
        <f ca="1">SUMIF(CPQL!$D$5:$W$68,'FORM OH'!$I$326,CPQL!AF5:AF68)</f>
        <v>0</v>
      </c>
      <c r="AN326" s="537">
        <f ca="1">SUMIF(CPQL!$D$5:$W$68,'FORM OH'!$I$326,CPQL!AG5:AG68)</f>
        <v>0</v>
      </c>
      <c r="AO326" s="537">
        <f ca="1">SUMIF(CPQL!$D$5:$W$68,'FORM OH'!$I$326,CPQL!AH5:AH68)</f>
        <v>0</v>
      </c>
      <c r="AP326" s="537">
        <f ca="1">SUMIF(CPQL!$D$5:$W$68,'FORM OH'!$I$326,CPQL!AI5:AI68)</f>
        <v>0</v>
      </c>
      <c r="AQ326" s="537">
        <f ca="1">SUMIF(CPQL!$D$5:$W$68,'FORM OH'!$I$326,CPQL!AJ5:AJ68)</f>
        <v>0</v>
      </c>
      <c r="AR326" s="1284">
        <f t="shared" ca="1" si="48"/>
        <v>4875000</v>
      </c>
      <c r="AS326" s="1284">
        <f t="shared" ca="1" si="45"/>
        <v>19096111.111111116</v>
      </c>
      <c r="AT326" s="1297">
        <f t="shared" ca="1" si="46"/>
        <v>3.9171509971509981</v>
      </c>
    </row>
    <row r="327" spans="1:46" s="539" customFormat="1" ht="16.399999999999999" customHeight="1" outlineLevel="1" x14ac:dyDescent="0.35">
      <c r="A327" s="534" t="s">
        <v>782</v>
      </c>
      <c r="B327" s="534" t="s">
        <v>783</v>
      </c>
      <c r="C327" s="535" t="s">
        <v>1418</v>
      </c>
      <c r="D327" s="536" t="s">
        <v>817</v>
      </c>
      <c r="E327" s="536" t="s">
        <v>818</v>
      </c>
      <c r="F327" s="536" t="s">
        <v>1082</v>
      </c>
      <c r="G327" s="536" t="s">
        <v>1431</v>
      </c>
      <c r="H327" s="536" t="s">
        <v>1083</v>
      </c>
      <c r="I327" s="535" t="s">
        <v>1539</v>
      </c>
      <c r="J327" s="536" t="s">
        <v>450</v>
      </c>
      <c r="K327" s="536" t="s">
        <v>599</v>
      </c>
      <c r="L327" s="535" t="s">
        <v>1085</v>
      </c>
      <c r="M327" s="536" t="s">
        <v>1083</v>
      </c>
      <c r="N327" s="536"/>
      <c r="O327" s="535"/>
      <c r="P327" s="536"/>
      <c r="Q327" s="536"/>
      <c r="R327" s="537">
        <f ca="1">SUMIF(CPQL!$D$5:$W$68,'FORM OH'!$I$327,CPQL!K5:K68)</f>
        <v>0</v>
      </c>
      <c r="S327" s="537">
        <f ca="1">SUMIF(CPQL!$D$5:$W$68,'FORM OH'!$I$327,CPQL!L5:L68)</f>
        <v>0</v>
      </c>
      <c r="T327" s="537">
        <f ca="1">SUMIF(CPQL!$D$5:$W$68,'FORM OH'!$I$327,CPQL!M5:M68)</f>
        <v>0</v>
      </c>
      <c r="U327" s="537">
        <f ca="1">SUMIF(CPQL!$D$5:$W$68,'FORM OH'!$I$327,CPQL!N5:N68)</f>
        <v>0</v>
      </c>
      <c r="V327" s="537">
        <f ca="1">SUMIF(CPQL!$D$5:$W$68,'FORM OH'!$I$327,CPQL!O5:O68)</f>
        <v>0</v>
      </c>
      <c r="W327" s="537">
        <f ca="1">SUMIF(CPQL!$D$5:$W$68,'FORM OH'!$I$327,CPQL!P5:P68)</f>
        <v>0</v>
      </c>
      <c r="X327" s="537">
        <f ca="1">SUMIF(CPQL!$D$5:$W$68,'FORM OH'!$I$327,CPQL!Q5:Q68)</f>
        <v>0</v>
      </c>
      <c r="Y327" s="537">
        <f ca="1">SUMIF(CPQL!$D$5:$W$68,'FORM OH'!$I$327,CPQL!R5:R68)</f>
        <v>0</v>
      </c>
      <c r="Z327" s="537">
        <f ca="1">SUMIF(CPQL!$D$5:$W$68,'FORM OH'!$I$327,CPQL!S5:S68)</f>
        <v>0</v>
      </c>
      <c r="AA327" s="537">
        <f ca="1">SUMIF(CPQL!$D$5:$W$68,'FORM OH'!$I$327,CPQL!T5:T68)</f>
        <v>0</v>
      </c>
      <c r="AB327" s="537">
        <f ca="1">SUMIF(CPQL!$D$5:$W$68,'FORM OH'!$I$327,CPQL!U5:U68)</f>
        <v>0</v>
      </c>
      <c r="AC327" s="537">
        <f ca="1">SUMIF(CPQL!$D$5:$W$68,'FORM OH'!$I$327,CPQL!V5:V68)</f>
        <v>0</v>
      </c>
      <c r="AD327" s="537">
        <f t="shared" ca="1" si="47"/>
        <v>0</v>
      </c>
      <c r="AE327" s="533"/>
      <c r="AF327" s="537">
        <f ca="1">SUMIF(CPQL!$D$5:$W$68,'FORM OH'!$I$327,CPQL!Y5:Y68)</f>
        <v>0</v>
      </c>
      <c r="AG327" s="537">
        <f ca="1">SUMIF(CPQL!$D$5:$W$68,'FORM OH'!$I$327,CPQL!Z5:Z68)</f>
        <v>0</v>
      </c>
      <c r="AH327" s="537">
        <f ca="1">SUMIF(CPQL!$D$5:$W$68,'FORM OH'!$I$327,CPQL!AA5:AA68)</f>
        <v>0</v>
      </c>
      <c r="AI327" s="537">
        <f ca="1">SUMIF(CPQL!$D$5:$W$68,'FORM OH'!$I$327,CPQL!AB5:AB68)</f>
        <v>0</v>
      </c>
      <c r="AJ327" s="537">
        <f ca="1">SUMIF(CPQL!$D$5:$W$68,'FORM OH'!$I$327,CPQL!AC5:AC68)</f>
        <v>0</v>
      </c>
      <c r="AK327" s="537">
        <f ca="1">SUMIF(CPQL!$D$5:$W$68,'FORM OH'!$I$327,CPQL!AD5:AD68)</f>
        <v>0</v>
      </c>
      <c r="AL327" s="537">
        <f ca="1">SUMIF(CPQL!$D$5:$W$68,'FORM OH'!$I$327,CPQL!AE5:AE68)</f>
        <v>0</v>
      </c>
      <c r="AM327" s="537">
        <f ca="1">SUMIF(CPQL!$D$5:$W$68,'FORM OH'!$I$327,CPQL!AF5:AF68)</f>
        <v>0</v>
      </c>
      <c r="AN327" s="537">
        <f ca="1">SUMIF(CPQL!$D$5:$W$68,'FORM OH'!$I$327,CPQL!AG5:AG68)</f>
        <v>0</v>
      </c>
      <c r="AO327" s="537">
        <f ca="1">SUMIF(CPQL!$D$5:$W$68,'FORM OH'!$I$327,CPQL!AH5:AH68)</f>
        <v>0</v>
      </c>
      <c r="AP327" s="537">
        <f ca="1">SUMIF(CPQL!$D$5:$W$68,'FORM OH'!$I$327,CPQL!AI5:AI68)</f>
        <v>0</v>
      </c>
      <c r="AQ327" s="537">
        <f ca="1">SUMIF(CPQL!$D$5:$W$68,'FORM OH'!$I$327,CPQL!AJ5:AJ68)</f>
        <v>0</v>
      </c>
      <c r="AR327" s="1284">
        <f t="shared" ca="1" si="48"/>
        <v>0</v>
      </c>
      <c r="AS327" s="1284">
        <f t="shared" ca="1" si="45"/>
        <v>0</v>
      </c>
      <c r="AT327" s="1297">
        <f t="shared" ca="1" si="46"/>
        <v>0</v>
      </c>
    </row>
    <row r="328" spans="1:46" s="539" customFormat="1" ht="16.399999999999999" customHeight="1" outlineLevel="1" x14ac:dyDescent="0.35">
      <c r="A328" s="534" t="s">
        <v>782</v>
      </c>
      <c r="B328" s="534" t="s">
        <v>783</v>
      </c>
      <c r="C328" s="535" t="s">
        <v>1418</v>
      </c>
      <c r="D328" s="536" t="s">
        <v>817</v>
      </c>
      <c r="E328" s="536" t="s">
        <v>818</v>
      </c>
      <c r="F328" s="536" t="s">
        <v>1395</v>
      </c>
      <c r="G328" s="536" t="s">
        <v>1431</v>
      </c>
      <c r="H328" s="536" t="s">
        <v>1396</v>
      </c>
      <c r="I328" s="535" t="s">
        <v>1540</v>
      </c>
      <c r="J328" s="545" t="s">
        <v>491</v>
      </c>
      <c r="K328" s="536" t="s">
        <v>570</v>
      </c>
      <c r="L328" s="535" t="s">
        <v>1398</v>
      </c>
      <c r="M328" s="536" t="s">
        <v>1399</v>
      </c>
      <c r="N328" s="545"/>
      <c r="O328" s="535"/>
      <c r="P328" s="545"/>
      <c r="Q328" s="545"/>
      <c r="R328" s="537">
        <f ca="1">SUMIF(CPQL!$D$5:$W$68,'FORM OH'!$I$328,CPQL!K5:K68)</f>
        <v>41111111.111111112</v>
      </c>
      <c r="S328" s="537">
        <f ca="1">SUMIF(CPQL!$D$5:$W$68,'FORM OH'!$I$328,CPQL!L5:L68)</f>
        <v>41111111.111111112</v>
      </c>
      <c r="T328" s="537">
        <f ca="1">SUMIF(CPQL!$D$5:$W$68,'FORM OH'!$I$328,CPQL!M5:M68)</f>
        <v>41111111.111111112</v>
      </c>
      <c r="U328" s="537">
        <f ca="1">SUMIF(CPQL!$D$5:$W$68,'FORM OH'!$I$328,CPQL!N5:N68)</f>
        <v>41111111.111111112</v>
      </c>
      <c r="V328" s="537">
        <f ca="1">SUMIF(CPQL!$D$5:$W$68,'FORM OH'!$I$328,CPQL!O5:O68)</f>
        <v>41111111.111111112</v>
      </c>
      <c r="W328" s="537">
        <f ca="1">SUMIF(CPQL!$D$5:$W$68,'FORM OH'!$I$328,CPQL!P5:P68)</f>
        <v>41111111.111111112</v>
      </c>
      <c r="X328" s="537">
        <f ca="1">SUMIF(CPQL!$D$5:$W$68,'FORM OH'!$I$328,CPQL!Q5:Q68)</f>
        <v>41111111.111111112</v>
      </c>
      <c r="Y328" s="537">
        <f ca="1">SUMIF(CPQL!$D$5:$W$68,'FORM OH'!$I$328,CPQL!R5:R68)</f>
        <v>41111111.111111112</v>
      </c>
      <c r="Z328" s="537">
        <f ca="1">SUMIF(CPQL!$D$5:$W$68,'FORM OH'!$I$328,CPQL!S5:S68)</f>
        <v>41111111.111111112</v>
      </c>
      <c r="AA328" s="537">
        <f ca="1">SUMIF(CPQL!$D$5:$W$68,'FORM OH'!$I$328,CPQL!T5:T68)</f>
        <v>41111111.111111112</v>
      </c>
      <c r="AB328" s="537">
        <f ca="1">SUMIF(CPQL!$D$5:$W$68,'FORM OH'!$I$328,CPQL!U5:U68)</f>
        <v>41111111.111111112</v>
      </c>
      <c r="AC328" s="537">
        <f ca="1">SUMIF(CPQL!$D$5:$W$68,'FORM OH'!$I$328,CPQL!V5:V68)</f>
        <v>41111111.111111112</v>
      </c>
      <c r="AD328" s="537">
        <f t="shared" ca="1" si="47"/>
        <v>493333333.33333331</v>
      </c>
      <c r="AE328" s="533"/>
      <c r="AF328" s="537">
        <f ca="1">SUMIF(CPQL!$D$5:$W$68,'FORM OH'!$I$328,CPQL!Y5:Y68)</f>
        <v>0</v>
      </c>
      <c r="AG328" s="537">
        <f ca="1">SUMIF(CPQL!$D$5:$W$68,'FORM OH'!$I$328,CPQL!Z5:Z68)</f>
        <v>0</v>
      </c>
      <c r="AH328" s="537">
        <f ca="1">SUMIF(CPQL!$D$5:$W$68,'FORM OH'!$I$328,CPQL!AA5:AA68)</f>
        <v>0</v>
      </c>
      <c r="AI328" s="537">
        <f ca="1">SUMIF(CPQL!$D$5:$W$68,'FORM OH'!$I$328,CPQL!AB5:AB68)</f>
        <v>0</v>
      </c>
      <c r="AJ328" s="537">
        <f ca="1">SUMIF(CPQL!$D$5:$W$68,'FORM OH'!$I$328,CPQL!AC5:AC68)</f>
        <v>0</v>
      </c>
      <c r="AK328" s="537">
        <f ca="1">SUMIF(CPQL!$D$5:$W$68,'FORM OH'!$I$328,CPQL!AD5:AD68)</f>
        <v>0</v>
      </c>
      <c r="AL328" s="537">
        <f ca="1">SUMIF(CPQL!$D$5:$W$68,'FORM OH'!$I$328,CPQL!AE5:AE68)</f>
        <v>73311500</v>
      </c>
      <c r="AM328" s="537">
        <f ca="1">SUMIF(CPQL!$D$5:$W$68,'FORM OH'!$I$328,CPQL!AF5:AF68)</f>
        <v>44240722</v>
      </c>
      <c r="AN328" s="537">
        <f ca="1">SUMIF(CPQL!$D$5:$W$68,'FORM OH'!$I$328,CPQL!AG5:AG68)</f>
        <v>37598889</v>
      </c>
      <c r="AO328" s="537">
        <f ca="1">SUMIF(CPQL!$D$5:$W$68,'FORM OH'!$I$328,CPQL!AH5:AH68)</f>
        <v>38810639</v>
      </c>
      <c r="AP328" s="537">
        <f ca="1">SUMIF(CPQL!$D$5:$W$68,'FORM OH'!$I$328,CPQL!AI5:AI68)</f>
        <v>38810639</v>
      </c>
      <c r="AQ328" s="537">
        <f ca="1">SUMIF(CPQL!$D$5:$W$68,'FORM OH'!$I$328,CPQL!AJ5:AJ68)</f>
        <v>38810639</v>
      </c>
      <c r="AR328" s="1284">
        <f t="shared" ca="1" si="48"/>
        <v>271583028</v>
      </c>
      <c r="AS328" s="1284">
        <f t="shared" ca="1" si="45"/>
        <v>221750305.33333331</v>
      </c>
      <c r="AT328" s="1297">
        <f t="shared" ca="1" si="46"/>
        <v>0.81651017357878974</v>
      </c>
    </row>
    <row r="329" spans="1:46" s="539" customFormat="1" ht="16.399999999999999" customHeight="1" outlineLevel="1" x14ac:dyDescent="0.35">
      <c r="A329" s="534" t="s">
        <v>782</v>
      </c>
      <c r="B329" s="534" t="s">
        <v>783</v>
      </c>
      <c r="C329" s="535" t="s">
        <v>1418</v>
      </c>
      <c r="D329" s="536" t="s">
        <v>817</v>
      </c>
      <c r="E329" s="536" t="s">
        <v>818</v>
      </c>
      <c r="F329" s="536" t="s">
        <v>871</v>
      </c>
      <c r="G329" s="536" t="s">
        <v>1431</v>
      </c>
      <c r="H329" s="536" t="s">
        <v>1093</v>
      </c>
      <c r="I329" s="535" t="s">
        <v>1541</v>
      </c>
      <c r="J329" s="536" t="s">
        <v>492</v>
      </c>
      <c r="K329" s="536" t="s">
        <v>575</v>
      </c>
      <c r="L329" s="535" t="s">
        <v>1542</v>
      </c>
      <c r="M329" s="536" t="s">
        <v>1543</v>
      </c>
      <c r="N329" s="536"/>
      <c r="O329" s="535"/>
      <c r="P329" s="536"/>
      <c r="Q329" s="536"/>
      <c r="R329" s="537">
        <f ca="1">SUMIF(CPQL!$D$5:$W$68,'FORM OH'!$I$329,CPQL!K5:K68)</f>
        <v>0</v>
      </c>
      <c r="S329" s="537">
        <f ca="1">SUMIF(CPQL!$D$5:$W$68,'FORM OH'!$I$329,CPQL!L5:L68)</f>
        <v>0</v>
      </c>
      <c r="T329" s="537">
        <f ca="1">SUMIF(CPQL!$D$5:$W$68,'FORM OH'!$I$329,CPQL!M5:M68)</f>
        <v>0</v>
      </c>
      <c r="U329" s="537">
        <f ca="1">SUMIF(CPQL!$D$5:$W$68,'FORM OH'!$I$329,CPQL!N5:N68)</f>
        <v>0</v>
      </c>
      <c r="V329" s="537">
        <f ca="1">SUMIF(CPQL!$D$5:$W$68,'FORM OH'!$I$329,CPQL!O5:O68)</f>
        <v>0</v>
      </c>
      <c r="W329" s="537">
        <f ca="1">SUMIF(CPQL!$D$5:$W$68,'FORM OH'!$I$329,CPQL!P5:P68)</f>
        <v>0</v>
      </c>
      <c r="X329" s="537">
        <f ca="1">SUMIF(CPQL!$D$5:$W$68,'FORM OH'!$I$329,CPQL!Q5:Q68)</f>
        <v>0</v>
      </c>
      <c r="Y329" s="537">
        <f ca="1">SUMIF(CPQL!$D$5:$W$68,'FORM OH'!$I$329,CPQL!R5:R68)</f>
        <v>0</v>
      </c>
      <c r="Z329" s="537">
        <f ca="1">SUMIF(CPQL!$D$5:$W$68,'FORM OH'!$I$329,CPQL!S5:S68)</f>
        <v>0</v>
      </c>
      <c r="AA329" s="537">
        <f ca="1">SUMIF(CPQL!$D$5:$W$68,'FORM OH'!$I$329,CPQL!T5:T68)</f>
        <v>0</v>
      </c>
      <c r="AB329" s="537">
        <f ca="1">SUMIF(CPQL!$D$5:$W$68,'FORM OH'!$I$329,CPQL!U5:U68)</f>
        <v>0</v>
      </c>
      <c r="AC329" s="537">
        <f ca="1">SUMIF(CPQL!$D$5:$W$68,'FORM OH'!$I$329,CPQL!V5:V68)</f>
        <v>0</v>
      </c>
      <c r="AD329" s="537">
        <f t="shared" ca="1" si="47"/>
        <v>0</v>
      </c>
      <c r="AE329" s="533"/>
      <c r="AF329" s="537">
        <f ca="1">SUMIF(CPQL!$D$5:$W$68,'FORM OH'!$I$329,CPQL!Y5:Y68)</f>
        <v>0</v>
      </c>
      <c r="AG329" s="537">
        <f ca="1">SUMIF(CPQL!$D$5:$W$68,'FORM OH'!$I$329,CPQL!Z5:Z68)</f>
        <v>0</v>
      </c>
      <c r="AH329" s="537">
        <f ca="1">SUMIF(CPQL!$D$5:$W$68,'FORM OH'!$I$329,CPQL!AA5:AA68)</f>
        <v>0</v>
      </c>
      <c r="AI329" s="537">
        <f ca="1">SUMIF(CPQL!$D$5:$W$68,'FORM OH'!$I$329,CPQL!AB5:AB68)</f>
        <v>0</v>
      </c>
      <c r="AJ329" s="537">
        <f ca="1">SUMIF(CPQL!$D$5:$W$68,'FORM OH'!$I$329,CPQL!AC5:AC68)</f>
        <v>0</v>
      </c>
      <c r="AK329" s="537">
        <f ca="1">SUMIF(CPQL!$D$5:$W$68,'FORM OH'!$I$329,CPQL!AD5:AD68)</f>
        <v>0</v>
      </c>
      <c r="AL329" s="537">
        <f ca="1">SUMIF(CPQL!$D$5:$W$68,'FORM OH'!$I$329,CPQL!AE5:AE68)</f>
        <v>0</v>
      </c>
      <c r="AM329" s="537">
        <f ca="1">SUMIF(CPQL!$D$5:$W$68,'FORM OH'!$I$329,CPQL!AF5:AF68)</f>
        <v>0</v>
      </c>
      <c r="AN329" s="537">
        <f ca="1">SUMIF(CPQL!$D$5:$W$68,'FORM OH'!$I$329,CPQL!AG5:AG68)</f>
        <v>0</v>
      </c>
      <c r="AO329" s="537">
        <f ca="1">SUMIF(CPQL!$D$5:$W$68,'FORM OH'!$I$329,CPQL!AH5:AH68)</f>
        <v>0</v>
      </c>
      <c r="AP329" s="537">
        <f ca="1">SUMIF(CPQL!$D$5:$W$68,'FORM OH'!$I$329,CPQL!AI5:AI68)</f>
        <v>0</v>
      </c>
      <c r="AQ329" s="537">
        <f ca="1">SUMIF(CPQL!$D$5:$W$68,'FORM OH'!$I$329,CPQL!AJ5:AJ68)</f>
        <v>0</v>
      </c>
      <c r="AR329" s="1284">
        <f t="shared" ca="1" si="48"/>
        <v>0</v>
      </c>
      <c r="AS329" s="1284">
        <f t="shared" ca="1" si="45"/>
        <v>0</v>
      </c>
      <c r="AT329" s="1297">
        <f t="shared" ca="1" si="46"/>
        <v>0</v>
      </c>
    </row>
    <row r="330" spans="1:46" s="539" customFormat="1" ht="16.399999999999999" customHeight="1" outlineLevel="1" x14ac:dyDescent="0.35">
      <c r="A330" s="534" t="s">
        <v>782</v>
      </c>
      <c r="B330" s="534" t="s">
        <v>783</v>
      </c>
      <c r="C330" s="535" t="s">
        <v>1418</v>
      </c>
      <c r="D330" s="536" t="s">
        <v>817</v>
      </c>
      <c r="E330" s="536" t="s">
        <v>818</v>
      </c>
      <c r="F330" s="536" t="s">
        <v>871</v>
      </c>
      <c r="G330" s="536" t="s">
        <v>1431</v>
      </c>
      <c r="H330" s="536" t="s">
        <v>1093</v>
      </c>
      <c r="I330" s="535" t="s">
        <v>1544</v>
      </c>
      <c r="J330" s="536" t="s">
        <v>451</v>
      </c>
      <c r="K330" s="536" t="s">
        <v>575</v>
      </c>
      <c r="L330" s="535" t="s">
        <v>1095</v>
      </c>
      <c r="M330" s="536" t="s">
        <v>1096</v>
      </c>
      <c r="N330" s="536"/>
      <c r="O330" s="535"/>
      <c r="P330" s="536"/>
      <c r="Q330" s="536"/>
      <c r="R330" s="537">
        <f ca="1">SUMIF(CPQL!$D$5:$W$68,'FORM OH'!$I$330,CPQL!K5:K68)</f>
        <v>0</v>
      </c>
      <c r="S330" s="537">
        <f ca="1">SUMIF(CPQL!$D$5:$W$68,'FORM OH'!$I$330,CPQL!L5:L68)</f>
        <v>0</v>
      </c>
      <c r="T330" s="537">
        <f ca="1">SUMIF(CPQL!$D$5:$W$68,'FORM OH'!$I$330,CPQL!M5:M68)</f>
        <v>0</v>
      </c>
      <c r="U330" s="537">
        <f ca="1">SUMIF(CPQL!$D$5:$W$68,'FORM OH'!$I$330,CPQL!N5:N68)</f>
        <v>0</v>
      </c>
      <c r="V330" s="537">
        <f ca="1">SUMIF(CPQL!$D$5:$W$68,'FORM OH'!$I$330,CPQL!O5:O68)</f>
        <v>0</v>
      </c>
      <c r="W330" s="537">
        <f ca="1">SUMIF(CPQL!$D$5:$W$68,'FORM OH'!$I$330,CPQL!P5:P68)</f>
        <v>0</v>
      </c>
      <c r="X330" s="537">
        <f ca="1">SUMIF(CPQL!$D$5:$W$68,'FORM OH'!$I$330,CPQL!Q5:Q68)</f>
        <v>0</v>
      </c>
      <c r="Y330" s="537">
        <f ca="1">SUMIF(CPQL!$D$5:$W$68,'FORM OH'!$I$330,CPQL!R5:R68)</f>
        <v>0</v>
      </c>
      <c r="Z330" s="537">
        <f ca="1">SUMIF(CPQL!$D$5:$W$68,'FORM OH'!$I$330,CPQL!S5:S68)</f>
        <v>0</v>
      </c>
      <c r="AA330" s="537">
        <f ca="1">SUMIF(CPQL!$D$5:$W$68,'FORM OH'!$I$330,CPQL!T5:T68)</f>
        <v>0</v>
      </c>
      <c r="AB330" s="537">
        <f ca="1">SUMIF(CPQL!$D$5:$W$68,'FORM OH'!$I$330,CPQL!U5:U68)</f>
        <v>0</v>
      </c>
      <c r="AC330" s="537">
        <f ca="1">SUMIF(CPQL!$D$5:$W$68,'FORM OH'!$I$330,CPQL!V5:V68)</f>
        <v>0</v>
      </c>
      <c r="AD330" s="537">
        <f t="shared" ca="1" si="47"/>
        <v>0</v>
      </c>
      <c r="AE330" s="533"/>
      <c r="AF330" s="537">
        <f ca="1">SUMIF(CPQL!$D$5:$W$68,'FORM OH'!$I$330,CPQL!Y5:Y68)</f>
        <v>0</v>
      </c>
      <c r="AG330" s="537">
        <f ca="1">SUMIF(CPQL!$D$5:$W$68,'FORM OH'!$I$330,CPQL!Z5:Z68)</f>
        <v>0</v>
      </c>
      <c r="AH330" s="537">
        <f ca="1">SUMIF(CPQL!$D$5:$W$68,'FORM OH'!$I$330,CPQL!AA5:AA68)</f>
        <v>0</v>
      </c>
      <c r="AI330" s="537">
        <f ca="1">SUMIF(CPQL!$D$5:$W$68,'FORM OH'!$I$330,CPQL!AB5:AB68)</f>
        <v>0</v>
      </c>
      <c r="AJ330" s="537">
        <f ca="1">SUMIF(CPQL!$D$5:$W$68,'FORM OH'!$I$330,CPQL!AC5:AC68)</f>
        <v>0</v>
      </c>
      <c r="AK330" s="537">
        <f ca="1">SUMIF(CPQL!$D$5:$W$68,'FORM OH'!$I$330,CPQL!AD5:AD68)</f>
        <v>0</v>
      </c>
      <c r="AL330" s="537">
        <f ca="1">SUMIF(CPQL!$D$5:$W$68,'FORM OH'!$I$330,CPQL!AE5:AE68)</f>
        <v>0</v>
      </c>
      <c r="AM330" s="537">
        <f ca="1">SUMIF(CPQL!$D$5:$W$68,'FORM OH'!$I$330,CPQL!AF5:AF68)</f>
        <v>0</v>
      </c>
      <c r="AN330" s="537">
        <f ca="1">SUMIF(CPQL!$D$5:$W$68,'FORM OH'!$I$330,CPQL!AG5:AG68)</f>
        <v>0</v>
      </c>
      <c r="AO330" s="537">
        <f ca="1">SUMIF(CPQL!$D$5:$W$68,'FORM OH'!$I$330,CPQL!AH5:AH68)</f>
        <v>0</v>
      </c>
      <c r="AP330" s="537">
        <f ca="1">SUMIF(CPQL!$D$5:$W$68,'FORM OH'!$I$330,CPQL!AI5:AI68)</f>
        <v>0</v>
      </c>
      <c r="AQ330" s="537">
        <f ca="1">SUMIF(CPQL!$D$5:$W$68,'FORM OH'!$I$330,CPQL!AJ5:AJ68)</f>
        <v>0</v>
      </c>
      <c r="AR330" s="1284">
        <f t="shared" ca="1" si="48"/>
        <v>0</v>
      </c>
      <c r="AS330" s="1284">
        <f t="shared" ca="1" si="45"/>
        <v>0</v>
      </c>
      <c r="AT330" s="1297">
        <f t="shared" ca="1" si="46"/>
        <v>0</v>
      </c>
    </row>
    <row r="331" spans="1:46" s="539" customFormat="1" ht="16.399999999999999" customHeight="1" outlineLevel="1" x14ac:dyDescent="0.35">
      <c r="A331" s="534" t="s">
        <v>782</v>
      </c>
      <c r="B331" s="534" t="s">
        <v>783</v>
      </c>
      <c r="C331" s="535" t="s">
        <v>1418</v>
      </c>
      <c r="D331" s="536" t="s">
        <v>817</v>
      </c>
      <c r="E331" s="536" t="s">
        <v>818</v>
      </c>
      <c r="F331" s="536" t="s">
        <v>1545</v>
      </c>
      <c r="G331" s="536" t="s">
        <v>1431</v>
      </c>
      <c r="H331" s="536" t="s">
        <v>1546</v>
      </c>
      <c r="I331" s="535" t="s">
        <v>1547</v>
      </c>
      <c r="J331" s="536" t="s">
        <v>1548</v>
      </c>
      <c r="K331" s="536" t="s">
        <v>575</v>
      </c>
      <c r="L331" s="535" t="s">
        <v>1549</v>
      </c>
      <c r="M331" s="536" t="s">
        <v>1550</v>
      </c>
      <c r="N331" s="536"/>
      <c r="O331" s="535"/>
      <c r="P331" s="536"/>
      <c r="Q331" s="536"/>
      <c r="R331" s="537">
        <f ca="1">SUMIF(CPQL!$D$5:$W$68,'FORM OH'!$I$331,CPQL!K5:K68)</f>
        <v>0</v>
      </c>
      <c r="S331" s="537">
        <f ca="1">SUMIF(CPQL!$D$5:$W$68,'FORM OH'!$I$331,CPQL!L5:L68)</f>
        <v>0</v>
      </c>
      <c r="T331" s="537">
        <f ca="1">SUMIF(CPQL!$D$5:$W$68,'FORM OH'!$I$331,CPQL!M5:M68)</f>
        <v>0</v>
      </c>
      <c r="U331" s="537">
        <f ca="1">SUMIF(CPQL!$D$5:$W$68,'FORM OH'!$I$331,CPQL!N5:N68)</f>
        <v>0</v>
      </c>
      <c r="V331" s="537">
        <f ca="1">SUMIF(CPQL!$D$5:$W$68,'FORM OH'!$I$331,CPQL!O5:O68)</f>
        <v>0</v>
      </c>
      <c r="W331" s="537">
        <f ca="1">SUMIF(CPQL!$D$5:$W$68,'FORM OH'!$I$331,CPQL!P5:P68)</f>
        <v>0</v>
      </c>
      <c r="X331" s="537">
        <f ca="1">SUMIF(CPQL!$D$5:$W$68,'FORM OH'!$I$331,CPQL!Q5:Q68)</f>
        <v>0</v>
      </c>
      <c r="Y331" s="537">
        <f ca="1">SUMIF(CPQL!$D$5:$W$68,'FORM OH'!$I$331,CPQL!R5:R68)</f>
        <v>0</v>
      </c>
      <c r="Z331" s="537">
        <f ca="1">SUMIF(CPQL!$D$5:$W$68,'FORM OH'!$I$331,CPQL!S5:S68)</f>
        <v>0</v>
      </c>
      <c r="AA331" s="537">
        <f ca="1">SUMIF(CPQL!$D$5:$W$68,'FORM OH'!$I$331,CPQL!T5:T68)</f>
        <v>0</v>
      </c>
      <c r="AB331" s="537">
        <f ca="1">SUMIF(CPQL!$D$5:$W$68,'FORM OH'!$I$331,CPQL!U5:U68)</f>
        <v>0</v>
      </c>
      <c r="AC331" s="537">
        <f ca="1">SUMIF(CPQL!$D$5:$W$68,'FORM OH'!$I$331,CPQL!V5:V68)</f>
        <v>0</v>
      </c>
      <c r="AD331" s="537">
        <f t="shared" ca="1" si="47"/>
        <v>0</v>
      </c>
      <c r="AE331" s="533"/>
      <c r="AF331" s="537">
        <f ca="1">SUMIF(CPQL!$D$5:$W$68,'FORM OH'!$I$331,CPQL!Y5:Y68)</f>
        <v>0</v>
      </c>
      <c r="AG331" s="537">
        <f ca="1">SUMIF(CPQL!$D$5:$W$68,'FORM OH'!$I$331,CPQL!Z5:Z68)</f>
        <v>0</v>
      </c>
      <c r="AH331" s="537">
        <f ca="1">SUMIF(CPQL!$D$5:$W$68,'FORM OH'!$I$331,CPQL!AA5:AA68)</f>
        <v>0</v>
      </c>
      <c r="AI331" s="537">
        <f ca="1">SUMIF(CPQL!$D$5:$W$68,'FORM OH'!$I$331,CPQL!AB5:AB68)</f>
        <v>0</v>
      </c>
      <c r="AJ331" s="537">
        <f ca="1">SUMIF(CPQL!$D$5:$W$68,'FORM OH'!$I$331,CPQL!AC5:AC68)</f>
        <v>0</v>
      </c>
      <c r="AK331" s="537">
        <f ca="1">SUMIF(CPQL!$D$5:$W$68,'FORM OH'!$I$331,CPQL!AD5:AD68)</f>
        <v>0</v>
      </c>
      <c r="AL331" s="537">
        <f ca="1">SUMIF(CPQL!$D$5:$W$68,'FORM OH'!$I$331,CPQL!AE5:AE68)</f>
        <v>0</v>
      </c>
      <c r="AM331" s="537">
        <f ca="1">SUMIF(CPQL!$D$5:$W$68,'FORM OH'!$I$331,CPQL!AF5:AF68)</f>
        <v>0</v>
      </c>
      <c r="AN331" s="537">
        <f ca="1">SUMIF(CPQL!$D$5:$W$68,'FORM OH'!$I$331,CPQL!AG5:AG68)</f>
        <v>0</v>
      </c>
      <c r="AO331" s="537">
        <f ca="1">SUMIF(CPQL!$D$5:$W$68,'FORM OH'!$I$331,CPQL!AH5:AH68)</f>
        <v>0</v>
      </c>
      <c r="AP331" s="537">
        <f ca="1">SUMIF(CPQL!$D$5:$W$68,'FORM OH'!$I$331,CPQL!AI5:AI68)</f>
        <v>0</v>
      </c>
      <c r="AQ331" s="537">
        <f ca="1">SUMIF(CPQL!$D$5:$W$68,'FORM OH'!$I$331,CPQL!AJ5:AJ68)</f>
        <v>0</v>
      </c>
      <c r="AR331" s="1284">
        <f t="shared" ca="1" si="48"/>
        <v>0</v>
      </c>
      <c r="AS331" s="1284">
        <f t="shared" ref="AS331:AS356" ca="1" si="49">AD331-AR331</f>
        <v>0</v>
      </c>
      <c r="AT331" s="1297">
        <f t="shared" ref="AT331:AT356" ca="1" si="50">IFERROR(AS331/AR331,0)</f>
        <v>0</v>
      </c>
    </row>
    <row r="332" spans="1:46" s="539" customFormat="1" ht="16.399999999999999" customHeight="1" outlineLevel="1" x14ac:dyDescent="0.35">
      <c r="A332" s="534" t="s">
        <v>782</v>
      </c>
      <c r="B332" s="534" t="s">
        <v>783</v>
      </c>
      <c r="C332" s="535" t="s">
        <v>1418</v>
      </c>
      <c r="D332" s="536" t="s">
        <v>817</v>
      </c>
      <c r="E332" s="536" t="s">
        <v>818</v>
      </c>
      <c r="F332" s="536" t="s">
        <v>1048</v>
      </c>
      <c r="G332" s="536" t="s">
        <v>1431</v>
      </c>
      <c r="H332" s="536" t="s">
        <v>1546</v>
      </c>
      <c r="I332" s="535" t="s">
        <v>1551</v>
      </c>
      <c r="J332" s="536" t="s">
        <v>1103</v>
      </c>
      <c r="K332" s="536" t="s">
        <v>594</v>
      </c>
      <c r="L332" s="535" t="s">
        <v>1104</v>
      </c>
      <c r="M332" s="536" t="s">
        <v>1105</v>
      </c>
      <c r="N332" s="536"/>
      <c r="O332" s="535"/>
      <c r="P332" s="536"/>
      <c r="Q332" s="536"/>
      <c r="R332" s="537">
        <f ca="1">SUMIF(CPQL!$D$5:$W$68,'FORM OH'!$I$332,CPQL!K5:K68)</f>
        <v>0</v>
      </c>
      <c r="S332" s="537">
        <f ca="1">SUMIF(CPQL!$D$5:$W$68,'FORM OH'!$I$332,CPQL!L5:L68)</f>
        <v>0</v>
      </c>
      <c r="T332" s="537">
        <f ca="1">SUMIF(CPQL!$D$5:$W$68,'FORM OH'!$I$332,CPQL!M5:M68)</f>
        <v>0</v>
      </c>
      <c r="U332" s="537">
        <f ca="1">SUMIF(CPQL!$D$5:$W$68,'FORM OH'!$I$332,CPQL!N5:N68)</f>
        <v>0</v>
      </c>
      <c r="V332" s="537">
        <f ca="1">SUMIF(CPQL!$D$5:$W$68,'FORM OH'!$I$332,CPQL!O5:O68)</f>
        <v>0</v>
      </c>
      <c r="W332" s="537">
        <f ca="1">SUMIF(CPQL!$D$5:$W$68,'FORM OH'!$I$332,CPQL!P5:P68)</f>
        <v>0</v>
      </c>
      <c r="X332" s="537">
        <f ca="1">SUMIF(CPQL!$D$5:$W$68,'FORM OH'!$I$332,CPQL!Q5:Q68)</f>
        <v>0</v>
      </c>
      <c r="Y332" s="537">
        <f ca="1">SUMIF(CPQL!$D$5:$W$68,'FORM OH'!$I$332,CPQL!R5:R68)</f>
        <v>0</v>
      </c>
      <c r="Z332" s="537">
        <f ca="1">SUMIF(CPQL!$D$5:$W$68,'FORM OH'!$I$332,CPQL!S5:S68)</f>
        <v>0</v>
      </c>
      <c r="AA332" s="537">
        <f ca="1">SUMIF(CPQL!$D$5:$W$68,'FORM OH'!$I$332,CPQL!T5:T68)</f>
        <v>0</v>
      </c>
      <c r="AB332" s="537">
        <f ca="1">SUMIF(CPQL!$D$5:$W$68,'FORM OH'!$I$332,CPQL!U5:U68)</f>
        <v>0</v>
      </c>
      <c r="AC332" s="537">
        <f ca="1">SUMIF(CPQL!$D$5:$W$68,'FORM OH'!$I$332,CPQL!V5:V68)</f>
        <v>0</v>
      </c>
      <c r="AD332" s="537">
        <f t="shared" ca="1" si="47"/>
        <v>0</v>
      </c>
      <c r="AE332" s="533"/>
      <c r="AF332" s="537">
        <f ca="1">SUMIF(CPQL!$D$5:$W$68,'FORM OH'!$I$332,CPQL!Y5:Y68)</f>
        <v>0</v>
      </c>
      <c r="AG332" s="537">
        <f ca="1">SUMIF(CPQL!$D$5:$W$68,'FORM OH'!$I$332,CPQL!Z5:Z68)</f>
        <v>0</v>
      </c>
      <c r="AH332" s="537">
        <f ca="1">SUMIF(CPQL!$D$5:$W$68,'FORM OH'!$I$332,CPQL!AA5:AA68)</f>
        <v>0</v>
      </c>
      <c r="AI332" s="537">
        <f ca="1">SUMIF(CPQL!$D$5:$W$68,'FORM OH'!$I$332,CPQL!AB5:AB68)</f>
        <v>0</v>
      </c>
      <c r="AJ332" s="537">
        <f ca="1">SUMIF(CPQL!$D$5:$W$68,'FORM OH'!$I$332,CPQL!AC5:AC68)</f>
        <v>0</v>
      </c>
      <c r="AK332" s="537">
        <f ca="1">SUMIF(CPQL!$D$5:$W$68,'FORM OH'!$I$332,CPQL!AD5:AD68)</f>
        <v>0</v>
      </c>
      <c r="AL332" s="537">
        <f ca="1">SUMIF(CPQL!$D$5:$W$68,'FORM OH'!$I$332,CPQL!AE5:AE68)</f>
        <v>0</v>
      </c>
      <c r="AM332" s="537">
        <f ca="1">SUMIF(CPQL!$D$5:$W$68,'FORM OH'!$I$332,CPQL!AF5:AF68)</f>
        <v>0</v>
      </c>
      <c r="AN332" s="537">
        <f ca="1">SUMIF(CPQL!$D$5:$W$68,'FORM OH'!$I$332,CPQL!AG5:AG68)</f>
        <v>0</v>
      </c>
      <c r="AO332" s="537">
        <f ca="1">SUMIF(CPQL!$D$5:$W$68,'FORM OH'!$I$332,CPQL!AH5:AH68)</f>
        <v>0</v>
      </c>
      <c r="AP332" s="537">
        <f ca="1">SUMIF(CPQL!$D$5:$W$68,'FORM OH'!$I$332,CPQL!AI5:AI68)</f>
        <v>0</v>
      </c>
      <c r="AQ332" s="537">
        <f ca="1">SUMIF(CPQL!$D$5:$W$68,'FORM OH'!$I$332,CPQL!AJ5:AJ68)</f>
        <v>0</v>
      </c>
      <c r="AR332" s="1284">
        <f t="shared" ca="1" si="48"/>
        <v>0</v>
      </c>
      <c r="AS332" s="1284">
        <f t="shared" ca="1" si="49"/>
        <v>0</v>
      </c>
      <c r="AT332" s="1297">
        <f t="shared" ca="1" si="50"/>
        <v>0</v>
      </c>
    </row>
    <row r="333" spans="1:46" s="539" customFormat="1" ht="16.399999999999999" customHeight="1" outlineLevel="1" x14ac:dyDescent="0.35">
      <c r="A333" s="534" t="s">
        <v>782</v>
      </c>
      <c r="B333" s="534" t="s">
        <v>783</v>
      </c>
      <c r="C333" s="535" t="s">
        <v>1418</v>
      </c>
      <c r="D333" s="536" t="s">
        <v>817</v>
      </c>
      <c r="E333" s="536" t="s">
        <v>818</v>
      </c>
      <c r="F333" s="536" t="s">
        <v>1106</v>
      </c>
      <c r="G333" s="536" t="s">
        <v>1431</v>
      </c>
      <c r="H333" s="536" t="s">
        <v>1107</v>
      </c>
      <c r="I333" s="535" t="s">
        <v>1552</v>
      </c>
      <c r="J333" s="536" t="s">
        <v>452</v>
      </c>
      <c r="K333" s="536" t="s">
        <v>575</v>
      </c>
      <c r="L333" s="535" t="s">
        <v>1109</v>
      </c>
      <c r="M333" s="536" t="s">
        <v>1110</v>
      </c>
      <c r="N333" s="536"/>
      <c r="O333" s="535"/>
      <c r="P333" s="536"/>
      <c r="Q333" s="536"/>
      <c r="R333" s="537">
        <f ca="1">SUMIF(CPQL!$D$5:$W$68,'FORM OH'!$I$333,CPQL!K5:K68)</f>
        <v>0</v>
      </c>
      <c r="S333" s="537">
        <f ca="1">SUMIF(CPQL!$D$5:$W$68,'FORM OH'!$I$333,CPQL!L5:L68)</f>
        <v>0</v>
      </c>
      <c r="T333" s="537">
        <f ca="1">SUMIF(CPQL!$D$5:$W$68,'FORM OH'!$I$333,CPQL!M5:M68)</f>
        <v>0</v>
      </c>
      <c r="U333" s="537">
        <f ca="1">SUMIF(CPQL!$D$5:$W$68,'FORM OH'!$I$333,CPQL!N5:N68)</f>
        <v>0</v>
      </c>
      <c r="V333" s="537">
        <f ca="1">SUMIF(CPQL!$D$5:$W$68,'FORM OH'!$I$333,CPQL!O5:O68)</f>
        <v>0</v>
      </c>
      <c r="W333" s="537">
        <f ca="1">SUMIF(CPQL!$D$5:$W$68,'FORM OH'!$I$333,CPQL!P5:P68)</f>
        <v>0</v>
      </c>
      <c r="X333" s="537">
        <f ca="1">SUMIF(CPQL!$D$5:$W$68,'FORM OH'!$I$333,CPQL!Q5:Q68)</f>
        <v>0</v>
      </c>
      <c r="Y333" s="537">
        <f ca="1">SUMIF(CPQL!$D$5:$W$68,'FORM OH'!$I$333,CPQL!R5:R68)</f>
        <v>0</v>
      </c>
      <c r="Z333" s="537">
        <f ca="1">SUMIF(CPQL!$D$5:$W$68,'FORM OH'!$I$333,CPQL!S5:S68)</f>
        <v>0</v>
      </c>
      <c r="AA333" s="537">
        <f ca="1">SUMIF(CPQL!$D$5:$W$68,'FORM OH'!$I$333,CPQL!T5:T68)</f>
        <v>0</v>
      </c>
      <c r="AB333" s="537">
        <f ca="1">SUMIF(CPQL!$D$5:$W$68,'FORM OH'!$I$333,CPQL!U5:U68)</f>
        <v>0</v>
      </c>
      <c r="AC333" s="537">
        <f ca="1">SUMIF(CPQL!$D$5:$W$68,'FORM OH'!$I$333,CPQL!V5:V68)</f>
        <v>0</v>
      </c>
      <c r="AD333" s="537">
        <f t="shared" ca="1" si="47"/>
        <v>0</v>
      </c>
      <c r="AE333" s="533"/>
      <c r="AF333" s="537">
        <f ca="1">SUMIF(CPQL!$D$5:$W$68,'FORM OH'!$I$333,CPQL!Y5:Y68)</f>
        <v>0</v>
      </c>
      <c r="AG333" s="537">
        <f ca="1">SUMIF(CPQL!$D$5:$W$68,'FORM OH'!$I$333,CPQL!Z5:Z68)</f>
        <v>0</v>
      </c>
      <c r="AH333" s="537">
        <f ca="1">SUMIF(CPQL!$D$5:$W$68,'FORM OH'!$I$333,CPQL!AA5:AA68)</f>
        <v>0</v>
      </c>
      <c r="AI333" s="537">
        <f ca="1">SUMIF(CPQL!$D$5:$W$68,'FORM OH'!$I$333,CPQL!AB5:AB68)</f>
        <v>0</v>
      </c>
      <c r="AJ333" s="537">
        <f ca="1">SUMIF(CPQL!$D$5:$W$68,'FORM OH'!$I$333,CPQL!AC5:AC68)</f>
        <v>0</v>
      </c>
      <c r="AK333" s="537">
        <f ca="1">SUMIF(CPQL!$D$5:$W$68,'FORM OH'!$I$333,CPQL!AD5:AD68)</f>
        <v>0</v>
      </c>
      <c r="AL333" s="537">
        <f ca="1">SUMIF(CPQL!$D$5:$W$68,'FORM OH'!$I$333,CPQL!AE5:AE68)</f>
        <v>0</v>
      </c>
      <c r="AM333" s="537">
        <f ca="1">SUMIF(CPQL!$D$5:$W$68,'FORM OH'!$I$333,CPQL!AF5:AF68)</f>
        <v>0</v>
      </c>
      <c r="AN333" s="537">
        <f ca="1">SUMIF(CPQL!$D$5:$W$68,'FORM OH'!$I$333,CPQL!AG5:AG68)</f>
        <v>0</v>
      </c>
      <c r="AO333" s="537">
        <f ca="1">SUMIF(CPQL!$D$5:$W$68,'FORM OH'!$I$333,CPQL!AH5:AH68)</f>
        <v>0</v>
      </c>
      <c r="AP333" s="537">
        <f ca="1">SUMIF(CPQL!$D$5:$W$68,'FORM OH'!$I$333,CPQL!AI5:AI68)</f>
        <v>0</v>
      </c>
      <c r="AQ333" s="537">
        <f ca="1">SUMIF(CPQL!$D$5:$W$68,'FORM OH'!$I$333,CPQL!AJ5:AJ68)</f>
        <v>0</v>
      </c>
      <c r="AR333" s="1284">
        <f t="shared" ca="1" si="48"/>
        <v>0</v>
      </c>
      <c r="AS333" s="1284">
        <f t="shared" ca="1" si="49"/>
        <v>0</v>
      </c>
      <c r="AT333" s="1297">
        <f t="shared" ca="1" si="50"/>
        <v>0</v>
      </c>
    </row>
    <row r="334" spans="1:46" s="539" customFormat="1" ht="16.399999999999999" customHeight="1" outlineLevel="1" x14ac:dyDescent="0.35">
      <c r="A334" s="534" t="s">
        <v>782</v>
      </c>
      <c r="B334" s="534" t="s">
        <v>783</v>
      </c>
      <c r="C334" s="535" t="s">
        <v>1418</v>
      </c>
      <c r="D334" s="536" t="s">
        <v>817</v>
      </c>
      <c r="E334" s="536" t="s">
        <v>818</v>
      </c>
      <c r="F334" s="536" t="s">
        <v>1106</v>
      </c>
      <c r="G334" s="536" t="s">
        <v>1431</v>
      </c>
      <c r="H334" s="536" t="s">
        <v>1107</v>
      </c>
      <c r="I334" s="535" t="s">
        <v>1553</v>
      </c>
      <c r="J334" s="536" t="s">
        <v>493</v>
      </c>
      <c r="K334" s="536" t="s">
        <v>589</v>
      </c>
      <c r="L334" s="535" t="s">
        <v>1554</v>
      </c>
      <c r="M334" s="536" t="s">
        <v>1555</v>
      </c>
      <c r="N334" s="536"/>
      <c r="O334" s="535"/>
      <c r="P334" s="536"/>
      <c r="Q334" s="536"/>
      <c r="R334" s="537">
        <f ca="1">SUMIF(CPQL!$D$5:$W$68,'FORM OH'!$I$334,CPQL!K5:K68)</f>
        <v>6483974.416666667</v>
      </c>
      <c r="S334" s="537">
        <f ca="1">SUMIF(CPQL!$D$5:$W$68,'FORM OH'!$I$334,CPQL!L5:L68)</f>
        <v>6483974.416666667</v>
      </c>
      <c r="T334" s="537">
        <f ca="1">SUMIF(CPQL!$D$5:$W$68,'FORM OH'!$I$334,CPQL!M5:M68)</f>
        <v>6483974.416666667</v>
      </c>
      <c r="U334" s="537">
        <f ca="1">SUMIF(CPQL!$D$5:$W$68,'FORM OH'!$I$334,CPQL!N5:N68)</f>
        <v>6483974.416666667</v>
      </c>
      <c r="V334" s="537">
        <f ca="1">SUMIF(CPQL!$D$5:$W$68,'FORM OH'!$I$334,CPQL!O5:O68)</f>
        <v>6483974.416666667</v>
      </c>
      <c r="W334" s="537">
        <f ca="1">SUMIF(CPQL!$D$5:$W$68,'FORM OH'!$I$334,CPQL!P5:P68)</f>
        <v>6483974.416666667</v>
      </c>
      <c r="X334" s="537">
        <f ca="1">SUMIF(CPQL!$D$5:$W$68,'FORM OH'!$I$334,CPQL!Q5:Q68)</f>
        <v>6483974.416666667</v>
      </c>
      <c r="Y334" s="537">
        <f ca="1">SUMIF(CPQL!$D$5:$W$68,'FORM OH'!$I$334,CPQL!R5:R68)</f>
        <v>6483974.416666667</v>
      </c>
      <c r="Z334" s="537">
        <f ca="1">SUMIF(CPQL!$D$5:$W$68,'FORM OH'!$I$334,CPQL!S5:S68)</f>
        <v>6483974.416666667</v>
      </c>
      <c r="AA334" s="537">
        <f ca="1">SUMIF(CPQL!$D$5:$W$68,'FORM OH'!$I$334,CPQL!T5:T68)</f>
        <v>6483974.416666667</v>
      </c>
      <c r="AB334" s="537">
        <f ca="1">SUMIF(CPQL!$D$5:$W$68,'FORM OH'!$I$334,CPQL!U5:U68)</f>
        <v>6483974.416666667</v>
      </c>
      <c r="AC334" s="537">
        <f ca="1">SUMIF(CPQL!$D$5:$W$68,'FORM OH'!$I$334,CPQL!V5:V68)</f>
        <v>6483974.416666667</v>
      </c>
      <c r="AD334" s="537">
        <f t="shared" ca="1" si="47"/>
        <v>77807693</v>
      </c>
      <c r="AE334" s="533"/>
      <c r="AF334" s="537">
        <f ca="1">SUMIF(CPQL!$D$5:$W$68,'FORM OH'!$I$334,CPQL!Y5:Y68)</f>
        <v>0</v>
      </c>
      <c r="AG334" s="537">
        <f ca="1">SUMIF(CPQL!$D$5:$W$68,'FORM OH'!$I$334,CPQL!Z5:Z68)</f>
        <v>0</v>
      </c>
      <c r="AH334" s="537">
        <f ca="1">SUMIF(CPQL!$D$5:$W$68,'FORM OH'!$I$334,CPQL!AA5:AA68)</f>
        <v>0</v>
      </c>
      <c r="AI334" s="537">
        <f ca="1">SUMIF(CPQL!$D$5:$W$68,'FORM OH'!$I$334,CPQL!AB5:AB68)</f>
        <v>0</v>
      </c>
      <c r="AJ334" s="537">
        <f ca="1">SUMIF(CPQL!$D$5:$W$68,'FORM OH'!$I$334,CPQL!AC5:AC68)</f>
        <v>0</v>
      </c>
      <c r="AK334" s="537">
        <f ca="1">SUMIF(CPQL!$D$5:$W$68,'FORM OH'!$I$334,CPQL!AD5:AD68)</f>
        <v>0</v>
      </c>
      <c r="AL334" s="537">
        <f ca="1">SUMIF(CPQL!$D$5:$W$68,'FORM OH'!$I$334,CPQL!AE5:AE68)</f>
        <v>0</v>
      </c>
      <c r="AM334" s="537">
        <f ca="1">SUMIF(CPQL!$D$5:$W$68,'FORM OH'!$I$334,CPQL!AF5:AF68)</f>
        <v>0</v>
      </c>
      <c r="AN334" s="537">
        <f ca="1">SUMIF(CPQL!$D$5:$W$68,'FORM OH'!$I$334,CPQL!AG5:AG68)</f>
        <v>0</v>
      </c>
      <c r="AO334" s="537">
        <f ca="1">SUMIF(CPQL!$D$5:$W$68,'FORM OH'!$I$334,CPQL!AH5:AH68)</f>
        <v>0</v>
      </c>
      <c r="AP334" s="537">
        <f ca="1">SUMIF(CPQL!$D$5:$W$68,'FORM OH'!$I$334,CPQL!AI5:AI68)</f>
        <v>0</v>
      </c>
      <c r="AQ334" s="537">
        <f ca="1">SUMIF(CPQL!$D$5:$W$68,'FORM OH'!$I$334,CPQL!AJ5:AJ68)</f>
        <v>0</v>
      </c>
      <c r="AR334" s="1284">
        <f t="shared" ca="1" si="48"/>
        <v>0</v>
      </c>
      <c r="AS334" s="1284">
        <f t="shared" ca="1" si="49"/>
        <v>77807693</v>
      </c>
      <c r="AT334" s="1297">
        <f t="shared" ca="1" si="50"/>
        <v>0</v>
      </c>
    </row>
    <row r="335" spans="1:46" s="539" customFormat="1" ht="16.399999999999999" customHeight="1" outlineLevel="1" x14ac:dyDescent="0.35">
      <c r="A335" s="534" t="s">
        <v>782</v>
      </c>
      <c r="B335" s="534" t="s">
        <v>783</v>
      </c>
      <c r="C335" s="535" t="s">
        <v>1418</v>
      </c>
      <c r="D335" s="536" t="s">
        <v>817</v>
      </c>
      <c r="E335" s="536" t="s">
        <v>818</v>
      </c>
      <c r="F335" s="536" t="s">
        <v>1106</v>
      </c>
      <c r="G335" s="536" t="s">
        <v>1431</v>
      </c>
      <c r="H335" s="536" t="s">
        <v>1107</v>
      </c>
      <c r="I335" s="535" t="s">
        <v>1556</v>
      </c>
      <c r="J335" s="536" t="s">
        <v>493</v>
      </c>
      <c r="K335" s="536" t="s">
        <v>589</v>
      </c>
      <c r="L335" s="535" t="s">
        <v>1554</v>
      </c>
      <c r="M335" s="536" t="s">
        <v>1555</v>
      </c>
      <c r="N335" s="536"/>
      <c r="O335" s="535"/>
      <c r="P335" s="536"/>
      <c r="Q335" s="536"/>
      <c r="R335" s="537">
        <f ca="1">SUMIF(CPQL!$D$5:$W$68,'FORM OH'!$I$335,CPQL!K5:K68)</f>
        <v>0</v>
      </c>
      <c r="S335" s="537">
        <f ca="1">SUMIF(CPQL!$D$5:$W$68,'FORM OH'!$I$335,CPQL!L5:L68)</f>
        <v>0</v>
      </c>
      <c r="T335" s="537">
        <f ca="1">SUMIF(CPQL!$D$5:$W$68,'FORM OH'!$I$335,CPQL!M5:M68)</f>
        <v>0</v>
      </c>
      <c r="U335" s="537">
        <f ca="1">SUMIF(CPQL!$D$5:$W$68,'FORM OH'!$I$335,CPQL!N5:N68)</f>
        <v>0</v>
      </c>
      <c r="V335" s="537">
        <f ca="1">SUMIF(CPQL!$D$5:$W$68,'FORM OH'!$I$335,CPQL!O5:O68)</f>
        <v>0</v>
      </c>
      <c r="W335" s="537">
        <f ca="1">SUMIF(CPQL!$D$5:$W$68,'FORM OH'!$I$335,CPQL!P5:P68)</f>
        <v>0</v>
      </c>
      <c r="X335" s="537">
        <f ca="1">SUMIF(CPQL!$D$5:$W$68,'FORM OH'!$I$335,CPQL!Q5:Q68)</f>
        <v>0</v>
      </c>
      <c r="Y335" s="537">
        <f ca="1">SUMIF(CPQL!$D$5:$W$68,'FORM OH'!$I$335,CPQL!R5:R68)</f>
        <v>0</v>
      </c>
      <c r="Z335" s="537">
        <f ca="1">SUMIF(CPQL!$D$5:$W$68,'FORM OH'!$I$335,CPQL!S5:S68)</f>
        <v>0</v>
      </c>
      <c r="AA335" s="537">
        <f ca="1">SUMIF(CPQL!$D$5:$W$68,'FORM OH'!$I$335,CPQL!T5:T68)</f>
        <v>0</v>
      </c>
      <c r="AB335" s="537">
        <f ca="1">SUMIF(CPQL!$D$5:$W$68,'FORM OH'!$I$335,CPQL!U5:U68)</f>
        <v>0</v>
      </c>
      <c r="AC335" s="537">
        <f ca="1">SUMIF(CPQL!$D$5:$W$68,'FORM OH'!$I$335,CPQL!V5:V68)</f>
        <v>0</v>
      </c>
      <c r="AD335" s="537">
        <f t="shared" ca="1" si="47"/>
        <v>0</v>
      </c>
      <c r="AE335" s="533"/>
      <c r="AF335" s="537">
        <f ca="1">SUMIF(CPQL!$D$5:$W$68,'FORM OH'!$I$335,CPQL!Y5:Y68)</f>
        <v>0</v>
      </c>
      <c r="AG335" s="537">
        <f ca="1">SUMIF(CPQL!$D$5:$W$68,'FORM OH'!$I$335,CPQL!Z5:Z68)</f>
        <v>0</v>
      </c>
      <c r="AH335" s="537">
        <f ca="1">SUMIF(CPQL!$D$5:$W$68,'FORM OH'!$I$335,CPQL!AA5:AA68)</f>
        <v>0</v>
      </c>
      <c r="AI335" s="537">
        <f ca="1">SUMIF(CPQL!$D$5:$W$68,'FORM OH'!$I$335,CPQL!AB5:AB68)</f>
        <v>0</v>
      </c>
      <c r="AJ335" s="537">
        <f ca="1">SUMIF(CPQL!$D$5:$W$68,'FORM OH'!$I$335,CPQL!AC5:AC68)</f>
        <v>0</v>
      </c>
      <c r="AK335" s="537">
        <f ca="1">SUMIF(CPQL!$D$5:$W$68,'FORM OH'!$I$335,CPQL!AD5:AD68)</f>
        <v>0</v>
      </c>
      <c r="AL335" s="537">
        <f ca="1">SUMIF(CPQL!$D$5:$W$68,'FORM OH'!$I$335,CPQL!AE5:AE68)</f>
        <v>0</v>
      </c>
      <c r="AM335" s="537">
        <f ca="1">SUMIF(CPQL!$D$5:$W$68,'FORM OH'!$I$335,CPQL!AF5:AF68)</f>
        <v>0</v>
      </c>
      <c r="AN335" s="537">
        <f ca="1">SUMIF(CPQL!$D$5:$W$68,'FORM OH'!$I$335,CPQL!AG5:AG68)</f>
        <v>0</v>
      </c>
      <c r="AO335" s="537">
        <f ca="1">SUMIF(CPQL!$D$5:$W$68,'FORM OH'!$I$335,CPQL!AH5:AH68)</f>
        <v>0</v>
      </c>
      <c r="AP335" s="537">
        <f ca="1">SUMIF(CPQL!$D$5:$W$68,'FORM OH'!$I$335,CPQL!AI5:AI68)</f>
        <v>0</v>
      </c>
      <c r="AQ335" s="537">
        <f ca="1">SUMIF(CPQL!$D$5:$W$68,'FORM OH'!$I$335,CPQL!AJ5:AJ68)</f>
        <v>0</v>
      </c>
      <c r="AR335" s="1284">
        <f t="shared" ca="1" si="48"/>
        <v>0</v>
      </c>
      <c r="AS335" s="1284">
        <f t="shared" ca="1" si="49"/>
        <v>0</v>
      </c>
      <c r="AT335" s="1297">
        <f t="shared" ca="1" si="50"/>
        <v>0</v>
      </c>
    </row>
    <row r="336" spans="1:46" s="533" customFormat="1" ht="16.399999999999999" customHeight="1" outlineLevel="1" x14ac:dyDescent="0.35">
      <c r="A336" s="534" t="s">
        <v>782</v>
      </c>
      <c r="B336" s="534" t="s">
        <v>783</v>
      </c>
      <c r="C336" s="535" t="s">
        <v>1418</v>
      </c>
      <c r="D336" s="536" t="s">
        <v>817</v>
      </c>
      <c r="E336" s="536" t="s">
        <v>818</v>
      </c>
      <c r="F336" s="536" t="s">
        <v>1111</v>
      </c>
      <c r="G336" s="536" t="s">
        <v>1431</v>
      </c>
      <c r="H336" s="536" t="s">
        <v>1112</v>
      </c>
      <c r="I336" s="535" t="s">
        <v>1557</v>
      </c>
      <c r="J336" s="536" t="s">
        <v>453</v>
      </c>
      <c r="K336" s="536" t="s">
        <v>573</v>
      </c>
      <c r="L336" s="535" t="s">
        <v>1114</v>
      </c>
      <c r="M336" s="536" t="s">
        <v>1115</v>
      </c>
      <c r="N336" s="536"/>
      <c r="O336" s="535"/>
      <c r="P336" s="536"/>
      <c r="Q336" s="536"/>
      <c r="R336" s="537">
        <f ca="1">SUMIF(CPQL!$D$5:$W$68,'FORM OH'!$I$336,CPQL!K5:K68)</f>
        <v>0</v>
      </c>
      <c r="S336" s="537">
        <f ca="1">SUMIF(CPQL!$D$5:$W$68,'FORM OH'!$I$336,CPQL!L5:L68)</f>
        <v>0</v>
      </c>
      <c r="T336" s="537">
        <f ca="1">SUMIF(CPQL!$D$5:$W$68,'FORM OH'!$I$336,CPQL!M5:M68)</f>
        <v>0</v>
      </c>
      <c r="U336" s="537">
        <f ca="1">SUMIF(CPQL!$D$5:$W$68,'FORM OH'!$I$336,CPQL!N5:N68)</f>
        <v>0</v>
      </c>
      <c r="V336" s="537">
        <f ca="1">SUMIF(CPQL!$D$5:$W$68,'FORM OH'!$I$336,CPQL!O5:O68)</f>
        <v>0</v>
      </c>
      <c r="W336" s="537">
        <f ca="1">SUMIF(CPQL!$D$5:$W$68,'FORM OH'!$I$336,CPQL!P5:P68)</f>
        <v>0</v>
      </c>
      <c r="X336" s="537">
        <f ca="1">SUMIF(CPQL!$D$5:$W$68,'FORM OH'!$I$336,CPQL!Q5:Q68)</f>
        <v>0</v>
      </c>
      <c r="Y336" s="537">
        <f ca="1">SUMIF(CPQL!$D$5:$W$68,'FORM OH'!$I$336,CPQL!R5:R68)</f>
        <v>0</v>
      </c>
      <c r="Z336" s="537">
        <f ca="1">SUMIF(CPQL!$D$5:$W$68,'FORM OH'!$I$336,CPQL!S5:S68)</f>
        <v>0</v>
      </c>
      <c r="AA336" s="537">
        <f ca="1">SUMIF(CPQL!$D$5:$W$68,'FORM OH'!$I$336,CPQL!T5:T68)</f>
        <v>0</v>
      </c>
      <c r="AB336" s="537">
        <f ca="1">SUMIF(CPQL!$D$5:$W$68,'FORM OH'!$I$336,CPQL!U5:U68)</f>
        <v>0</v>
      </c>
      <c r="AC336" s="537">
        <f ca="1">SUMIF(CPQL!$D$5:$W$68,'FORM OH'!$I$336,CPQL!V5:V68)</f>
        <v>0</v>
      </c>
      <c r="AD336" s="537">
        <f t="shared" ca="1" si="47"/>
        <v>0</v>
      </c>
      <c r="AF336" s="537">
        <f ca="1">SUMIF(CPQL!$D$5:$W$68,'FORM OH'!$I$336,CPQL!Y5:Y68)</f>
        <v>0</v>
      </c>
      <c r="AG336" s="537">
        <f ca="1">SUMIF(CPQL!$D$5:$W$68,'FORM OH'!$I$336,CPQL!Z5:Z68)</f>
        <v>0</v>
      </c>
      <c r="AH336" s="537">
        <f ca="1">SUMIF(CPQL!$D$5:$W$68,'FORM OH'!$I$336,CPQL!AA5:AA68)</f>
        <v>0</v>
      </c>
      <c r="AI336" s="537">
        <f ca="1">SUMIF(CPQL!$D$5:$W$68,'FORM OH'!$I$336,CPQL!AB5:AB68)</f>
        <v>0</v>
      </c>
      <c r="AJ336" s="537">
        <f ca="1">SUMIF(CPQL!$D$5:$W$68,'FORM OH'!$I$336,CPQL!AC5:AC68)</f>
        <v>0</v>
      </c>
      <c r="AK336" s="537">
        <f ca="1">SUMIF(CPQL!$D$5:$W$68,'FORM OH'!$I$336,CPQL!AD5:AD68)</f>
        <v>0</v>
      </c>
      <c r="AL336" s="537">
        <f ca="1">SUMIF(CPQL!$D$5:$W$68,'FORM OH'!$I$336,CPQL!AE5:AE68)</f>
        <v>0</v>
      </c>
      <c r="AM336" s="537">
        <f ca="1">SUMIF(CPQL!$D$5:$W$68,'FORM OH'!$I$336,CPQL!AF5:AF68)</f>
        <v>0</v>
      </c>
      <c r="AN336" s="537">
        <f ca="1">SUMIF(CPQL!$D$5:$W$68,'FORM OH'!$I$336,CPQL!AG5:AG68)</f>
        <v>0</v>
      </c>
      <c r="AO336" s="537">
        <f ca="1">SUMIF(CPQL!$D$5:$W$68,'FORM OH'!$I$336,CPQL!AH5:AH68)</f>
        <v>0</v>
      </c>
      <c r="AP336" s="537">
        <f ca="1">SUMIF(CPQL!$D$5:$W$68,'FORM OH'!$I$336,CPQL!AI5:AI68)</f>
        <v>0</v>
      </c>
      <c r="AQ336" s="537">
        <f ca="1">SUMIF(CPQL!$D$5:$W$68,'FORM OH'!$I$336,CPQL!AJ5:AJ68)</f>
        <v>0</v>
      </c>
      <c r="AR336" s="1284">
        <f t="shared" ca="1" si="48"/>
        <v>0</v>
      </c>
      <c r="AS336" s="719">
        <f t="shared" ca="1" si="49"/>
        <v>0</v>
      </c>
      <c r="AT336" s="718">
        <f t="shared" ca="1" si="50"/>
        <v>0</v>
      </c>
    </row>
    <row r="337" spans="1:46" s="533" customFormat="1" ht="16.399999999999999" customHeight="1" outlineLevel="1" x14ac:dyDescent="0.35">
      <c r="A337" s="534" t="s">
        <v>782</v>
      </c>
      <c r="B337" s="534" t="s">
        <v>783</v>
      </c>
      <c r="C337" s="535" t="s">
        <v>1418</v>
      </c>
      <c r="D337" s="536" t="s">
        <v>817</v>
      </c>
      <c r="E337" s="536" t="s">
        <v>818</v>
      </c>
      <c r="F337" s="536" t="s">
        <v>1111</v>
      </c>
      <c r="G337" s="536" t="s">
        <v>1431</v>
      </c>
      <c r="H337" s="536" t="s">
        <v>1112</v>
      </c>
      <c r="I337" s="535" t="s">
        <v>1558</v>
      </c>
      <c r="J337" s="536" t="s">
        <v>1559</v>
      </c>
      <c r="K337" s="536" t="s">
        <v>573</v>
      </c>
      <c r="L337" s="535" t="s">
        <v>1117</v>
      </c>
      <c r="M337" s="536"/>
      <c r="N337" s="536"/>
      <c r="O337" s="535"/>
      <c r="P337" s="536"/>
      <c r="Q337" s="536"/>
      <c r="R337" s="537">
        <f ca="1">SUMIF(CPQL!$D$5:$W$68,'FORM OH'!$I$337,CPQL!K5:K68)</f>
        <v>0</v>
      </c>
      <c r="S337" s="537">
        <f ca="1">SUMIF(CPQL!$D$5:$W$68,'FORM OH'!$I$337,CPQL!L5:L68)</f>
        <v>0</v>
      </c>
      <c r="T337" s="537">
        <f ca="1">SUMIF(CPQL!$D$5:$W$68,'FORM OH'!$I$337,CPQL!M5:M68)</f>
        <v>0</v>
      </c>
      <c r="U337" s="537">
        <f ca="1">SUMIF(CPQL!$D$5:$W$68,'FORM OH'!$I$337,CPQL!N5:N68)</f>
        <v>0</v>
      </c>
      <c r="V337" s="537">
        <f ca="1">SUMIF(CPQL!$D$5:$W$68,'FORM OH'!$I$337,CPQL!O5:O68)</f>
        <v>0</v>
      </c>
      <c r="W337" s="537">
        <f ca="1">SUMIF(CPQL!$D$5:$W$68,'FORM OH'!$I$337,CPQL!P5:P68)</f>
        <v>0</v>
      </c>
      <c r="X337" s="537">
        <f ca="1">SUMIF(CPQL!$D$5:$W$68,'FORM OH'!$I$337,CPQL!Q5:Q68)</f>
        <v>0</v>
      </c>
      <c r="Y337" s="537">
        <f ca="1">SUMIF(CPQL!$D$5:$W$68,'FORM OH'!$I$337,CPQL!R5:R68)</f>
        <v>0</v>
      </c>
      <c r="Z337" s="537">
        <f ca="1">SUMIF(CPQL!$D$5:$W$68,'FORM OH'!$I$337,CPQL!S5:S68)</f>
        <v>0</v>
      </c>
      <c r="AA337" s="537">
        <f ca="1">SUMIF(CPQL!$D$5:$W$68,'FORM OH'!$I$337,CPQL!T5:T68)</f>
        <v>0</v>
      </c>
      <c r="AB337" s="537">
        <f ca="1">SUMIF(CPQL!$D$5:$W$68,'FORM OH'!$I$337,CPQL!U5:U68)</f>
        <v>0</v>
      </c>
      <c r="AC337" s="537">
        <f ca="1">SUMIF(CPQL!$D$5:$W$68,'FORM OH'!$I$337,CPQL!V5:V68)</f>
        <v>0</v>
      </c>
      <c r="AD337" s="537">
        <f t="shared" ref="AD337:AD340" ca="1" si="51">SUM(R337:AC337)</f>
        <v>0</v>
      </c>
      <c r="AF337" s="537">
        <f ca="1">SUMIF(CPQL!$D$5:$W$68,'FORM OH'!$I$337,CPQL!Y5:Y68)</f>
        <v>0</v>
      </c>
      <c r="AG337" s="537">
        <f ca="1">SUMIF(CPQL!$D$5:$W$68,'FORM OH'!$I$337,CPQL!Z5:Z68)</f>
        <v>0</v>
      </c>
      <c r="AH337" s="537">
        <f ca="1">SUMIF(CPQL!$D$5:$W$68,'FORM OH'!$I$337,CPQL!AA5:AA68)</f>
        <v>0</v>
      </c>
      <c r="AI337" s="537">
        <f ca="1">SUMIF(CPQL!$D$5:$W$68,'FORM OH'!$I$337,CPQL!AB5:AB68)</f>
        <v>0</v>
      </c>
      <c r="AJ337" s="537">
        <f ca="1">SUMIF(CPQL!$D$5:$W$68,'FORM OH'!$I$337,CPQL!AC5:AC68)</f>
        <v>0</v>
      </c>
      <c r="AK337" s="537">
        <f ca="1">SUMIF(CPQL!$D$5:$W$68,'FORM OH'!$I$337,CPQL!AD5:AD68)</f>
        <v>0</v>
      </c>
      <c r="AL337" s="537">
        <f ca="1">SUMIF(CPQL!$D$5:$W$68,'FORM OH'!$I$337,CPQL!AE5:AE68)</f>
        <v>0</v>
      </c>
      <c r="AM337" s="537">
        <f ca="1">SUMIF(CPQL!$D$5:$W$68,'FORM OH'!$I$337,CPQL!AF5:AF68)</f>
        <v>0</v>
      </c>
      <c r="AN337" s="537">
        <f ca="1">SUMIF(CPQL!$D$5:$W$68,'FORM OH'!$I$337,CPQL!AG5:AG68)</f>
        <v>0</v>
      </c>
      <c r="AO337" s="537">
        <f ca="1">SUMIF(CPQL!$D$5:$W$68,'FORM OH'!$I$337,CPQL!AH5:AH68)</f>
        <v>0</v>
      </c>
      <c r="AP337" s="537">
        <f ca="1">SUMIF(CPQL!$D$5:$W$68,'FORM OH'!$I$337,CPQL!AI5:AI68)</f>
        <v>0</v>
      </c>
      <c r="AQ337" s="537">
        <f ca="1">SUMIF(CPQL!$D$5:$W$68,'FORM OH'!$I$337,CPQL!AJ5:AJ68)</f>
        <v>0</v>
      </c>
      <c r="AR337" s="1284">
        <f t="shared" ca="1" si="48"/>
        <v>0</v>
      </c>
      <c r="AS337" s="719">
        <f t="shared" ca="1" si="49"/>
        <v>0</v>
      </c>
      <c r="AT337" s="718">
        <f t="shared" ca="1" si="50"/>
        <v>0</v>
      </c>
    </row>
    <row r="338" spans="1:46" s="533" customFormat="1" ht="16.399999999999999" customHeight="1" outlineLevel="1" x14ac:dyDescent="0.35">
      <c r="A338" s="534" t="s">
        <v>782</v>
      </c>
      <c r="B338" s="534" t="s">
        <v>783</v>
      </c>
      <c r="C338" s="535" t="s">
        <v>1418</v>
      </c>
      <c r="D338" s="536" t="s">
        <v>817</v>
      </c>
      <c r="E338" s="536" t="s">
        <v>818</v>
      </c>
      <c r="F338" s="536" t="s">
        <v>1111</v>
      </c>
      <c r="G338" s="536" t="s">
        <v>1431</v>
      </c>
      <c r="H338" s="536" t="s">
        <v>1112</v>
      </c>
      <c r="I338" s="535" t="s">
        <v>1560</v>
      </c>
      <c r="J338" s="536" t="s">
        <v>494</v>
      </c>
      <c r="K338" s="536" t="s">
        <v>588</v>
      </c>
      <c r="L338" s="535" t="s">
        <v>1561</v>
      </c>
      <c r="M338" s="536" t="s">
        <v>1562</v>
      </c>
      <c r="N338" s="536"/>
      <c r="O338" s="535"/>
      <c r="P338" s="536"/>
      <c r="Q338" s="536"/>
      <c r="R338" s="537">
        <f ca="1">SUMIF(CPQL!$D$5:$W$68,'FORM OH'!$I$338,CPQL!K5:K68)</f>
        <v>3000000</v>
      </c>
      <c r="S338" s="537">
        <f ca="1">SUMIF(CPQL!$D$5:$W$68,'FORM OH'!$I$338,CPQL!L5:L68)</f>
        <v>0</v>
      </c>
      <c r="T338" s="537">
        <f ca="1">SUMIF(CPQL!$D$5:$W$68,'FORM OH'!$I$338,CPQL!M5:M68)</f>
        <v>0</v>
      </c>
      <c r="U338" s="537">
        <f ca="1">SUMIF(CPQL!$D$5:$W$68,'FORM OH'!$I$338,CPQL!N5:N68)</f>
        <v>0</v>
      </c>
      <c r="V338" s="537">
        <f ca="1">SUMIF(CPQL!$D$5:$W$68,'FORM OH'!$I$338,CPQL!O5:O68)</f>
        <v>0</v>
      </c>
      <c r="W338" s="537">
        <f ca="1">SUMIF(CPQL!$D$5:$W$68,'FORM OH'!$I$338,CPQL!P5:P68)</f>
        <v>0</v>
      </c>
      <c r="X338" s="537">
        <f ca="1">SUMIF(CPQL!$D$5:$W$68,'FORM OH'!$I$338,CPQL!Q5:Q68)</f>
        <v>0</v>
      </c>
      <c r="Y338" s="537">
        <f ca="1">SUMIF(CPQL!$D$5:$W$68,'FORM OH'!$I$338,CPQL!R5:R68)</f>
        <v>0</v>
      </c>
      <c r="Z338" s="537">
        <f ca="1">SUMIF(CPQL!$D$5:$W$68,'FORM OH'!$I$338,CPQL!S5:S68)</f>
        <v>0</v>
      </c>
      <c r="AA338" s="537">
        <f ca="1">SUMIF(CPQL!$D$5:$W$68,'FORM OH'!$I$338,CPQL!T5:T68)</f>
        <v>0</v>
      </c>
      <c r="AB338" s="537">
        <f ca="1">SUMIF(CPQL!$D$5:$W$68,'FORM OH'!$I$338,CPQL!U5:U68)</f>
        <v>0</v>
      </c>
      <c r="AC338" s="537">
        <f ca="1">SUMIF(CPQL!$D$5:$W$68,'FORM OH'!$I$338,CPQL!V5:V68)</f>
        <v>0</v>
      </c>
      <c r="AD338" s="537">
        <f t="shared" ca="1" si="51"/>
        <v>3000000</v>
      </c>
      <c r="AF338" s="537">
        <f ca="1">SUMIF(CPQL!$D$5:$W$68,'FORM OH'!$I$338,CPQL!Y5:Y68)</f>
        <v>3000000</v>
      </c>
      <c r="AG338" s="537">
        <f ca="1">SUMIF(CPQL!$D$5:$W$68,'FORM OH'!$I$338,CPQL!Z5:Z68)</f>
        <v>0</v>
      </c>
      <c r="AH338" s="537">
        <f ca="1">SUMIF(CPQL!$D$5:$W$68,'FORM OH'!$I$338,CPQL!AA5:AA68)</f>
        <v>0</v>
      </c>
      <c r="AI338" s="537">
        <f ca="1">SUMIF(CPQL!$D$5:$W$68,'FORM OH'!$I$338,CPQL!AB5:AB68)</f>
        <v>0</v>
      </c>
      <c r="AJ338" s="537">
        <f ca="1">SUMIF(CPQL!$D$5:$W$68,'FORM OH'!$I$338,CPQL!AC5:AC68)</f>
        <v>0</v>
      </c>
      <c r="AK338" s="537">
        <f ca="1">SUMIF(CPQL!$D$5:$W$68,'FORM OH'!$I$338,CPQL!AD5:AD68)</f>
        <v>0</v>
      </c>
      <c r="AL338" s="537">
        <f ca="1">SUMIF(CPQL!$D$5:$W$68,'FORM OH'!$I$338,CPQL!AE5:AE68)</f>
        <v>0</v>
      </c>
      <c r="AM338" s="537">
        <f ca="1">SUMIF(CPQL!$D$5:$W$68,'FORM OH'!$I$338,CPQL!AF5:AF68)</f>
        <v>0</v>
      </c>
      <c r="AN338" s="537">
        <f ca="1">SUMIF(CPQL!$D$5:$W$68,'FORM OH'!$I$338,CPQL!AG5:AG68)</f>
        <v>0</v>
      </c>
      <c r="AO338" s="537">
        <f ca="1">SUMIF(CPQL!$D$5:$W$68,'FORM OH'!$I$338,CPQL!AH5:AH68)</f>
        <v>0</v>
      </c>
      <c r="AP338" s="537">
        <f ca="1">SUMIF(CPQL!$D$5:$W$68,'FORM OH'!$I$338,CPQL!AI5:AI68)</f>
        <v>0</v>
      </c>
      <c r="AQ338" s="537">
        <f ca="1">SUMIF(CPQL!$D$5:$W$68,'FORM OH'!$I$338,CPQL!AJ5:AJ68)</f>
        <v>0</v>
      </c>
      <c r="AR338" s="1284">
        <f t="shared" ca="1" si="48"/>
        <v>3000000</v>
      </c>
      <c r="AS338" s="719">
        <f t="shared" ca="1" si="49"/>
        <v>0</v>
      </c>
      <c r="AT338" s="718">
        <f t="shared" ca="1" si="50"/>
        <v>0</v>
      </c>
    </row>
    <row r="339" spans="1:46" s="533" customFormat="1" ht="16.399999999999999" customHeight="1" outlineLevel="1" x14ac:dyDescent="0.35">
      <c r="A339" s="534" t="s">
        <v>782</v>
      </c>
      <c r="B339" s="534" t="s">
        <v>783</v>
      </c>
      <c r="C339" s="535" t="s">
        <v>1418</v>
      </c>
      <c r="D339" s="536" t="s">
        <v>817</v>
      </c>
      <c r="E339" s="536" t="s">
        <v>818</v>
      </c>
      <c r="F339" s="536" t="s">
        <v>1111</v>
      </c>
      <c r="G339" s="536" t="s">
        <v>1431</v>
      </c>
      <c r="H339" s="536" t="s">
        <v>1112</v>
      </c>
      <c r="I339" s="535" t="s">
        <v>1563</v>
      </c>
      <c r="J339" s="536" t="s">
        <v>494</v>
      </c>
      <c r="K339" s="536" t="s">
        <v>588</v>
      </c>
      <c r="L339" s="535" t="s">
        <v>1561</v>
      </c>
      <c r="M339" s="536" t="s">
        <v>1562</v>
      </c>
      <c r="N339" s="536"/>
      <c r="O339" s="535"/>
      <c r="P339" s="536"/>
      <c r="Q339" s="536"/>
      <c r="R339" s="537">
        <f ca="1">SUMIF(CPQL!$D$5:$W$68,'FORM OH'!$I$339,CPQL!K5:K68)</f>
        <v>0</v>
      </c>
      <c r="S339" s="537">
        <f ca="1">SUMIF(CPQL!$D$5:$W$68,'FORM OH'!$I$339,CPQL!L5:L68)</f>
        <v>0</v>
      </c>
      <c r="T339" s="537">
        <f ca="1">SUMIF(CPQL!$D$5:$W$68,'FORM OH'!$I$339,CPQL!M5:M68)</f>
        <v>0</v>
      </c>
      <c r="U339" s="537">
        <f ca="1">SUMIF(CPQL!$D$5:$W$68,'FORM OH'!$I$339,CPQL!N5:N68)</f>
        <v>0</v>
      </c>
      <c r="V339" s="537">
        <f ca="1">SUMIF(CPQL!$D$5:$W$68,'FORM OH'!$I$339,CPQL!O5:O68)</f>
        <v>0</v>
      </c>
      <c r="W339" s="537">
        <f ca="1">SUMIF(CPQL!$D$5:$W$68,'FORM OH'!$I$339,CPQL!P5:P68)</f>
        <v>0</v>
      </c>
      <c r="X339" s="537">
        <f ca="1">SUMIF(CPQL!$D$5:$W$68,'FORM OH'!$I$339,CPQL!Q5:Q68)</f>
        <v>0</v>
      </c>
      <c r="Y339" s="537">
        <f ca="1">SUMIF(CPQL!$D$5:$W$68,'FORM OH'!$I$339,CPQL!R5:R68)</f>
        <v>0</v>
      </c>
      <c r="Z339" s="537">
        <f ca="1">SUMIF(CPQL!$D$5:$W$68,'FORM OH'!$I$339,CPQL!S5:S68)</f>
        <v>0</v>
      </c>
      <c r="AA339" s="537">
        <f ca="1">SUMIF(CPQL!$D$5:$W$68,'FORM OH'!$I$339,CPQL!T5:T68)</f>
        <v>0</v>
      </c>
      <c r="AB339" s="537">
        <f ca="1">SUMIF(CPQL!$D$5:$W$68,'FORM OH'!$I$339,CPQL!U5:U68)</f>
        <v>0</v>
      </c>
      <c r="AC339" s="537">
        <f ca="1">SUMIF(CPQL!$D$5:$W$68,'FORM OH'!$I$339,CPQL!V5:V68)</f>
        <v>0</v>
      </c>
      <c r="AD339" s="537">
        <f t="shared" ca="1" si="51"/>
        <v>0</v>
      </c>
      <c r="AF339" s="537">
        <f ca="1">SUMIF(CPQL!$D$5:$W$68,'FORM OH'!$I$339,CPQL!Y5:Y68)</f>
        <v>0</v>
      </c>
      <c r="AG339" s="537">
        <f ca="1">SUMIF(CPQL!$D$5:$W$68,'FORM OH'!$I$339,CPQL!Z5:Z68)</f>
        <v>0</v>
      </c>
      <c r="AH339" s="537">
        <f ca="1">SUMIF(CPQL!$D$5:$W$68,'FORM OH'!$I$339,CPQL!AA5:AA68)</f>
        <v>0</v>
      </c>
      <c r="AI339" s="537">
        <f ca="1">SUMIF(CPQL!$D$5:$W$68,'FORM OH'!$I$339,CPQL!AB5:AB68)</f>
        <v>0</v>
      </c>
      <c r="AJ339" s="537">
        <f ca="1">SUMIF(CPQL!$D$5:$W$68,'FORM OH'!$I$339,CPQL!AC5:AC68)</f>
        <v>0</v>
      </c>
      <c r="AK339" s="537">
        <f ca="1">SUMIF(CPQL!$D$5:$W$68,'FORM OH'!$I$339,CPQL!AD5:AD68)</f>
        <v>0</v>
      </c>
      <c r="AL339" s="537">
        <f ca="1">SUMIF(CPQL!$D$5:$W$68,'FORM OH'!$I$339,CPQL!AE5:AE68)</f>
        <v>0</v>
      </c>
      <c r="AM339" s="537">
        <f ca="1">SUMIF(CPQL!$D$5:$W$68,'FORM OH'!$I$339,CPQL!AF5:AF68)</f>
        <v>0</v>
      </c>
      <c r="AN339" s="537">
        <f ca="1">SUMIF(CPQL!$D$5:$W$68,'FORM OH'!$I$339,CPQL!AG5:AG68)</f>
        <v>0</v>
      </c>
      <c r="AO339" s="537">
        <f ca="1">SUMIF(CPQL!$D$5:$W$68,'FORM OH'!$I$339,CPQL!AH5:AH68)</f>
        <v>0</v>
      </c>
      <c r="AP339" s="537">
        <f ca="1">SUMIF(CPQL!$D$5:$W$68,'FORM OH'!$I$339,CPQL!AI5:AI68)</f>
        <v>0</v>
      </c>
      <c r="AQ339" s="537">
        <f ca="1">SUMIF(CPQL!$D$5:$W$68,'FORM OH'!$I$339,CPQL!AJ5:AJ68)</f>
        <v>0</v>
      </c>
      <c r="AR339" s="1284">
        <f t="shared" ca="1" si="48"/>
        <v>0</v>
      </c>
      <c r="AS339" s="719">
        <f t="shared" ca="1" si="49"/>
        <v>0</v>
      </c>
      <c r="AT339" s="718">
        <f t="shared" ca="1" si="50"/>
        <v>0</v>
      </c>
    </row>
    <row r="340" spans="1:46" s="533" customFormat="1" ht="16.399999999999999" customHeight="1" outlineLevel="1" x14ac:dyDescent="0.35">
      <c r="A340" s="534" t="s">
        <v>782</v>
      </c>
      <c r="B340" s="534" t="s">
        <v>783</v>
      </c>
      <c r="C340" s="535" t="s">
        <v>1418</v>
      </c>
      <c r="D340" s="536" t="s">
        <v>817</v>
      </c>
      <c r="E340" s="536" t="s">
        <v>818</v>
      </c>
      <c r="F340" s="536" t="s">
        <v>1111</v>
      </c>
      <c r="G340" s="536" t="s">
        <v>1431</v>
      </c>
      <c r="H340" s="536" t="s">
        <v>1112</v>
      </c>
      <c r="I340" s="535" t="s">
        <v>1564</v>
      </c>
      <c r="J340" s="536" t="s">
        <v>96</v>
      </c>
      <c r="K340" s="536" t="s">
        <v>575</v>
      </c>
      <c r="L340" s="535" t="s">
        <v>1120</v>
      </c>
      <c r="M340" s="536" t="s">
        <v>1121</v>
      </c>
      <c r="N340" s="536"/>
      <c r="O340" s="535"/>
      <c r="P340" s="536"/>
      <c r="Q340" s="536"/>
      <c r="R340" s="537">
        <f ca="1">SUMIF(CPQL!$D$5:$W$68,'FORM OH'!$I$340,CPQL!K5:K68)</f>
        <v>3795569.2333333329</v>
      </c>
      <c r="S340" s="537">
        <f ca="1">SUMIF(CPQL!$D$5:$W$68,'FORM OH'!$I$340,CPQL!L5:L68)</f>
        <v>3795569.2333333329</v>
      </c>
      <c r="T340" s="537">
        <f ca="1">SUMIF(CPQL!$D$5:$W$68,'FORM OH'!$I$340,CPQL!M5:M68)</f>
        <v>10095569.233333332</v>
      </c>
      <c r="U340" s="537">
        <f ca="1">SUMIF(CPQL!$D$5:$W$68,'FORM OH'!$I$340,CPQL!N5:N68)</f>
        <v>3795569.2333333329</v>
      </c>
      <c r="V340" s="537">
        <f ca="1">SUMIF(CPQL!$D$5:$W$68,'FORM OH'!$I$340,CPQL!O5:O68)</f>
        <v>3795569.2333333329</v>
      </c>
      <c r="W340" s="537">
        <f ca="1">SUMIF(CPQL!$D$5:$W$68,'FORM OH'!$I$340,CPQL!P5:P68)</f>
        <v>3795569.2333333329</v>
      </c>
      <c r="X340" s="537">
        <f ca="1">SUMIF(CPQL!$D$5:$W$68,'FORM OH'!$I$340,CPQL!Q5:Q68)</f>
        <v>3795569.2333333329</v>
      </c>
      <c r="Y340" s="537">
        <f ca="1">SUMIF(CPQL!$D$5:$W$68,'FORM OH'!$I$340,CPQL!R5:R68)</f>
        <v>3795569.2333333329</v>
      </c>
      <c r="Z340" s="537">
        <f ca="1">SUMIF(CPQL!$D$5:$W$68,'FORM OH'!$I$340,CPQL!S5:S68)</f>
        <v>3795569.2333333329</v>
      </c>
      <c r="AA340" s="537">
        <f ca="1">SUMIF(CPQL!$D$5:$W$68,'FORM OH'!$I$340,CPQL!T5:T68)</f>
        <v>3795569.2333333329</v>
      </c>
      <c r="AB340" s="537">
        <f ca="1">SUMIF(CPQL!$D$5:$W$68,'FORM OH'!$I$340,CPQL!U5:U68)</f>
        <v>3795569.2333333329</v>
      </c>
      <c r="AC340" s="537">
        <f ca="1">SUMIF(CPQL!$D$5:$W$68,'FORM OH'!$I$340,CPQL!V5:V68)</f>
        <v>3795569.2333333329</v>
      </c>
      <c r="AD340" s="537">
        <f t="shared" ca="1" si="51"/>
        <v>51846830.800000004</v>
      </c>
      <c r="AF340" s="537">
        <f ca="1">SUMIF(CPQL!$D$5:$W$68,'FORM OH'!$I$340,CPQL!Y5:Y68)</f>
        <v>500000</v>
      </c>
      <c r="AG340" s="537">
        <f ca="1">SUMIF(CPQL!$D$5:$W$68,'FORM OH'!$I$340,CPQL!Z5:Z68)</f>
        <v>0</v>
      </c>
      <c r="AH340" s="537">
        <f ca="1">SUMIF(CPQL!$D$5:$W$68,'FORM OH'!$I$340,CPQL!AA5:AA68)</f>
        <v>2971401</v>
      </c>
      <c r="AI340" s="537">
        <f ca="1">SUMIF(CPQL!$D$5:$W$68,'FORM OH'!$I$340,CPQL!AB5:AB68)</f>
        <v>1529916</v>
      </c>
      <c r="AJ340" s="537">
        <f ca="1">SUMIF(CPQL!$D$5:$W$68,'FORM OH'!$I$340,CPQL!AC5:AC68)</f>
        <v>16170800</v>
      </c>
      <c r="AK340" s="537">
        <f ca="1">SUMIF(CPQL!$D$5:$W$68,'FORM OH'!$I$340,CPQL!AD5:AD68)</f>
        <v>2156287</v>
      </c>
      <c r="AL340" s="537">
        <f ca="1">SUMIF(CPQL!$D$5:$W$68,'FORM OH'!$I$340,CPQL!AE5:AE68)</f>
        <v>236428</v>
      </c>
      <c r="AM340" s="537">
        <f ca="1">SUMIF(CPQL!$D$5:$W$68,'FORM OH'!$I$340,CPQL!AF5:AF68)</f>
        <v>-148251</v>
      </c>
      <c r="AN340" s="537">
        <f ca="1">SUMIF(CPQL!$D$5:$W$68,'FORM OH'!$I$340,CPQL!AG5:AG68)</f>
        <v>10302050</v>
      </c>
      <c r="AO340" s="537">
        <f ca="1">SUMIF(CPQL!$D$5:$W$68,'FORM OH'!$I$340,CPQL!AH5:AH68)</f>
        <v>10000000</v>
      </c>
      <c r="AP340" s="537">
        <f ca="1">SUMIF(CPQL!$D$5:$W$68,'FORM OH'!$I$340,CPQL!AI5:AI68)</f>
        <v>10000000</v>
      </c>
      <c r="AQ340" s="537">
        <f ca="1">SUMIF(CPQL!$D$5:$W$68,'FORM OH'!$I$340,CPQL!AJ5:AJ68)</f>
        <v>10000000</v>
      </c>
      <c r="AR340" s="1284">
        <f t="shared" ca="1" si="48"/>
        <v>63718631</v>
      </c>
      <c r="AS340" s="719">
        <f t="shared" ca="1" si="49"/>
        <v>-11871800.199999996</v>
      </c>
      <c r="AT340" s="718">
        <f t="shared" ca="1" si="50"/>
        <v>-0.18631599602320389</v>
      </c>
    </row>
    <row r="341" spans="1:46" s="533" customFormat="1" ht="16.399999999999999" customHeight="1" x14ac:dyDescent="0.35">
      <c r="A341" s="528" t="s">
        <v>782</v>
      </c>
      <c r="B341" s="528" t="s">
        <v>783</v>
      </c>
      <c r="C341" s="529" t="s">
        <v>1418</v>
      </c>
      <c r="D341" s="529"/>
      <c r="E341" s="529"/>
      <c r="F341" s="529"/>
      <c r="G341" s="529"/>
      <c r="H341" s="530" t="s">
        <v>1565</v>
      </c>
      <c r="I341" s="530" t="s">
        <v>680</v>
      </c>
      <c r="J341" s="542"/>
      <c r="K341" s="529"/>
      <c r="L341" s="529"/>
      <c r="M341" s="529"/>
      <c r="N341" s="542"/>
      <c r="O341" s="530" t="s">
        <v>680</v>
      </c>
      <c r="P341" s="542"/>
      <c r="Q341" s="542"/>
      <c r="R341" s="532">
        <f t="shared" ref="R341:AD341" ca="1" si="52">SUM(R342:R355)</f>
        <v>10655816.666666668</v>
      </c>
      <c r="S341" s="532">
        <f t="shared" ca="1" si="52"/>
        <v>10655816.666666668</v>
      </c>
      <c r="T341" s="532">
        <f t="shared" ca="1" si="52"/>
        <v>10655816.666666668</v>
      </c>
      <c r="U341" s="532">
        <f t="shared" ca="1" si="52"/>
        <v>10655816.666666668</v>
      </c>
      <c r="V341" s="532">
        <f t="shared" ca="1" si="52"/>
        <v>10655816.666666668</v>
      </c>
      <c r="W341" s="532">
        <f t="shared" ca="1" si="52"/>
        <v>10655816.666666668</v>
      </c>
      <c r="X341" s="532">
        <f t="shared" ca="1" si="52"/>
        <v>10655816.666666668</v>
      </c>
      <c r="Y341" s="532">
        <f t="shared" ca="1" si="52"/>
        <v>10655816.666666668</v>
      </c>
      <c r="Z341" s="532">
        <f t="shared" ca="1" si="52"/>
        <v>10655816.666666668</v>
      </c>
      <c r="AA341" s="532">
        <f t="shared" ca="1" si="52"/>
        <v>10655816.666666668</v>
      </c>
      <c r="AB341" s="532">
        <f t="shared" ca="1" si="52"/>
        <v>10655816.666666668</v>
      </c>
      <c r="AC341" s="532">
        <f t="shared" ca="1" si="52"/>
        <v>10655816.666666668</v>
      </c>
      <c r="AD341" s="532">
        <f t="shared" ca="1" si="52"/>
        <v>127869800.00000001</v>
      </c>
      <c r="AF341" s="532">
        <f ca="1">SUM(AF342:AF355)</f>
        <v>7795267.2727272725</v>
      </c>
      <c r="AG341" s="532">
        <f t="shared" ref="AG341:AR341" ca="1" si="53">SUM(AG342:AG355)</f>
        <v>7795267.2727272725</v>
      </c>
      <c r="AH341" s="532">
        <f t="shared" ca="1" si="53"/>
        <v>7795267.2727272725</v>
      </c>
      <c r="AI341" s="532">
        <f t="shared" ca="1" si="53"/>
        <v>7795267.2727272725</v>
      </c>
      <c r="AJ341" s="532">
        <f t="shared" ca="1" si="53"/>
        <v>7795267.2727272725</v>
      </c>
      <c r="AK341" s="532">
        <f t="shared" ca="1" si="53"/>
        <v>7795267.2727272725</v>
      </c>
      <c r="AL341" s="532">
        <f t="shared" ca="1" si="53"/>
        <v>7795267.2727272725</v>
      </c>
      <c r="AM341" s="532">
        <f t="shared" ca="1" si="53"/>
        <v>7795267.2727272725</v>
      </c>
      <c r="AN341" s="532">
        <f t="shared" ca="1" si="53"/>
        <v>7795267.2727272725</v>
      </c>
      <c r="AO341" s="532">
        <f t="shared" ca="1" si="53"/>
        <v>7795267.2727272725</v>
      </c>
      <c r="AP341" s="532">
        <f t="shared" ca="1" si="53"/>
        <v>5952675</v>
      </c>
      <c r="AQ341" s="532">
        <f t="shared" ca="1" si="53"/>
        <v>5952675</v>
      </c>
      <c r="AR341" s="1283">
        <f t="shared" ca="1" si="53"/>
        <v>89858022.727272734</v>
      </c>
      <c r="AS341" s="1283">
        <f t="shared" ca="1" si="49"/>
        <v>38011777.272727281</v>
      </c>
      <c r="AT341" s="1298">
        <f t="shared" ca="1" si="50"/>
        <v>0.42302040618116515</v>
      </c>
    </row>
    <row r="342" spans="1:46" s="533" customFormat="1" ht="16.399999999999999" customHeight="1" outlineLevel="1" x14ac:dyDescent="0.35">
      <c r="A342" s="534" t="s">
        <v>782</v>
      </c>
      <c r="B342" s="534" t="s">
        <v>783</v>
      </c>
      <c r="C342" s="535" t="s">
        <v>1418</v>
      </c>
      <c r="D342" s="536" t="s">
        <v>1123</v>
      </c>
      <c r="E342" s="536" t="s">
        <v>1124</v>
      </c>
      <c r="F342" s="536" t="s">
        <v>1125</v>
      </c>
      <c r="G342" s="536" t="s">
        <v>1123</v>
      </c>
      <c r="H342" s="536" t="s">
        <v>1124</v>
      </c>
      <c r="I342" s="535" t="s">
        <v>1566</v>
      </c>
      <c r="J342" s="536" t="s">
        <v>495</v>
      </c>
      <c r="K342" s="536" t="s">
        <v>665</v>
      </c>
      <c r="L342" s="535" t="s">
        <v>1127</v>
      </c>
      <c r="M342" s="536" t="s">
        <v>1128</v>
      </c>
      <c r="N342" s="536"/>
      <c r="O342" s="535"/>
      <c r="P342" s="536"/>
      <c r="Q342" s="536"/>
      <c r="R342" s="537">
        <f ca="1">SUMIF(CPQL!$D$5:$W$68,'FORM OH'!$I$342,CPQL!K5:K68)</f>
        <v>0</v>
      </c>
      <c r="S342" s="537">
        <f ca="1">SUMIF(CPQL!$D$5:$W$68,'FORM OH'!$I$342,CPQL!L5:L68)</f>
        <v>0</v>
      </c>
      <c r="T342" s="537">
        <f ca="1">SUMIF(CPQL!$D$5:$W$68,'FORM OH'!$I$342,CPQL!M5:M68)</f>
        <v>0</v>
      </c>
      <c r="U342" s="537">
        <f ca="1">SUMIF(CPQL!$D$5:$W$68,'FORM OH'!$I$342,CPQL!N5:N68)</f>
        <v>0</v>
      </c>
      <c r="V342" s="537">
        <f ca="1">SUMIF(CPQL!$D$5:$W$68,'FORM OH'!$I$342,CPQL!O5:O68)</f>
        <v>0</v>
      </c>
      <c r="W342" s="537">
        <f ca="1">SUMIF(CPQL!$D$5:$W$68,'FORM OH'!$I$342,CPQL!P5:P68)</f>
        <v>0</v>
      </c>
      <c r="X342" s="537">
        <f ca="1">SUMIF(CPQL!$D$5:$W$68,'FORM OH'!$I$342,CPQL!Q5:Q68)</f>
        <v>0</v>
      </c>
      <c r="Y342" s="537">
        <f ca="1">SUMIF(CPQL!$D$5:$W$68,'FORM OH'!$I$342,CPQL!R5:R68)</f>
        <v>0</v>
      </c>
      <c r="Z342" s="537">
        <f ca="1">SUMIF(CPQL!$D$5:$W$68,'FORM OH'!$I$342,CPQL!S5:S68)</f>
        <v>0</v>
      </c>
      <c r="AA342" s="537">
        <f ca="1">SUMIF(CPQL!$D$5:$W$68,'FORM OH'!$I$342,CPQL!T5:T68)</f>
        <v>0</v>
      </c>
      <c r="AB342" s="537">
        <f ca="1">SUMIF(CPQL!$D$5:$W$68,'FORM OH'!$I$342,CPQL!U5:U68)</f>
        <v>0</v>
      </c>
      <c r="AC342" s="537">
        <f ca="1">SUMIF(CPQL!$D$5:$W$68,'FORM OH'!$I$342,CPQL!V5:V68)</f>
        <v>0</v>
      </c>
      <c r="AD342" s="537">
        <f t="shared" ref="AD342:AD355" ca="1" si="54">SUM(R342:AC342)</f>
        <v>0</v>
      </c>
      <c r="AF342" s="537">
        <f ca="1">SUMIF(CPQL!$D$5:$W$68,'FORM OH'!$I$342,CPQL!Y5:Y68)</f>
        <v>0</v>
      </c>
      <c r="AG342" s="537">
        <f ca="1">SUMIF(CPQL!$D$5:$W$68,'FORM OH'!$I$342,CPQL!Z5:Z68)</f>
        <v>0</v>
      </c>
      <c r="AH342" s="537">
        <f ca="1">SUMIF(CPQL!$D$5:$W$68,'FORM OH'!$I$342,CPQL!AA5:AA68)</f>
        <v>0</v>
      </c>
      <c r="AI342" s="537">
        <f ca="1">SUMIF(CPQL!$D$5:$W$68,'FORM OH'!$I$342,CPQL!AB5:AB68)</f>
        <v>0</v>
      </c>
      <c r="AJ342" s="537">
        <f ca="1">SUMIF(CPQL!$D$5:$W$68,'FORM OH'!$I$342,CPQL!AC5:AC68)</f>
        <v>0</v>
      </c>
      <c r="AK342" s="537">
        <f ca="1">SUMIF(CPQL!$D$5:$W$68,'FORM OH'!$I$342,CPQL!AD5:AD68)</f>
        <v>0</v>
      </c>
      <c r="AL342" s="537">
        <f ca="1">SUMIF(CPQL!$D$5:$W$68,'FORM OH'!$I$342,CPQL!AE5:AE68)</f>
        <v>0</v>
      </c>
      <c r="AM342" s="537">
        <f ca="1">SUMIF(CPQL!$D$5:$W$68,'FORM OH'!$I$342,CPQL!AF5:AF68)</f>
        <v>0</v>
      </c>
      <c r="AN342" s="537">
        <f ca="1">SUMIF(CPQL!$D$5:$W$68,'FORM OH'!$I$342,CPQL!AG5:AG68)</f>
        <v>0</v>
      </c>
      <c r="AO342" s="537">
        <f ca="1">SUMIF(CPQL!$D$5:$W$68,'FORM OH'!$I$342,CPQL!AH5:AH68)</f>
        <v>0</v>
      </c>
      <c r="AP342" s="537">
        <f ca="1">SUMIF(CPQL!$D$5:$W$68,'FORM OH'!$I$342,CPQL!AI5:AI68)</f>
        <v>0</v>
      </c>
      <c r="AQ342" s="537">
        <f ca="1">SUMIF(CPQL!$D$5:$W$68,'FORM OH'!$I$342,CPQL!AJ5:AJ68)</f>
        <v>0</v>
      </c>
      <c r="AR342" s="1284">
        <f t="shared" ca="1" si="48"/>
        <v>0</v>
      </c>
      <c r="AS342" s="719">
        <f t="shared" ca="1" si="49"/>
        <v>0</v>
      </c>
      <c r="AT342" s="718">
        <f t="shared" ca="1" si="50"/>
        <v>0</v>
      </c>
    </row>
    <row r="343" spans="1:46" s="533" customFormat="1" ht="16.399999999999999" customHeight="1" outlineLevel="1" x14ac:dyDescent="0.35">
      <c r="A343" s="534" t="s">
        <v>782</v>
      </c>
      <c r="B343" s="534" t="s">
        <v>783</v>
      </c>
      <c r="C343" s="535" t="s">
        <v>1418</v>
      </c>
      <c r="D343" s="536" t="s">
        <v>1123</v>
      </c>
      <c r="E343" s="536" t="s">
        <v>1124</v>
      </c>
      <c r="F343" s="536" t="s">
        <v>1125</v>
      </c>
      <c r="G343" s="536" t="s">
        <v>1123</v>
      </c>
      <c r="H343" s="536" t="s">
        <v>1124</v>
      </c>
      <c r="I343" s="535" t="s">
        <v>1567</v>
      </c>
      <c r="J343" s="536" t="s">
        <v>496</v>
      </c>
      <c r="K343" s="536" t="s">
        <v>667</v>
      </c>
      <c r="L343" s="535" t="s">
        <v>1133</v>
      </c>
      <c r="M343" s="536" t="s">
        <v>1134</v>
      </c>
      <c r="N343" s="536"/>
      <c r="O343" s="535"/>
      <c r="P343" s="536"/>
      <c r="Q343" s="536"/>
      <c r="R343" s="537">
        <f ca="1">SUMIF(CPQL!$D$5:$W$68,'FORM OH'!$I$343,CPQL!K5:K68)</f>
        <v>0</v>
      </c>
      <c r="S343" s="537">
        <f ca="1">SUMIF(CPQL!$D$5:$W$68,'FORM OH'!$I$343,CPQL!L5:L68)</f>
        <v>0</v>
      </c>
      <c r="T343" s="537">
        <f ca="1">SUMIF(CPQL!$D$5:$W$68,'FORM OH'!$I$343,CPQL!M5:M68)</f>
        <v>0</v>
      </c>
      <c r="U343" s="537">
        <f ca="1">SUMIF(CPQL!$D$5:$W$68,'FORM OH'!$I$343,CPQL!N5:N68)</f>
        <v>0</v>
      </c>
      <c r="V343" s="537">
        <f ca="1">SUMIF(CPQL!$D$5:$W$68,'FORM OH'!$I$343,CPQL!O5:O68)</f>
        <v>0</v>
      </c>
      <c r="W343" s="537">
        <f ca="1">SUMIF(CPQL!$D$5:$W$68,'FORM OH'!$I$343,CPQL!P5:P68)</f>
        <v>0</v>
      </c>
      <c r="X343" s="537">
        <f ca="1">SUMIF(CPQL!$D$5:$W$68,'FORM OH'!$I$343,CPQL!Q5:Q68)</f>
        <v>0</v>
      </c>
      <c r="Y343" s="537">
        <f ca="1">SUMIF(CPQL!$D$5:$W$68,'FORM OH'!$I$343,CPQL!R5:R68)</f>
        <v>0</v>
      </c>
      <c r="Z343" s="537">
        <f ca="1">SUMIF(CPQL!$D$5:$W$68,'FORM OH'!$I$343,CPQL!S5:S68)</f>
        <v>0</v>
      </c>
      <c r="AA343" s="537">
        <f ca="1">SUMIF(CPQL!$D$5:$W$68,'FORM OH'!$I$343,CPQL!T5:T68)</f>
        <v>0</v>
      </c>
      <c r="AB343" s="537">
        <f ca="1">SUMIF(CPQL!$D$5:$W$68,'FORM OH'!$I$343,CPQL!U5:U68)</f>
        <v>0</v>
      </c>
      <c r="AC343" s="537">
        <f ca="1">SUMIF(CPQL!$D$5:$W$68,'FORM OH'!$I$343,CPQL!V5:V68)</f>
        <v>0</v>
      </c>
      <c r="AD343" s="537">
        <f t="shared" ca="1" si="54"/>
        <v>0</v>
      </c>
      <c r="AF343" s="537">
        <f ca="1">SUMIF(CPQL!$D$5:$W$68,'FORM OH'!$I$343,CPQL!Y5:Y68)</f>
        <v>0</v>
      </c>
      <c r="AG343" s="537">
        <f ca="1">SUMIF(CPQL!$D$5:$W$68,'FORM OH'!$I$343,CPQL!Z5:Z68)</f>
        <v>0</v>
      </c>
      <c r="AH343" s="537">
        <f ca="1">SUMIF(CPQL!$D$5:$W$68,'FORM OH'!$I$343,CPQL!AA5:AA68)</f>
        <v>0</v>
      </c>
      <c r="AI343" s="537">
        <f ca="1">SUMIF(CPQL!$D$5:$W$68,'FORM OH'!$I$343,CPQL!AB5:AB68)</f>
        <v>0</v>
      </c>
      <c r="AJ343" s="537">
        <f ca="1">SUMIF(CPQL!$D$5:$W$68,'FORM OH'!$I$343,CPQL!AC5:AC68)</f>
        <v>0</v>
      </c>
      <c r="AK343" s="537">
        <f ca="1">SUMIF(CPQL!$D$5:$W$68,'FORM OH'!$I$343,CPQL!AD5:AD68)</f>
        <v>0</v>
      </c>
      <c r="AL343" s="537">
        <f ca="1">SUMIF(CPQL!$D$5:$W$68,'FORM OH'!$I$343,CPQL!AE5:AE68)</f>
        <v>0</v>
      </c>
      <c r="AM343" s="537">
        <f ca="1">SUMIF(CPQL!$D$5:$W$68,'FORM OH'!$I$343,CPQL!AF5:AF68)</f>
        <v>0</v>
      </c>
      <c r="AN343" s="537">
        <f ca="1">SUMIF(CPQL!$D$5:$W$68,'FORM OH'!$I$343,CPQL!AG5:AG68)</f>
        <v>0</v>
      </c>
      <c r="AO343" s="537">
        <f ca="1">SUMIF(CPQL!$D$5:$W$68,'FORM OH'!$I$343,CPQL!AH5:AH68)</f>
        <v>0</v>
      </c>
      <c r="AP343" s="537">
        <f ca="1">SUMIF(CPQL!$D$5:$W$68,'FORM OH'!$I$343,CPQL!AI5:AI68)</f>
        <v>0</v>
      </c>
      <c r="AQ343" s="537">
        <f ca="1">SUMIF(CPQL!$D$5:$W$68,'FORM OH'!$I$343,CPQL!AJ5:AJ68)</f>
        <v>0</v>
      </c>
      <c r="AR343" s="1284">
        <f t="shared" ca="1" si="48"/>
        <v>0</v>
      </c>
      <c r="AS343" s="719">
        <f t="shared" ca="1" si="49"/>
        <v>0</v>
      </c>
      <c r="AT343" s="718">
        <f t="shared" ca="1" si="50"/>
        <v>0</v>
      </c>
    </row>
    <row r="344" spans="1:46" s="533" customFormat="1" ht="16.399999999999999" customHeight="1" outlineLevel="1" x14ac:dyDescent="0.35">
      <c r="A344" s="534" t="s">
        <v>782</v>
      </c>
      <c r="B344" s="534" t="s">
        <v>783</v>
      </c>
      <c r="C344" s="535" t="s">
        <v>1418</v>
      </c>
      <c r="D344" s="536" t="s">
        <v>1123</v>
      </c>
      <c r="E344" s="536" t="s">
        <v>1124</v>
      </c>
      <c r="F344" s="536" t="s">
        <v>1125</v>
      </c>
      <c r="G344" s="536" t="s">
        <v>1123</v>
      </c>
      <c r="H344" s="536" t="s">
        <v>1124</v>
      </c>
      <c r="I344" s="535" t="s">
        <v>1568</v>
      </c>
      <c r="J344" s="536" t="s">
        <v>497</v>
      </c>
      <c r="K344" s="536" t="s">
        <v>669</v>
      </c>
      <c r="L344" s="535" t="s">
        <v>1136</v>
      </c>
      <c r="M344" s="536" t="s">
        <v>1137</v>
      </c>
      <c r="N344" s="536"/>
      <c r="O344" s="535"/>
      <c r="P344" s="536"/>
      <c r="Q344" s="536"/>
      <c r="R344" s="537">
        <f ca="1">SUMIF(CPQL!$D$5:$W$68,'FORM OH'!$I$344,CPQL!K5:K68)</f>
        <v>2976337.5</v>
      </c>
      <c r="S344" s="537">
        <f ca="1">SUMIF(CPQL!$D$5:$W$68,'FORM OH'!$I$344,CPQL!L5:L68)</f>
        <v>2976337.5</v>
      </c>
      <c r="T344" s="537">
        <f ca="1">SUMIF(CPQL!$D$5:$W$68,'FORM OH'!$I$344,CPQL!M5:M68)</f>
        <v>2976337.5</v>
      </c>
      <c r="U344" s="537">
        <f ca="1">SUMIF(CPQL!$D$5:$W$68,'FORM OH'!$I$344,CPQL!N5:N68)</f>
        <v>2976337.5</v>
      </c>
      <c r="V344" s="537">
        <f ca="1">SUMIF(CPQL!$D$5:$W$68,'FORM OH'!$I$344,CPQL!O5:O68)</f>
        <v>2976337.5</v>
      </c>
      <c r="W344" s="537">
        <f ca="1">SUMIF(CPQL!$D$5:$W$68,'FORM OH'!$I$344,CPQL!P5:P68)</f>
        <v>2976337.5</v>
      </c>
      <c r="X344" s="537">
        <f ca="1">SUMIF(CPQL!$D$5:$W$68,'FORM OH'!$I$344,CPQL!Q5:Q68)</f>
        <v>2976337.5</v>
      </c>
      <c r="Y344" s="537">
        <f ca="1">SUMIF(CPQL!$D$5:$W$68,'FORM OH'!$I$344,CPQL!R5:R68)</f>
        <v>2976337.5</v>
      </c>
      <c r="Z344" s="537">
        <f ca="1">SUMIF(CPQL!$D$5:$W$68,'FORM OH'!$I$344,CPQL!S5:S68)</f>
        <v>2976337.5</v>
      </c>
      <c r="AA344" s="537">
        <f ca="1">SUMIF(CPQL!$D$5:$W$68,'FORM OH'!$I$344,CPQL!T5:T68)</f>
        <v>2976337.5</v>
      </c>
      <c r="AB344" s="537">
        <f ca="1">SUMIF(CPQL!$D$5:$W$68,'FORM OH'!$I$344,CPQL!U5:U68)</f>
        <v>2976337.5</v>
      </c>
      <c r="AC344" s="537">
        <f ca="1">SUMIF(CPQL!$D$5:$W$68,'FORM OH'!$I$344,CPQL!V5:V68)</f>
        <v>2976337.5</v>
      </c>
      <c r="AD344" s="537">
        <f t="shared" ca="1" si="54"/>
        <v>35716050</v>
      </c>
      <c r="AF344" s="537">
        <f ca="1">SUMIF(CPQL!$D$5:$W$68,'FORM OH'!$I$344,CPQL!Y5:Y68)</f>
        <v>5952675</v>
      </c>
      <c r="AG344" s="537">
        <f ca="1">SUMIF(CPQL!$D$5:$W$68,'FORM OH'!$I$344,CPQL!Z5:Z68)</f>
        <v>5952675</v>
      </c>
      <c r="AH344" s="537">
        <f ca="1">SUMIF(CPQL!$D$5:$W$68,'FORM OH'!$I$344,CPQL!AA5:AA68)</f>
        <v>5952675</v>
      </c>
      <c r="AI344" s="537">
        <f ca="1">SUMIF(CPQL!$D$5:$W$68,'FORM OH'!$I$344,CPQL!AB5:AB68)</f>
        <v>5952675</v>
      </c>
      <c r="AJ344" s="537">
        <f ca="1">SUMIF(CPQL!$D$5:$W$68,'FORM OH'!$I$344,CPQL!AC5:AC68)</f>
        <v>5952675</v>
      </c>
      <c r="AK344" s="537">
        <f ca="1">SUMIF(CPQL!$D$5:$W$68,'FORM OH'!$I$344,CPQL!AD5:AD68)</f>
        <v>5952675</v>
      </c>
      <c r="AL344" s="537">
        <f ca="1">SUMIF(CPQL!$D$5:$W$68,'FORM OH'!$I$344,CPQL!AE5:AE68)</f>
        <v>5952675</v>
      </c>
      <c r="AM344" s="537">
        <f ca="1">SUMIF(CPQL!$D$5:$W$68,'FORM OH'!$I$344,CPQL!AF5:AF68)</f>
        <v>5952675</v>
      </c>
      <c r="AN344" s="537">
        <f ca="1">SUMIF(CPQL!$D$5:$W$68,'FORM OH'!$I$344,CPQL!AG5:AG68)</f>
        <v>5952675</v>
      </c>
      <c r="AO344" s="537">
        <f ca="1">SUMIF(CPQL!$D$5:$W$68,'FORM OH'!$I$344,CPQL!AH5:AH68)</f>
        <v>5952675</v>
      </c>
      <c r="AP344" s="537">
        <f ca="1">SUMIF(CPQL!$D$5:$W$68,'FORM OH'!$I$344,CPQL!AI5:AI68)</f>
        <v>5952675</v>
      </c>
      <c r="AQ344" s="537">
        <f ca="1">SUMIF(CPQL!$D$5:$W$68,'FORM OH'!$I$344,CPQL!AJ5:AJ68)</f>
        <v>5952675</v>
      </c>
      <c r="AR344" s="1284">
        <f t="shared" ca="1" si="48"/>
        <v>71432100</v>
      </c>
      <c r="AS344" s="719">
        <f t="shared" ca="1" si="49"/>
        <v>-35716050</v>
      </c>
      <c r="AT344" s="718">
        <f t="shared" ca="1" si="50"/>
        <v>-0.5</v>
      </c>
    </row>
    <row r="345" spans="1:46" s="533" customFormat="1" ht="16.399999999999999" customHeight="1" outlineLevel="1" x14ac:dyDescent="0.35">
      <c r="A345" s="534" t="s">
        <v>782</v>
      </c>
      <c r="B345" s="534" t="s">
        <v>783</v>
      </c>
      <c r="C345" s="535" t="s">
        <v>1418</v>
      </c>
      <c r="D345" s="536" t="s">
        <v>1123</v>
      </c>
      <c r="E345" s="536" t="s">
        <v>1124</v>
      </c>
      <c r="F345" s="536" t="s">
        <v>1125</v>
      </c>
      <c r="G345" s="536" t="s">
        <v>1123</v>
      </c>
      <c r="H345" s="536" t="s">
        <v>1124</v>
      </c>
      <c r="I345" s="535" t="s">
        <v>1569</v>
      </c>
      <c r="J345" s="536" t="s">
        <v>498</v>
      </c>
      <c r="K345" s="536" t="s">
        <v>670</v>
      </c>
      <c r="L345" s="535" t="s">
        <v>1139</v>
      </c>
      <c r="M345" s="536" t="s">
        <v>1140</v>
      </c>
      <c r="N345" s="536"/>
      <c r="O345" s="535"/>
      <c r="P345" s="536"/>
      <c r="Q345" s="536"/>
      <c r="R345" s="537">
        <f ca="1">SUMIF(CPQL!$D$5:$W$68,'FORM OH'!$I$345,CPQL!K5:K68)</f>
        <v>0</v>
      </c>
      <c r="S345" s="537">
        <f ca="1">SUMIF(CPQL!$D$5:$W$68,'FORM OH'!$I$345,CPQL!L5:L68)</f>
        <v>0</v>
      </c>
      <c r="T345" s="537">
        <f ca="1">SUMIF(CPQL!$D$5:$W$68,'FORM OH'!$I$345,CPQL!M5:M68)</f>
        <v>0</v>
      </c>
      <c r="U345" s="537">
        <f ca="1">SUMIF(CPQL!$D$5:$W$68,'FORM OH'!$I$345,CPQL!N5:N68)</f>
        <v>0</v>
      </c>
      <c r="V345" s="537">
        <f ca="1">SUMIF(CPQL!$D$5:$W$68,'FORM OH'!$I$345,CPQL!O5:O68)</f>
        <v>0</v>
      </c>
      <c r="W345" s="537">
        <f ca="1">SUMIF(CPQL!$D$5:$W$68,'FORM OH'!$I$345,CPQL!P5:P68)</f>
        <v>0</v>
      </c>
      <c r="X345" s="537">
        <f ca="1">SUMIF(CPQL!$D$5:$W$68,'FORM OH'!$I$345,CPQL!Q5:Q68)</f>
        <v>0</v>
      </c>
      <c r="Y345" s="537">
        <f ca="1">SUMIF(CPQL!$D$5:$W$68,'FORM OH'!$I$345,CPQL!R5:R68)</f>
        <v>0</v>
      </c>
      <c r="Z345" s="537">
        <f ca="1">SUMIF(CPQL!$D$5:$W$68,'FORM OH'!$I$345,CPQL!S5:S68)</f>
        <v>0</v>
      </c>
      <c r="AA345" s="537">
        <f ca="1">SUMIF(CPQL!$D$5:$W$68,'FORM OH'!$I$345,CPQL!T5:T68)</f>
        <v>0</v>
      </c>
      <c r="AB345" s="537">
        <f ca="1">SUMIF(CPQL!$D$5:$W$68,'FORM OH'!$I$345,CPQL!U5:U68)</f>
        <v>0</v>
      </c>
      <c r="AC345" s="537">
        <f ca="1">SUMIF(CPQL!$D$5:$W$68,'FORM OH'!$I$345,CPQL!V5:V68)</f>
        <v>0</v>
      </c>
      <c r="AD345" s="537">
        <f t="shared" ca="1" si="54"/>
        <v>0</v>
      </c>
      <c r="AF345" s="537">
        <f ca="1">SUMIF(CPQL!$D$5:$W$68,'FORM OH'!$I$345,CPQL!Y5:Y68)</f>
        <v>0</v>
      </c>
      <c r="AG345" s="537">
        <f ca="1">SUMIF(CPQL!$D$5:$W$68,'FORM OH'!$I$345,CPQL!Z5:Z68)</f>
        <v>0</v>
      </c>
      <c r="AH345" s="537">
        <f ca="1">SUMIF(CPQL!$D$5:$W$68,'FORM OH'!$I$345,CPQL!AA5:AA68)</f>
        <v>0</v>
      </c>
      <c r="AI345" s="537">
        <f ca="1">SUMIF(CPQL!$D$5:$W$68,'FORM OH'!$I$345,CPQL!AB5:AB68)</f>
        <v>0</v>
      </c>
      <c r="AJ345" s="537">
        <f ca="1">SUMIF(CPQL!$D$5:$W$68,'FORM OH'!$I$345,CPQL!AC5:AC68)</f>
        <v>0</v>
      </c>
      <c r="AK345" s="537">
        <f ca="1">SUMIF(CPQL!$D$5:$W$68,'FORM OH'!$I$345,CPQL!AD5:AD68)</f>
        <v>0</v>
      </c>
      <c r="AL345" s="537">
        <f ca="1">SUMIF(CPQL!$D$5:$W$68,'FORM OH'!$I$345,CPQL!AE5:AE68)</f>
        <v>0</v>
      </c>
      <c r="AM345" s="537">
        <f ca="1">SUMIF(CPQL!$D$5:$W$68,'FORM OH'!$I$345,CPQL!AF5:AF68)</f>
        <v>0</v>
      </c>
      <c r="AN345" s="537">
        <f ca="1">SUMIF(CPQL!$D$5:$W$68,'FORM OH'!$I$345,CPQL!AG5:AG68)</f>
        <v>0</v>
      </c>
      <c r="AO345" s="537">
        <f ca="1">SUMIF(CPQL!$D$5:$W$68,'FORM OH'!$I$345,CPQL!AH5:AH68)</f>
        <v>0</v>
      </c>
      <c r="AP345" s="537">
        <f ca="1">SUMIF(CPQL!$D$5:$W$68,'FORM OH'!$I$345,CPQL!AI5:AI68)</f>
        <v>0</v>
      </c>
      <c r="AQ345" s="537">
        <f ca="1">SUMIF(CPQL!$D$5:$W$68,'FORM OH'!$I$345,CPQL!AJ5:AJ68)</f>
        <v>0</v>
      </c>
      <c r="AR345" s="1284">
        <f t="shared" ca="1" si="48"/>
        <v>0</v>
      </c>
      <c r="AS345" s="719">
        <f t="shared" ca="1" si="49"/>
        <v>0</v>
      </c>
      <c r="AT345" s="718">
        <f t="shared" ca="1" si="50"/>
        <v>0</v>
      </c>
    </row>
    <row r="346" spans="1:46" s="533" customFormat="1" ht="16.399999999999999" customHeight="1" outlineLevel="1" x14ac:dyDescent="0.35">
      <c r="A346" s="534" t="s">
        <v>782</v>
      </c>
      <c r="B346" s="534" t="s">
        <v>783</v>
      </c>
      <c r="C346" s="535" t="s">
        <v>1418</v>
      </c>
      <c r="D346" s="536" t="s">
        <v>1123</v>
      </c>
      <c r="E346" s="536" t="s">
        <v>1124</v>
      </c>
      <c r="F346" s="536" t="s">
        <v>1125</v>
      </c>
      <c r="G346" s="536" t="s">
        <v>1123</v>
      </c>
      <c r="H346" s="536" t="s">
        <v>1124</v>
      </c>
      <c r="I346" s="535" t="s">
        <v>1570</v>
      </c>
      <c r="J346" s="536" t="s">
        <v>499</v>
      </c>
      <c r="K346" s="536" t="s">
        <v>669</v>
      </c>
      <c r="L346" s="535" t="s">
        <v>1142</v>
      </c>
      <c r="M346" s="536" t="s">
        <v>1143</v>
      </c>
      <c r="N346" s="536"/>
      <c r="O346" s="535"/>
      <c r="P346" s="536"/>
      <c r="Q346" s="536"/>
      <c r="R346" s="537">
        <f ca="1">SUMIF(CPQL!$D$5:$W$68,'FORM OH'!$I$346,CPQL!K5:K68)</f>
        <v>0</v>
      </c>
      <c r="S346" s="537">
        <f ca="1">SUMIF(CPQL!$D$5:$W$68,'FORM OH'!$I$346,CPQL!L5:L68)</f>
        <v>0</v>
      </c>
      <c r="T346" s="537">
        <f ca="1">SUMIF(CPQL!$D$5:$W$68,'FORM OH'!$I$346,CPQL!M5:M68)</f>
        <v>0</v>
      </c>
      <c r="U346" s="537">
        <f ca="1">SUMIF(CPQL!$D$5:$W$68,'FORM OH'!$I$346,CPQL!N5:N68)</f>
        <v>0</v>
      </c>
      <c r="V346" s="537">
        <f ca="1">SUMIF(CPQL!$D$5:$W$68,'FORM OH'!$I$346,CPQL!O5:O68)</f>
        <v>0</v>
      </c>
      <c r="W346" s="537">
        <f ca="1">SUMIF(CPQL!$D$5:$W$68,'FORM OH'!$I$346,CPQL!P5:P68)</f>
        <v>0</v>
      </c>
      <c r="X346" s="537">
        <f ca="1">SUMIF(CPQL!$D$5:$W$68,'FORM OH'!$I$346,CPQL!Q5:Q68)</f>
        <v>0</v>
      </c>
      <c r="Y346" s="537">
        <f ca="1">SUMIF(CPQL!$D$5:$W$68,'FORM OH'!$I$346,CPQL!R5:R68)</f>
        <v>0</v>
      </c>
      <c r="Z346" s="537">
        <f ca="1">SUMIF(CPQL!$D$5:$W$68,'FORM OH'!$I$346,CPQL!S5:S68)</f>
        <v>0</v>
      </c>
      <c r="AA346" s="537">
        <f ca="1">SUMIF(CPQL!$D$5:$W$68,'FORM OH'!$I$346,CPQL!T5:T68)</f>
        <v>0</v>
      </c>
      <c r="AB346" s="537">
        <f ca="1">SUMIF(CPQL!$D$5:$W$68,'FORM OH'!$I$346,CPQL!U5:U68)</f>
        <v>0</v>
      </c>
      <c r="AC346" s="537">
        <f ca="1">SUMIF(CPQL!$D$5:$W$68,'FORM OH'!$I$346,CPQL!V5:V68)</f>
        <v>0</v>
      </c>
      <c r="AD346" s="537">
        <f t="shared" ca="1" si="54"/>
        <v>0</v>
      </c>
      <c r="AF346" s="537">
        <f ca="1">SUMIF(CPQL!$D$5:$W$68,'FORM OH'!$I$346,CPQL!Y5:Y68)</f>
        <v>0</v>
      </c>
      <c r="AG346" s="537">
        <f ca="1">SUMIF(CPQL!$D$5:$W$68,'FORM OH'!$I$346,CPQL!Z5:Z68)</f>
        <v>0</v>
      </c>
      <c r="AH346" s="537">
        <f ca="1">SUMIF(CPQL!$D$5:$W$68,'FORM OH'!$I$346,CPQL!AA5:AA68)</f>
        <v>0</v>
      </c>
      <c r="AI346" s="537">
        <f ca="1">SUMIF(CPQL!$D$5:$W$68,'FORM OH'!$I$346,CPQL!AB5:AB68)</f>
        <v>0</v>
      </c>
      <c r="AJ346" s="537">
        <f ca="1">SUMIF(CPQL!$D$5:$W$68,'FORM OH'!$I$346,CPQL!AC5:AC68)</f>
        <v>0</v>
      </c>
      <c r="AK346" s="537">
        <f ca="1">SUMIF(CPQL!$D$5:$W$68,'FORM OH'!$I$346,CPQL!AD5:AD68)</f>
        <v>0</v>
      </c>
      <c r="AL346" s="537">
        <f ca="1">SUMIF(CPQL!$D$5:$W$68,'FORM OH'!$I$346,CPQL!AE5:AE68)</f>
        <v>0</v>
      </c>
      <c r="AM346" s="537">
        <f ca="1">SUMIF(CPQL!$D$5:$W$68,'FORM OH'!$I$346,CPQL!AF5:AF68)</f>
        <v>0</v>
      </c>
      <c r="AN346" s="537">
        <f ca="1">SUMIF(CPQL!$D$5:$W$68,'FORM OH'!$I$346,CPQL!AG5:AG68)</f>
        <v>0</v>
      </c>
      <c r="AO346" s="537">
        <f ca="1">SUMIF(CPQL!$D$5:$W$68,'FORM OH'!$I$346,CPQL!AH5:AH68)</f>
        <v>0</v>
      </c>
      <c r="AP346" s="537">
        <f ca="1">SUMIF(CPQL!$D$5:$W$68,'FORM OH'!$I$346,CPQL!AI5:AI68)</f>
        <v>0</v>
      </c>
      <c r="AQ346" s="537">
        <f ca="1">SUMIF(CPQL!$D$5:$W$68,'FORM OH'!$I$346,CPQL!AJ5:AJ68)</f>
        <v>0</v>
      </c>
      <c r="AR346" s="1284">
        <f t="shared" ca="1" si="48"/>
        <v>0</v>
      </c>
      <c r="AS346" s="719">
        <f t="shared" ca="1" si="49"/>
        <v>0</v>
      </c>
      <c r="AT346" s="718">
        <f t="shared" ca="1" si="50"/>
        <v>0</v>
      </c>
    </row>
    <row r="347" spans="1:46" s="533" customFormat="1" ht="16.399999999999999" customHeight="1" outlineLevel="1" x14ac:dyDescent="0.35">
      <c r="A347" s="534" t="s">
        <v>782</v>
      </c>
      <c r="B347" s="534" t="s">
        <v>783</v>
      </c>
      <c r="C347" s="535" t="s">
        <v>1418</v>
      </c>
      <c r="D347" s="536" t="s">
        <v>1123</v>
      </c>
      <c r="E347" s="536" t="s">
        <v>1124</v>
      </c>
      <c r="F347" s="536" t="s">
        <v>1125</v>
      </c>
      <c r="G347" s="536" t="s">
        <v>1123</v>
      </c>
      <c r="H347" s="536" t="s">
        <v>1124</v>
      </c>
      <c r="I347" s="535" t="s">
        <v>1571</v>
      </c>
      <c r="J347" s="536" t="s">
        <v>500</v>
      </c>
      <c r="K347" s="536" t="s">
        <v>673</v>
      </c>
      <c r="L347" s="535" t="s">
        <v>1145</v>
      </c>
      <c r="M347" s="536" t="s">
        <v>1146</v>
      </c>
      <c r="N347" s="536"/>
      <c r="O347" s="535"/>
      <c r="P347" s="536"/>
      <c r="Q347" s="536"/>
      <c r="R347" s="537">
        <f ca="1">SUMIF(CPQL!$D$5:$W$68,'FORM OH'!$I$347,CPQL!K5:K68)</f>
        <v>7679479.166666667</v>
      </c>
      <c r="S347" s="537">
        <f ca="1">SUMIF(CPQL!$D$5:$W$68,'FORM OH'!$I$347,CPQL!L5:L68)</f>
        <v>7679479.166666667</v>
      </c>
      <c r="T347" s="537">
        <f ca="1">SUMIF(CPQL!$D$5:$W$68,'FORM OH'!$I$347,CPQL!M5:M68)</f>
        <v>7679479.166666667</v>
      </c>
      <c r="U347" s="537">
        <f ca="1">SUMIF(CPQL!$D$5:$W$68,'FORM OH'!$I$347,CPQL!N5:N68)</f>
        <v>7679479.166666667</v>
      </c>
      <c r="V347" s="537">
        <f ca="1">SUMIF(CPQL!$D$5:$W$68,'FORM OH'!$I$347,CPQL!O5:O68)</f>
        <v>7679479.166666667</v>
      </c>
      <c r="W347" s="537">
        <f ca="1">SUMIF(CPQL!$D$5:$W$68,'FORM OH'!$I$347,CPQL!P5:P68)</f>
        <v>7679479.166666667</v>
      </c>
      <c r="X347" s="537">
        <f ca="1">SUMIF(CPQL!$D$5:$W$68,'FORM OH'!$I$347,CPQL!Q5:Q68)</f>
        <v>7679479.166666667</v>
      </c>
      <c r="Y347" s="537">
        <f ca="1">SUMIF(CPQL!$D$5:$W$68,'FORM OH'!$I$347,CPQL!R5:R68)</f>
        <v>7679479.166666667</v>
      </c>
      <c r="Z347" s="537">
        <f ca="1">SUMIF(CPQL!$D$5:$W$68,'FORM OH'!$I$347,CPQL!S5:S68)</f>
        <v>7679479.166666667</v>
      </c>
      <c r="AA347" s="537">
        <f ca="1">SUMIF(CPQL!$D$5:$W$68,'FORM OH'!$I$347,CPQL!T5:T68)</f>
        <v>7679479.166666667</v>
      </c>
      <c r="AB347" s="537">
        <f ca="1">SUMIF(CPQL!$D$5:$W$68,'FORM OH'!$I$347,CPQL!U5:U68)</f>
        <v>7679479.166666667</v>
      </c>
      <c r="AC347" s="537">
        <f ca="1">SUMIF(CPQL!$D$5:$W$68,'FORM OH'!$I$347,CPQL!V5:V68)</f>
        <v>7679479.166666667</v>
      </c>
      <c r="AD347" s="537">
        <f t="shared" ca="1" si="54"/>
        <v>92153750.000000015</v>
      </c>
      <c r="AF347" s="537">
        <f ca="1">SUMIF(CPQL!$D$5:$W$68,'FORM OH'!$I$347,CPQL!Y5:Y68)</f>
        <v>1842592.2727272727</v>
      </c>
      <c r="AG347" s="537">
        <f ca="1">SUMIF(CPQL!$D$5:$W$68,'FORM OH'!$I$347,CPQL!Z5:Z68)</f>
        <v>1842592.2727272727</v>
      </c>
      <c r="AH347" s="537">
        <f ca="1">SUMIF(CPQL!$D$5:$W$68,'FORM OH'!$I$347,CPQL!AA5:AA68)</f>
        <v>1842592.2727272727</v>
      </c>
      <c r="AI347" s="537">
        <f ca="1">SUMIF(CPQL!$D$5:$W$68,'FORM OH'!$I$347,CPQL!AB5:AB68)</f>
        <v>1842592.2727272727</v>
      </c>
      <c r="AJ347" s="537">
        <f ca="1">SUMIF(CPQL!$D$5:$W$68,'FORM OH'!$I$347,CPQL!AC5:AC68)</f>
        <v>1842592.2727272727</v>
      </c>
      <c r="AK347" s="537">
        <f ca="1">SUMIF(CPQL!$D$5:$W$68,'FORM OH'!$I$347,CPQL!AD5:AD68)</f>
        <v>1842592.2727272727</v>
      </c>
      <c r="AL347" s="537">
        <f ca="1">SUMIF(CPQL!$D$5:$W$68,'FORM OH'!$I$347,CPQL!AE5:AE68)</f>
        <v>1842592.2727272727</v>
      </c>
      <c r="AM347" s="537">
        <f ca="1">SUMIF(CPQL!$D$5:$W$68,'FORM OH'!$I$347,CPQL!AF5:AF68)</f>
        <v>1842592.2727272727</v>
      </c>
      <c r="AN347" s="537">
        <f ca="1">SUMIF(CPQL!$D$5:$W$68,'FORM OH'!$I$347,CPQL!AG5:AG68)</f>
        <v>1842592.2727272727</v>
      </c>
      <c r="AO347" s="537">
        <f ca="1">SUMIF(CPQL!$D$5:$W$68,'FORM OH'!$I$347,CPQL!AH5:AH68)</f>
        <v>1842592.2727272727</v>
      </c>
      <c r="AP347" s="537">
        <f ca="1">SUMIF(CPQL!$D$5:$W$68,'FORM OH'!$I$347,CPQL!AI5:AI68)</f>
        <v>0</v>
      </c>
      <c r="AQ347" s="537">
        <f ca="1">SUMIF(CPQL!$D$5:$W$68,'FORM OH'!$I$347,CPQL!AJ5:AJ68)</f>
        <v>0</v>
      </c>
      <c r="AR347" s="1284">
        <f t="shared" ca="1" si="48"/>
        <v>18425922.72727273</v>
      </c>
      <c r="AS347" s="719">
        <f t="shared" ca="1" si="49"/>
        <v>73727827.272727281</v>
      </c>
      <c r="AT347" s="718">
        <f t="shared" ca="1" si="50"/>
        <v>4.00130991342977</v>
      </c>
    </row>
    <row r="348" spans="1:46" s="533" customFormat="1" ht="16.399999999999999" customHeight="1" outlineLevel="1" x14ac:dyDescent="0.35">
      <c r="A348" s="534" t="s">
        <v>782</v>
      </c>
      <c r="B348" s="534" t="s">
        <v>783</v>
      </c>
      <c r="C348" s="535" t="s">
        <v>1418</v>
      </c>
      <c r="D348" s="536" t="s">
        <v>1123</v>
      </c>
      <c r="E348" s="536" t="s">
        <v>1124</v>
      </c>
      <c r="F348" s="536" t="s">
        <v>1125</v>
      </c>
      <c r="G348" s="536" t="s">
        <v>1123</v>
      </c>
      <c r="H348" s="536" t="s">
        <v>1124</v>
      </c>
      <c r="I348" s="535" t="s">
        <v>1572</v>
      </c>
      <c r="J348" s="536" t="s">
        <v>501</v>
      </c>
      <c r="K348" s="536" t="s">
        <v>674</v>
      </c>
      <c r="L348" s="535" t="s">
        <v>1148</v>
      </c>
      <c r="M348" s="536" t="s">
        <v>1149</v>
      </c>
      <c r="N348" s="536"/>
      <c r="O348" s="535"/>
      <c r="P348" s="536"/>
      <c r="Q348" s="536"/>
      <c r="R348" s="537">
        <f ca="1">SUMIF(CPQL!$D$5:$W$68,'FORM OH'!$I$348,CPQL!K5:K68)</f>
        <v>0</v>
      </c>
      <c r="S348" s="537">
        <f ca="1">SUMIF(CPQL!$D$5:$W$68,'FORM OH'!$I$348,CPQL!L5:L68)</f>
        <v>0</v>
      </c>
      <c r="T348" s="537">
        <f ca="1">SUMIF(CPQL!$D$5:$W$68,'FORM OH'!$I$348,CPQL!M5:M68)</f>
        <v>0</v>
      </c>
      <c r="U348" s="537">
        <f ca="1">SUMIF(CPQL!$D$5:$W$68,'FORM OH'!$I$348,CPQL!N5:N68)</f>
        <v>0</v>
      </c>
      <c r="V348" s="537">
        <f ca="1">SUMIF(CPQL!$D$5:$W$68,'FORM OH'!$I$348,CPQL!O5:O68)</f>
        <v>0</v>
      </c>
      <c r="W348" s="537">
        <f ca="1">SUMIF(CPQL!$D$5:$W$68,'FORM OH'!$I$348,CPQL!P5:P68)</f>
        <v>0</v>
      </c>
      <c r="X348" s="537">
        <f ca="1">SUMIF(CPQL!$D$5:$W$68,'FORM OH'!$I$348,CPQL!Q5:Q68)</f>
        <v>0</v>
      </c>
      <c r="Y348" s="537">
        <f ca="1">SUMIF(CPQL!$D$5:$W$68,'FORM OH'!$I$348,CPQL!R5:R68)</f>
        <v>0</v>
      </c>
      <c r="Z348" s="537">
        <f ca="1">SUMIF(CPQL!$D$5:$W$68,'FORM OH'!$I$348,CPQL!S5:S68)</f>
        <v>0</v>
      </c>
      <c r="AA348" s="537">
        <f ca="1">SUMIF(CPQL!$D$5:$W$68,'FORM OH'!$I$348,CPQL!T5:T68)</f>
        <v>0</v>
      </c>
      <c r="AB348" s="537">
        <f ca="1">SUMIF(CPQL!$D$5:$W$68,'FORM OH'!$I$348,CPQL!U5:U68)</f>
        <v>0</v>
      </c>
      <c r="AC348" s="537">
        <f ca="1">SUMIF(CPQL!$D$5:$W$68,'FORM OH'!$I$348,CPQL!V5:V68)</f>
        <v>0</v>
      </c>
      <c r="AD348" s="537">
        <f t="shared" ca="1" si="54"/>
        <v>0</v>
      </c>
      <c r="AF348" s="537">
        <f ca="1">SUMIF(CPQL!$D$5:$W$68,'FORM OH'!$I$348,CPQL!Y5:Y68)</f>
        <v>0</v>
      </c>
      <c r="AG348" s="537">
        <f ca="1">SUMIF(CPQL!$D$5:$W$68,'FORM OH'!$I$348,CPQL!Z5:Z68)</f>
        <v>0</v>
      </c>
      <c r="AH348" s="537">
        <f ca="1">SUMIF(CPQL!$D$5:$W$68,'FORM OH'!$I$348,CPQL!AA5:AA68)</f>
        <v>0</v>
      </c>
      <c r="AI348" s="537">
        <f ca="1">SUMIF(CPQL!$D$5:$W$68,'FORM OH'!$I$348,CPQL!AB5:AB68)</f>
        <v>0</v>
      </c>
      <c r="AJ348" s="537">
        <f ca="1">SUMIF(CPQL!$D$5:$W$68,'FORM OH'!$I$348,CPQL!AC5:AC68)</f>
        <v>0</v>
      </c>
      <c r="AK348" s="537">
        <f ca="1">SUMIF(CPQL!$D$5:$W$68,'FORM OH'!$I$348,CPQL!AD5:AD68)</f>
        <v>0</v>
      </c>
      <c r="AL348" s="537">
        <f ca="1">SUMIF(CPQL!$D$5:$W$68,'FORM OH'!$I$348,CPQL!AE5:AE68)</f>
        <v>0</v>
      </c>
      <c r="AM348" s="537">
        <f ca="1">SUMIF(CPQL!$D$5:$W$68,'FORM OH'!$I$348,CPQL!AF5:AF68)</f>
        <v>0</v>
      </c>
      <c r="AN348" s="537">
        <f ca="1">SUMIF(CPQL!$D$5:$W$68,'FORM OH'!$I$348,CPQL!AG5:AG68)</f>
        <v>0</v>
      </c>
      <c r="AO348" s="537">
        <f ca="1">SUMIF(CPQL!$D$5:$W$68,'FORM OH'!$I$348,CPQL!AH5:AH68)</f>
        <v>0</v>
      </c>
      <c r="AP348" s="537">
        <f ca="1">SUMIF(CPQL!$D$5:$W$68,'FORM OH'!$I$348,CPQL!AI5:AI68)</f>
        <v>0</v>
      </c>
      <c r="AQ348" s="537">
        <f ca="1">SUMIF(CPQL!$D$5:$W$68,'FORM OH'!$I$348,CPQL!AJ5:AJ68)</f>
        <v>0</v>
      </c>
      <c r="AR348" s="1284">
        <f t="shared" ca="1" si="48"/>
        <v>0</v>
      </c>
      <c r="AS348" s="719">
        <f t="shared" ca="1" si="49"/>
        <v>0</v>
      </c>
      <c r="AT348" s="718">
        <f t="shared" ca="1" si="50"/>
        <v>0</v>
      </c>
    </row>
    <row r="349" spans="1:46" s="533" customFormat="1" ht="16.399999999999999" customHeight="1" outlineLevel="1" x14ac:dyDescent="0.35">
      <c r="A349" s="534" t="s">
        <v>782</v>
      </c>
      <c r="B349" s="534" t="s">
        <v>783</v>
      </c>
      <c r="C349" s="535" t="s">
        <v>1418</v>
      </c>
      <c r="D349" s="536" t="s">
        <v>1123</v>
      </c>
      <c r="E349" s="536" t="s">
        <v>1124</v>
      </c>
      <c r="F349" s="536" t="s">
        <v>1125</v>
      </c>
      <c r="G349" s="536" t="s">
        <v>1123</v>
      </c>
      <c r="H349" s="536" t="s">
        <v>1124</v>
      </c>
      <c r="I349" s="535" t="s">
        <v>1573</v>
      </c>
      <c r="J349" s="536" t="s">
        <v>502</v>
      </c>
      <c r="K349" s="536" t="s">
        <v>675</v>
      </c>
      <c r="L349" s="535" t="s">
        <v>1151</v>
      </c>
      <c r="M349" s="536" t="s">
        <v>1152</v>
      </c>
      <c r="N349" s="536"/>
      <c r="O349" s="535"/>
      <c r="P349" s="536"/>
      <c r="Q349" s="536"/>
      <c r="R349" s="537">
        <f ca="1">SUMIF(CPQL!$D$5:$W$68,'FORM OH'!$I$349,CPQL!K5:K68)</f>
        <v>0</v>
      </c>
      <c r="S349" s="537">
        <f ca="1">SUMIF(CPQL!$D$5:$W$68,'FORM OH'!$I$349,CPQL!L5:L68)</f>
        <v>0</v>
      </c>
      <c r="T349" s="537">
        <f ca="1">SUMIF(CPQL!$D$5:$W$68,'FORM OH'!$I$349,CPQL!M5:M68)</f>
        <v>0</v>
      </c>
      <c r="U349" s="537">
        <f ca="1">SUMIF(CPQL!$D$5:$W$68,'FORM OH'!$I$349,CPQL!N5:N68)</f>
        <v>0</v>
      </c>
      <c r="V349" s="537">
        <f ca="1">SUMIF(CPQL!$D$5:$W$68,'FORM OH'!$I$349,CPQL!O5:O68)</f>
        <v>0</v>
      </c>
      <c r="W349" s="537">
        <f ca="1">SUMIF(CPQL!$D$5:$W$68,'FORM OH'!$I$349,CPQL!P5:P68)</f>
        <v>0</v>
      </c>
      <c r="X349" s="537">
        <f ca="1">SUMIF(CPQL!$D$5:$W$68,'FORM OH'!$I$349,CPQL!Q5:Q68)</f>
        <v>0</v>
      </c>
      <c r="Y349" s="537">
        <f ca="1">SUMIF(CPQL!$D$5:$W$68,'FORM OH'!$I$349,CPQL!R5:R68)</f>
        <v>0</v>
      </c>
      <c r="Z349" s="537">
        <f ca="1">SUMIF(CPQL!$D$5:$W$68,'FORM OH'!$I$349,CPQL!S5:S68)</f>
        <v>0</v>
      </c>
      <c r="AA349" s="537">
        <f ca="1">SUMIF(CPQL!$D$5:$W$68,'FORM OH'!$I$349,CPQL!T5:T68)</f>
        <v>0</v>
      </c>
      <c r="AB349" s="537">
        <f ca="1">SUMIF(CPQL!$D$5:$W$68,'FORM OH'!$I$349,CPQL!U5:U68)</f>
        <v>0</v>
      </c>
      <c r="AC349" s="537">
        <f ca="1">SUMIF(CPQL!$D$5:$W$68,'FORM OH'!$I$349,CPQL!V5:V68)</f>
        <v>0</v>
      </c>
      <c r="AD349" s="537">
        <f t="shared" ca="1" si="54"/>
        <v>0</v>
      </c>
      <c r="AF349" s="537">
        <f ca="1">SUMIF(CPQL!$D$5:$W$68,'FORM OH'!$I$349,CPQL!Y5:Y68)</f>
        <v>0</v>
      </c>
      <c r="AG349" s="537">
        <f ca="1">SUMIF(CPQL!$D$5:$W$68,'FORM OH'!$I$349,CPQL!Z5:Z68)</f>
        <v>0</v>
      </c>
      <c r="AH349" s="537">
        <f ca="1">SUMIF(CPQL!$D$5:$W$68,'FORM OH'!$I$349,CPQL!AA5:AA68)</f>
        <v>0</v>
      </c>
      <c r="AI349" s="537">
        <f ca="1">SUMIF(CPQL!$D$5:$W$68,'FORM OH'!$I$349,CPQL!AB5:AB68)</f>
        <v>0</v>
      </c>
      <c r="AJ349" s="537">
        <f ca="1">SUMIF(CPQL!$D$5:$W$68,'FORM OH'!$I$349,CPQL!AC5:AC68)</f>
        <v>0</v>
      </c>
      <c r="AK349" s="537">
        <f ca="1">SUMIF(CPQL!$D$5:$W$68,'FORM OH'!$I$349,CPQL!AD5:AD68)</f>
        <v>0</v>
      </c>
      <c r="AL349" s="537">
        <f ca="1">SUMIF(CPQL!$D$5:$W$68,'FORM OH'!$I$349,CPQL!AE5:AE68)</f>
        <v>0</v>
      </c>
      <c r="AM349" s="537">
        <f ca="1">SUMIF(CPQL!$D$5:$W$68,'FORM OH'!$I$349,CPQL!AF5:AF68)</f>
        <v>0</v>
      </c>
      <c r="AN349" s="537">
        <f ca="1">SUMIF(CPQL!$D$5:$W$68,'FORM OH'!$I$349,CPQL!AG5:AG68)</f>
        <v>0</v>
      </c>
      <c r="AO349" s="537">
        <f ca="1">SUMIF(CPQL!$D$5:$W$68,'FORM OH'!$I$349,CPQL!AH5:AH68)</f>
        <v>0</v>
      </c>
      <c r="AP349" s="537">
        <f ca="1">SUMIF(CPQL!$D$5:$W$68,'FORM OH'!$I$349,CPQL!AI5:AI68)</f>
        <v>0</v>
      </c>
      <c r="AQ349" s="537">
        <f ca="1">SUMIF(CPQL!$D$5:$W$68,'FORM OH'!$I$349,CPQL!AJ5:AJ68)</f>
        <v>0</v>
      </c>
      <c r="AR349" s="1284">
        <f t="shared" ca="1" si="48"/>
        <v>0</v>
      </c>
      <c r="AS349" s="719">
        <f t="shared" ca="1" si="49"/>
        <v>0</v>
      </c>
      <c r="AT349" s="718">
        <f t="shared" ca="1" si="50"/>
        <v>0</v>
      </c>
    </row>
    <row r="350" spans="1:46" s="533" customFormat="1" ht="16.399999999999999" customHeight="1" outlineLevel="1" x14ac:dyDescent="0.35">
      <c r="A350" s="534" t="s">
        <v>782</v>
      </c>
      <c r="B350" s="534" t="s">
        <v>783</v>
      </c>
      <c r="C350" s="535" t="s">
        <v>1418</v>
      </c>
      <c r="D350" s="536" t="s">
        <v>1123</v>
      </c>
      <c r="E350" s="536" t="s">
        <v>1124</v>
      </c>
      <c r="F350" s="536" t="s">
        <v>1125</v>
      </c>
      <c r="G350" s="536" t="s">
        <v>1123</v>
      </c>
      <c r="H350" s="536" t="s">
        <v>1124</v>
      </c>
      <c r="I350" s="535" t="s">
        <v>1574</v>
      </c>
      <c r="J350" s="536" t="s">
        <v>503</v>
      </c>
      <c r="K350" s="536" t="s">
        <v>677</v>
      </c>
      <c r="L350" s="535" t="s">
        <v>1575</v>
      </c>
      <c r="M350" s="536" t="s">
        <v>1576</v>
      </c>
      <c r="N350" s="536"/>
      <c r="O350" s="535"/>
      <c r="P350" s="536"/>
      <c r="Q350" s="536"/>
      <c r="R350" s="537">
        <f ca="1">SUMIF(CPQL!$D$5:$W$68,'FORM OH'!$I$350,CPQL!K5:K68)</f>
        <v>0</v>
      </c>
      <c r="S350" s="537">
        <f ca="1">SUMIF(CPQL!$D$5:$W$68,'FORM OH'!$I$350,CPQL!L5:L68)</f>
        <v>0</v>
      </c>
      <c r="T350" s="537">
        <f ca="1">SUMIF(CPQL!$D$5:$W$68,'FORM OH'!$I$350,CPQL!M5:M68)</f>
        <v>0</v>
      </c>
      <c r="U350" s="537">
        <f ca="1">SUMIF(CPQL!$D$5:$W$68,'FORM OH'!$I$350,CPQL!N5:N68)</f>
        <v>0</v>
      </c>
      <c r="V350" s="537">
        <f ca="1">SUMIF(CPQL!$D$5:$W$68,'FORM OH'!$I$350,CPQL!O5:O68)</f>
        <v>0</v>
      </c>
      <c r="W350" s="537">
        <f ca="1">SUMIF(CPQL!$D$5:$W$68,'FORM OH'!$I$350,CPQL!P5:P68)</f>
        <v>0</v>
      </c>
      <c r="X350" s="537">
        <f ca="1">SUMIF(CPQL!$D$5:$W$68,'FORM OH'!$I$350,CPQL!Q5:Q68)</f>
        <v>0</v>
      </c>
      <c r="Y350" s="537">
        <f ca="1">SUMIF(CPQL!$D$5:$W$68,'FORM OH'!$I$350,CPQL!R5:R68)</f>
        <v>0</v>
      </c>
      <c r="Z350" s="537">
        <f ca="1">SUMIF(CPQL!$D$5:$W$68,'FORM OH'!$I$350,CPQL!S5:S68)</f>
        <v>0</v>
      </c>
      <c r="AA350" s="537">
        <f ca="1">SUMIF(CPQL!$D$5:$W$68,'FORM OH'!$I$350,CPQL!T5:T68)</f>
        <v>0</v>
      </c>
      <c r="AB350" s="537">
        <f ca="1">SUMIF(CPQL!$D$5:$W$68,'FORM OH'!$I$350,CPQL!U5:U68)</f>
        <v>0</v>
      </c>
      <c r="AC350" s="537">
        <f ca="1">SUMIF(CPQL!$D$5:$W$68,'FORM OH'!$I$350,CPQL!V5:V68)</f>
        <v>0</v>
      </c>
      <c r="AD350" s="537">
        <f t="shared" ca="1" si="54"/>
        <v>0</v>
      </c>
      <c r="AF350" s="537">
        <f ca="1">SUMIF(CPQL!$D$5:$W$68,'FORM OH'!$I$350,CPQL!Y5:Y68)</f>
        <v>0</v>
      </c>
      <c r="AG350" s="537">
        <f ca="1">SUMIF(CPQL!$D$5:$W$68,'FORM OH'!$I$350,CPQL!Z5:Z68)</f>
        <v>0</v>
      </c>
      <c r="AH350" s="537">
        <f ca="1">SUMIF(CPQL!$D$5:$W$68,'FORM OH'!$I$350,CPQL!AA5:AA68)</f>
        <v>0</v>
      </c>
      <c r="AI350" s="537">
        <f ca="1">SUMIF(CPQL!$D$5:$W$68,'FORM OH'!$I$350,CPQL!AB5:AB68)</f>
        <v>0</v>
      </c>
      <c r="AJ350" s="537">
        <f ca="1">SUMIF(CPQL!$D$5:$W$68,'FORM OH'!$I$350,CPQL!AC5:AC68)</f>
        <v>0</v>
      </c>
      <c r="AK350" s="537">
        <f ca="1">SUMIF(CPQL!$D$5:$W$68,'FORM OH'!$I$350,CPQL!AD5:AD68)</f>
        <v>0</v>
      </c>
      <c r="AL350" s="537">
        <f ca="1">SUMIF(CPQL!$D$5:$W$68,'FORM OH'!$I$350,CPQL!AE5:AE68)</f>
        <v>0</v>
      </c>
      <c r="AM350" s="537">
        <f ca="1">SUMIF(CPQL!$D$5:$W$68,'FORM OH'!$I$350,CPQL!AF5:AF68)</f>
        <v>0</v>
      </c>
      <c r="AN350" s="537">
        <f ca="1">SUMIF(CPQL!$D$5:$W$68,'FORM OH'!$I$350,CPQL!AG5:AG68)</f>
        <v>0</v>
      </c>
      <c r="AO350" s="537">
        <f ca="1">SUMIF(CPQL!$D$5:$W$68,'FORM OH'!$I$350,CPQL!AH5:AH68)</f>
        <v>0</v>
      </c>
      <c r="AP350" s="537">
        <f ca="1">SUMIF(CPQL!$D$5:$W$68,'FORM OH'!$I$350,CPQL!AI5:AI68)</f>
        <v>0</v>
      </c>
      <c r="AQ350" s="537">
        <f ca="1">SUMIF(CPQL!$D$5:$W$68,'FORM OH'!$I$350,CPQL!AJ5:AJ68)</f>
        <v>0</v>
      </c>
      <c r="AR350" s="1284">
        <f t="shared" ca="1" si="48"/>
        <v>0</v>
      </c>
      <c r="AS350" s="719">
        <f t="shared" ca="1" si="49"/>
        <v>0</v>
      </c>
      <c r="AT350" s="718">
        <f t="shared" ca="1" si="50"/>
        <v>0</v>
      </c>
    </row>
    <row r="351" spans="1:46" s="533" customFormat="1" ht="16.399999999999999" customHeight="1" outlineLevel="1" x14ac:dyDescent="0.35">
      <c r="A351" s="534" t="s">
        <v>782</v>
      </c>
      <c r="B351" s="534" t="s">
        <v>783</v>
      </c>
      <c r="C351" s="535" t="s">
        <v>1418</v>
      </c>
      <c r="D351" s="536" t="s">
        <v>1123</v>
      </c>
      <c r="E351" s="536" t="s">
        <v>1124</v>
      </c>
      <c r="F351" s="536" t="s">
        <v>1125</v>
      </c>
      <c r="G351" s="536" t="s">
        <v>1123</v>
      </c>
      <c r="H351" s="536" t="s">
        <v>1124</v>
      </c>
      <c r="I351" s="535" t="s">
        <v>1577</v>
      </c>
      <c r="J351" s="536" t="s">
        <v>504</v>
      </c>
      <c r="K351" s="536" t="s">
        <v>677</v>
      </c>
      <c r="L351" s="535" t="s">
        <v>1578</v>
      </c>
      <c r="M351" s="536" t="s">
        <v>1579</v>
      </c>
      <c r="N351" s="536"/>
      <c r="O351" s="535"/>
      <c r="P351" s="536"/>
      <c r="Q351" s="536"/>
      <c r="R351" s="537">
        <f ca="1">SUMIF(CPQL!$D$5:$W$68,'FORM OH'!$I$351,CPQL!K5:K68)</f>
        <v>0</v>
      </c>
      <c r="S351" s="537">
        <f ca="1">SUMIF(CPQL!$D$5:$W$68,'FORM OH'!$I$351,CPQL!L5:L68)</f>
        <v>0</v>
      </c>
      <c r="T351" s="537">
        <f ca="1">SUMIF(CPQL!$D$5:$W$68,'FORM OH'!$I$351,CPQL!M5:M68)</f>
        <v>0</v>
      </c>
      <c r="U351" s="537">
        <f ca="1">SUMIF(CPQL!$D$5:$W$68,'FORM OH'!$I$351,CPQL!N5:N68)</f>
        <v>0</v>
      </c>
      <c r="V351" s="537">
        <f ca="1">SUMIF(CPQL!$D$5:$W$68,'FORM OH'!$I$351,CPQL!O5:O68)</f>
        <v>0</v>
      </c>
      <c r="W351" s="537">
        <f ca="1">SUMIF(CPQL!$D$5:$W$68,'FORM OH'!$I$351,CPQL!P5:P68)</f>
        <v>0</v>
      </c>
      <c r="X351" s="537">
        <f ca="1">SUMIF(CPQL!$D$5:$W$68,'FORM OH'!$I$351,CPQL!Q5:Q68)</f>
        <v>0</v>
      </c>
      <c r="Y351" s="537">
        <f ca="1">SUMIF(CPQL!$D$5:$W$68,'FORM OH'!$I$351,CPQL!R5:R68)</f>
        <v>0</v>
      </c>
      <c r="Z351" s="537">
        <f ca="1">SUMIF(CPQL!$D$5:$W$68,'FORM OH'!$I$351,CPQL!S5:S68)</f>
        <v>0</v>
      </c>
      <c r="AA351" s="537">
        <f ca="1">SUMIF(CPQL!$D$5:$W$68,'FORM OH'!$I$351,CPQL!T5:T68)</f>
        <v>0</v>
      </c>
      <c r="AB351" s="537">
        <f ca="1">SUMIF(CPQL!$D$5:$W$68,'FORM OH'!$I$351,CPQL!U5:U68)</f>
        <v>0</v>
      </c>
      <c r="AC351" s="537">
        <f ca="1">SUMIF(CPQL!$D$5:$W$68,'FORM OH'!$I$351,CPQL!V5:V68)</f>
        <v>0</v>
      </c>
      <c r="AD351" s="537">
        <f t="shared" ca="1" si="54"/>
        <v>0</v>
      </c>
      <c r="AF351" s="537">
        <f ca="1">SUMIF(CPQL!$D$5:$W$68,'FORM OH'!$I$351,CPQL!Y5:Y68)</f>
        <v>0</v>
      </c>
      <c r="AG351" s="537">
        <f ca="1">SUMIF(CPQL!$D$5:$W$68,'FORM OH'!$I$351,CPQL!Z5:Z68)</f>
        <v>0</v>
      </c>
      <c r="AH351" s="537">
        <f ca="1">SUMIF(CPQL!$D$5:$W$68,'FORM OH'!$I$351,CPQL!AA5:AA68)</f>
        <v>0</v>
      </c>
      <c r="AI351" s="537">
        <f ca="1">SUMIF(CPQL!$D$5:$W$68,'FORM OH'!$I$351,CPQL!AB5:AB68)</f>
        <v>0</v>
      </c>
      <c r="AJ351" s="537">
        <f ca="1">SUMIF(CPQL!$D$5:$W$68,'FORM OH'!$I$351,CPQL!AC5:AC68)</f>
        <v>0</v>
      </c>
      <c r="AK351" s="537">
        <f ca="1">SUMIF(CPQL!$D$5:$W$68,'FORM OH'!$I$351,CPQL!AD5:AD68)</f>
        <v>0</v>
      </c>
      <c r="AL351" s="537">
        <f ca="1">SUMIF(CPQL!$D$5:$W$68,'FORM OH'!$I$351,CPQL!AE5:AE68)</f>
        <v>0</v>
      </c>
      <c r="AM351" s="537">
        <f ca="1">SUMIF(CPQL!$D$5:$W$68,'FORM OH'!$I$351,CPQL!AF5:AF68)</f>
        <v>0</v>
      </c>
      <c r="AN351" s="537">
        <f ca="1">SUMIF(CPQL!$D$5:$W$68,'FORM OH'!$I$351,CPQL!AG5:AG68)</f>
        <v>0</v>
      </c>
      <c r="AO351" s="537">
        <f ca="1">SUMIF(CPQL!$D$5:$W$68,'FORM OH'!$I$351,CPQL!AH5:AH68)</f>
        <v>0</v>
      </c>
      <c r="AP351" s="537">
        <f ca="1">SUMIF(CPQL!$D$5:$W$68,'FORM OH'!$I$351,CPQL!AI5:AI68)</f>
        <v>0</v>
      </c>
      <c r="AQ351" s="537">
        <f ca="1">SUMIF(CPQL!$D$5:$W$68,'FORM OH'!$I$351,CPQL!AJ5:AJ68)</f>
        <v>0</v>
      </c>
      <c r="AR351" s="1284">
        <f t="shared" ca="1" si="48"/>
        <v>0</v>
      </c>
      <c r="AS351" s="719">
        <f t="shared" ca="1" si="49"/>
        <v>0</v>
      </c>
      <c r="AT351" s="718">
        <f t="shared" ca="1" si="50"/>
        <v>0</v>
      </c>
    </row>
    <row r="352" spans="1:46" s="533" customFormat="1" ht="16.399999999999999" customHeight="1" outlineLevel="1" x14ac:dyDescent="0.35">
      <c r="A352" s="534" t="s">
        <v>782</v>
      </c>
      <c r="B352" s="534" t="s">
        <v>783</v>
      </c>
      <c r="C352" s="535" t="s">
        <v>1418</v>
      </c>
      <c r="D352" s="536" t="s">
        <v>1123</v>
      </c>
      <c r="E352" s="536" t="s">
        <v>1124</v>
      </c>
      <c r="F352" s="536" t="s">
        <v>1125</v>
      </c>
      <c r="G352" s="536" t="s">
        <v>1123</v>
      </c>
      <c r="H352" s="536" t="s">
        <v>1124</v>
      </c>
      <c r="I352" s="535" t="s">
        <v>1580</v>
      </c>
      <c r="J352" s="536" t="s">
        <v>505</v>
      </c>
      <c r="K352" s="536" t="s">
        <v>677</v>
      </c>
      <c r="L352" s="535" t="s">
        <v>1415</v>
      </c>
      <c r="M352" s="536" t="s">
        <v>1416</v>
      </c>
      <c r="N352" s="536"/>
      <c r="O352" s="535"/>
      <c r="P352" s="536"/>
      <c r="Q352" s="536"/>
      <c r="R352" s="537">
        <f ca="1">SUMIF(CPQL!$D$5:$W$68,'FORM OH'!$I$352,CPQL!K5:K68)</f>
        <v>0</v>
      </c>
      <c r="S352" s="537">
        <f ca="1">SUMIF(CPQL!$D$5:$W$68,'FORM OH'!$I$352,CPQL!L5:L68)</f>
        <v>0</v>
      </c>
      <c r="T352" s="537">
        <f ca="1">SUMIF(CPQL!$D$5:$W$68,'FORM OH'!$I$352,CPQL!M5:M68)</f>
        <v>0</v>
      </c>
      <c r="U352" s="537">
        <f ca="1">SUMIF(CPQL!$D$5:$W$68,'FORM OH'!$I$352,CPQL!N5:N68)</f>
        <v>0</v>
      </c>
      <c r="V352" s="537">
        <f ca="1">SUMIF(CPQL!$D$5:$W$68,'FORM OH'!$I$352,CPQL!O5:O68)</f>
        <v>0</v>
      </c>
      <c r="W352" s="537">
        <f ca="1">SUMIF(CPQL!$D$5:$W$68,'FORM OH'!$I$352,CPQL!P5:P68)</f>
        <v>0</v>
      </c>
      <c r="X352" s="537">
        <f ca="1">SUMIF(CPQL!$D$5:$W$68,'FORM OH'!$I$352,CPQL!Q5:Q68)</f>
        <v>0</v>
      </c>
      <c r="Y352" s="537">
        <f ca="1">SUMIF(CPQL!$D$5:$W$68,'FORM OH'!$I$352,CPQL!R5:R68)</f>
        <v>0</v>
      </c>
      <c r="Z352" s="537">
        <f ca="1">SUMIF(CPQL!$D$5:$W$68,'FORM OH'!$I$352,CPQL!S5:S68)</f>
        <v>0</v>
      </c>
      <c r="AA352" s="537">
        <f ca="1">SUMIF(CPQL!$D$5:$W$68,'FORM OH'!$I$352,CPQL!T5:T68)</f>
        <v>0</v>
      </c>
      <c r="AB352" s="537">
        <f ca="1">SUMIF(CPQL!$D$5:$W$68,'FORM OH'!$I$352,CPQL!U5:U68)</f>
        <v>0</v>
      </c>
      <c r="AC352" s="537">
        <f ca="1">SUMIF(CPQL!$D$5:$W$68,'FORM OH'!$I$352,CPQL!V5:V68)</f>
        <v>0</v>
      </c>
      <c r="AD352" s="537">
        <f t="shared" ca="1" si="54"/>
        <v>0</v>
      </c>
      <c r="AF352" s="537">
        <f ca="1">SUMIF(CPQL!$D$5:$W$68,'FORM OH'!$I$352,CPQL!Y5:Y68)</f>
        <v>0</v>
      </c>
      <c r="AG352" s="537">
        <f ca="1">SUMIF(CPQL!$D$5:$W$68,'FORM OH'!$I$352,CPQL!Z5:Z68)</f>
        <v>0</v>
      </c>
      <c r="AH352" s="537">
        <f ca="1">SUMIF(CPQL!$D$5:$W$68,'FORM OH'!$I$352,CPQL!AA5:AA68)</f>
        <v>0</v>
      </c>
      <c r="AI352" s="537">
        <f ca="1">SUMIF(CPQL!$D$5:$W$68,'FORM OH'!$I$352,CPQL!AB5:AB68)</f>
        <v>0</v>
      </c>
      <c r="AJ352" s="537">
        <f ca="1">SUMIF(CPQL!$D$5:$W$68,'FORM OH'!$I$352,CPQL!AC5:AC68)</f>
        <v>0</v>
      </c>
      <c r="AK352" s="537">
        <f ca="1">SUMIF(CPQL!$D$5:$W$68,'FORM OH'!$I$352,CPQL!AD5:AD68)</f>
        <v>0</v>
      </c>
      <c r="AL352" s="537">
        <f ca="1">SUMIF(CPQL!$D$5:$W$68,'FORM OH'!$I$352,CPQL!AE5:AE68)</f>
        <v>0</v>
      </c>
      <c r="AM352" s="537">
        <f ca="1">SUMIF(CPQL!$D$5:$W$68,'FORM OH'!$I$352,CPQL!AF5:AF68)</f>
        <v>0</v>
      </c>
      <c r="AN352" s="537">
        <f ca="1">SUMIF(CPQL!$D$5:$W$68,'FORM OH'!$I$352,CPQL!AG5:AG68)</f>
        <v>0</v>
      </c>
      <c r="AO352" s="537">
        <f ca="1">SUMIF(CPQL!$D$5:$W$68,'FORM OH'!$I$352,CPQL!AH5:AH68)</f>
        <v>0</v>
      </c>
      <c r="AP352" s="537">
        <f ca="1">SUMIF(CPQL!$D$5:$W$68,'FORM OH'!$I$352,CPQL!AI5:AI68)</f>
        <v>0</v>
      </c>
      <c r="AQ352" s="537">
        <f ca="1">SUMIF(CPQL!$D$5:$W$68,'FORM OH'!$I$352,CPQL!AJ5:AJ68)</f>
        <v>0</v>
      </c>
      <c r="AR352" s="1284">
        <f t="shared" ca="1" si="48"/>
        <v>0</v>
      </c>
      <c r="AS352" s="719">
        <f t="shared" ca="1" si="49"/>
        <v>0</v>
      </c>
      <c r="AT352" s="718">
        <f t="shared" ca="1" si="50"/>
        <v>0</v>
      </c>
    </row>
    <row r="353" spans="1:46" s="553" customFormat="1" outlineLevel="1" x14ac:dyDescent="0.3">
      <c r="A353" s="534" t="s">
        <v>782</v>
      </c>
      <c r="B353" s="534" t="s">
        <v>783</v>
      </c>
      <c r="C353" s="535" t="s">
        <v>1418</v>
      </c>
      <c r="D353" s="536" t="s">
        <v>1123</v>
      </c>
      <c r="E353" s="536" t="s">
        <v>1124</v>
      </c>
      <c r="F353" s="536" t="s">
        <v>1125</v>
      </c>
      <c r="G353" s="536" t="s">
        <v>1123</v>
      </c>
      <c r="H353" s="536" t="s">
        <v>1124</v>
      </c>
      <c r="I353" s="535" t="s">
        <v>1581</v>
      </c>
      <c r="J353" s="536" t="s">
        <v>506</v>
      </c>
      <c r="K353" s="536" t="s">
        <v>678</v>
      </c>
      <c r="L353" s="535" t="s">
        <v>1582</v>
      </c>
      <c r="M353" s="536" t="s">
        <v>1583</v>
      </c>
      <c r="N353" s="536"/>
      <c r="O353" s="535"/>
      <c r="P353" s="536"/>
      <c r="Q353" s="536"/>
      <c r="R353" s="537">
        <f ca="1">SUMIF(CPQL!$D$5:$W$68,'FORM OH'!$I$353,CPQL!K5:K68)</f>
        <v>0</v>
      </c>
      <c r="S353" s="537">
        <f ca="1">SUMIF(CPQL!$D$5:$W$68,'FORM OH'!$I$353,CPQL!L5:L68)</f>
        <v>0</v>
      </c>
      <c r="T353" s="537">
        <f ca="1">SUMIF(CPQL!$D$5:$W$68,'FORM OH'!$I$353,CPQL!M5:M68)</f>
        <v>0</v>
      </c>
      <c r="U353" s="537">
        <f ca="1">SUMIF(CPQL!$D$5:$W$68,'FORM OH'!$I$353,CPQL!N5:N68)</f>
        <v>0</v>
      </c>
      <c r="V353" s="537">
        <f ca="1">SUMIF(CPQL!$D$5:$W$68,'FORM OH'!$I$353,CPQL!O5:O68)</f>
        <v>0</v>
      </c>
      <c r="W353" s="537">
        <f ca="1">SUMIF(CPQL!$D$5:$W$68,'FORM OH'!$I$353,CPQL!P5:P68)</f>
        <v>0</v>
      </c>
      <c r="X353" s="537">
        <f ca="1">SUMIF(CPQL!$D$5:$W$68,'FORM OH'!$I$353,CPQL!Q5:Q68)</f>
        <v>0</v>
      </c>
      <c r="Y353" s="537">
        <f ca="1">SUMIF(CPQL!$D$5:$W$68,'FORM OH'!$I$353,CPQL!R5:R68)</f>
        <v>0</v>
      </c>
      <c r="Z353" s="537">
        <f ca="1">SUMIF(CPQL!$D$5:$W$68,'FORM OH'!$I$353,CPQL!S5:S68)</f>
        <v>0</v>
      </c>
      <c r="AA353" s="537">
        <f ca="1">SUMIF(CPQL!$D$5:$W$68,'FORM OH'!$I$353,CPQL!T5:T68)</f>
        <v>0</v>
      </c>
      <c r="AB353" s="537">
        <f ca="1">SUMIF(CPQL!$D$5:$W$68,'FORM OH'!$I$353,CPQL!U5:U68)</f>
        <v>0</v>
      </c>
      <c r="AC353" s="537">
        <f ca="1">SUMIF(CPQL!$D$5:$W$68,'FORM OH'!$I$353,CPQL!V5:V68)</f>
        <v>0</v>
      </c>
      <c r="AD353" s="537">
        <f t="shared" ca="1" si="54"/>
        <v>0</v>
      </c>
      <c r="AE353" s="533"/>
      <c r="AF353" s="537">
        <f ca="1">SUMIF(CPQL!$D$5:$W$68,'FORM OH'!$I$353,CPQL!Y5:Y68)</f>
        <v>0</v>
      </c>
      <c r="AG353" s="537">
        <f ca="1">SUMIF(CPQL!$D$5:$W$68,'FORM OH'!$I$353,CPQL!Z5:Z68)</f>
        <v>0</v>
      </c>
      <c r="AH353" s="537">
        <f ca="1">SUMIF(CPQL!$D$5:$W$68,'FORM OH'!$I$353,CPQL!AA5:AA68)</f>
        <v>0</v>
      </c>
      <c r="AI353" s="537">
        <f ca="1">SUMIF(CPQL!$D$5:$W$68,'FORM OH'!$I$353,CPQL!AB5:AB68)</f>
        <v>0</v>
      </c>
      <c r="AJ353" s="537">
        <f ca="1">SUMIF(CPQL!$D$5:$W$68,'FORM OH'!$I$353,CPQL!AC5:AC68)</f>
        <v>0</v>
      </c>
      <c r="AK353" s="537">
        <f ca="1">SUMIF(CPQL!$D$5:$W$68,'FORM OH'!$I$353,CPQL!AD5:AD68)</f>
        <v>0</v>
      </c>
      <c r="AL353" s="537">
        <f ca="1">SUMIF(CPQL!$D$5:$W$68,'FORM OH'!$I$353,CPQL!AE5:AE68)</f>
        <v>0</v>
      </c>
      <c r="AM353" s="537">
        <f ca="1">SUMIF(CPQL!$D$5:$W$68,'FORM OH'!$I$353,CPQL!AF5:AF68)</f>
        <v>0</v>
      </c>
      <c r="AN353" s="537">
        <f ca="1">SUMIF(CPQL!$D$5:$W$68,'FORM OH'!$I$353,CPQL!AG5:AG68)</f>
        <v>0</v>
      </c>
      <c r="AO353" s="537">
        <f ca="1">SUMIF(CPQL!$D$5:$W$68,'FORM OH'!$I$353,CPQL!AH5:AH68)</f>
        <v>0</v>
      </c>
      <c r="AP353" s="537">
        <f ca="1">SUMIF(CPQL!$D$5:$W$68,'FORM OH'!$I$353,CPQL!AI5:AI68)</f>
        <v>0</v>
      </c>
      <c r="AQ353" s="537">
        <f ca="1">SUMIF(CPQL!$D$5:$W$68,'FORM OH'!$I$353,CPQL!AJ5:AJ68)</f>
        <v>0</v>
      </c>
      <c r="AR353" s="1284">
        <f t="shared" ca="1" si="48"/>
        <v>0</v>
      </c>
      <c r="AS353" s="1289">
        <f t="shared" ca="1" si="49"/>
        <v>0</v>
      </c>
      <c r="AT353" s="1299">
        <f t="shared" ca="1" si="50"/>
        <v>0</v>
      </c>
    </row>
    <row r="354" spans="1:46" s="553" customFormat="1" outlineLevel="1" x14ac:dyDescent="0.3">
      <c r="A354" s="534" t="s">
        <v>782</v>
      </c>
      <c r="B354" s="534" t="s">
        <v>783</v>
      </c>
      <c r="C354" s="535" t="s">
        <v>1418</v>
      </c>
      <c r="D354" s="536" t="s">
        <v>1123</v>
      </c>
      <c r="E354" s="536" t="s">
        <v>1124</v>
      </c>
      <c r="F354" s="536" t="s">
        <v>1125</v>
      </c>
      <c r="G354" s="536" t="s">
        <v>1123</v>
      </c>
      <c r="H354" s="536" t="s">
        <v>1124</v>
      </c>
      <c r="I354" s="535" t="s">
        <v>1584</v>
      </c>
      <c r="J354" s="536" t="s">
        <v>507</v>
      </c>
      <c r="K354" s="536" t="s">
        <v>676</v>
      </c>
      <c r="L354" s="535" t="s">
        <v>1154</v>
      </c>
      <c r="M354" s="536" t="s">
        <v>1155</v>
      </c>
      <c r="N354" s="536"/>
      <c r="O354" s="535"/>
      <c r="P354" s="536"/>
      <c r="Q354" s="536"/>
      <c r="R354" s="537">
        <f ca="1">SUMIF(CPQL!$D$5:$W$68,'FORM OH'!$I$354,CPQL!K5:K68)</f>
        <v>0</v>
      </c>
      <c r="S354" s="537">
        <f ca="1">SUMIF(CPQL!$D$5:$W$68,'FORM OH'!$I$354,CPQL!L5:L68)</f>
        <v>0</v>
      </c>
      <c r="T354" s="537">
        <f ca="1">SUMIF(CPQL!$D$5:$W$68,'FORM OH'!$I$354,CPQL!M5:M68)</f>
        <v>0</v>
      </c>
      <c r="U354" s="537">
        <f ca="1">SUMIF(CPQL!$D$5:$W$68,'FORM OH'!$I$354,CPQL!N5:N68)</f>
        <v>0</v>
      </c>
      <c r="V354" s="537">
        <f ca="1">SUMIF(CPQL!$D$5:$W$68,'FORM OH'!$I$354,CPQL!O5:O68)</f>
        <v>0</v>
      </c>
      <c r="W354" s="537">
        <f ca="1">SUMIF(CPQL!$D$5:$W$68,'FORM OH'!$I$354,CPQL!P5:P68)</f>
        <v>0</v>
      </c>
      <c r="X354" s="537">
        <f ca="1">SUMIF(CPQL!$D$5:$W$68,'FORM OH'!$I$354,CPQL!Q5:Q68)</f>
        <v>0</v>
      </c>
      <c r="Y354" s="537">
        <f ca="1">SUMIF(CPQL!$D$5:$W$68,'FORM OH'!$I$354,CPQL!R5:R68)</f>
        <v>0</v>
      </c>
      <c r="Z354" s="537">
        <f ca="1">SUMIF(CPQL!$D$5:$W$68,'FORM OH'!$I$354,CPQL!S5:S68)</f>
        <v>0</v>
      </c>
      <c r="AA354" s="537">
        <f ca="1">SUMIF(CPQL!$D$5:$W$68,'FORM OH'!$I$354,CPQL!T5:T68)</f>
        <v>0</v>
      </c>
      <c r="AB354" s="537">
        <f ca="1">SUMIF(CPQL!$D$5:$W$68,'FORM OH'!$I$354,CPQL!U5:U68)</f>
        <v>0</v>
      </c>
      <c r="AC354" s="537">
        <f ca="1">SUMIF(CPQL!$D$5:$W$68,'FORM OH'!$I$354,CPQL!V5:V68)</f>
        <v>0</v>
      </c>
      <c r="AD354" s="537">
        <f t="shared" ca="1" si="54"/>
        <v>0</v>
      </c>
      <c r="AE354" s="533"/>
      <c r="AF354" s="537">
        <f ca="1">SUMIF(CPQL!$D$5:$W$68,'FORM OH'!$I$354,CPQL!Y5:Y68)</f>
        <v>0</v>
      </c>
      <c r="AG354" s="537">
        <f ca="1">SUMIF(CPQL!$D$5:$W$68,'FORM OH'!$I$354,CPQL!Z5:Z68)</f>
        <v>0</v>
      </c>
      <c r="AH354" s="537">
        <f ca="1">SUMIF(CPQL!$D$5:$W$68,'FORM OH'!$I$354,CPQL!AA5:AA68)</f>
        <v>0</v>
      </c>
      <c r="AI354" s="537">
        <f ca="1">SUMIF(CPQL!$D$5:$W$68,'FORM OH'!$I$354,CPQL!AB5:AB68)</f>
        <v>0</v>
      </c>
      <c r="AJ354" s="537">
        <f ca="1">SUMIF(CPQL!$D$5:$W$68,'FORM OH'!$I$354,CPQL!AC5:AC68)</f>
        <v>0</v>
      </c>
      <c r="AK354" s="537">
        <f ca="1">SUMIF(CPQL!$D$5:$W$68,'FORM OH'!$I$354,CPQL!AD5:AD68)</f>
        <v>0</v>
      </c>
      <c r="AL354" s="537">
        <f ca="1">SUMIF(CPQL!$D$5:$W$68,'FORM OH'!$I$354,CPQL!AE5:AE68)</f>
        <v>0</v>
      </c>
      <c r="AM354" s="537">
        <f ca="1">SUMIF(CPQL!$D$5:$W$68,'FORM OH'!$I$354,CPQL!AF5:AF68)</f>
        <v>0</v>
      </c>
      <c r="AN354" s="537">
        <f ca="1">SUMIF(CPQL!$D$5:$W$68,'FORM OH'!$I$354,CPQL!AG5:AG68)</f>
        <v>0</v>
      </c>
      <c r="AO354" s="537">
        <f ca="1">SUMIF(CPQL!$D$5:$W$68,'FORM OH'!$I$354,CPQL!AH5:AH68)</f>
        <v>0</v>
      </c>
      <c r="AP354" s="537">
        <f ca="1">SUMIF(CPQL!$D$5:$W$68,'FORM OH'!$I$354,CPQL!AI5:AI68)</f>
        <v>0</v>
      </c>
      <c r="AQ354" s="537">
        <f ca="1">SUMIF(CPQL!$D$5:$W$68,'FORM OH'!$I$354,CPQL!AJ5:AJ68)</f>
        <v>0</v>
      </c>
      <c r="AR354" s="1284">
        <f t="shared" ca="1" si="48"/>
        <v>0</v>
      </c>
      <c r="AS354" s="1289">
        <f t="shared" ca="1" si="49"/>
        <v>0</v>
      </c>
      <c r="AT354" s="1299">
        <f t="shared" ca="1" si="50"/>
        <v>0</v>
      </c>
    </row>
    <row r="355" spans="1:46" s="554" customFormat="1" outlineLevel="1" x14ac:dyDescent="0.3">
      <c r="A355" s="534" t="s">
        <v>782</v>
      </c>
      <c r="B355" s="534" t="s">
        <v>783</v>
      </c>
      <c r="C355" s="535" t="s">
        <v>1418</v>
      </c>
      <c r="D355" s="536" t="s">
        <v>1123</v>
      </c>
      <c r="E355" s="536" t="s">
        <v>1124</v>
      </c>
      <c r="F355" s="536" t="s">
        <v>1125</v>
      </c>
      <c r="G355" s="536" t="s">
        <v>1123</v>
      </c>
      <c r="H355" s="536" t="s">
        <v>1124</v>
      </c>
      <c r="I355" s="535" t="s">
        <v>1585</v>
      </c>
      <c r="J355" s="536" t="s">
        <v>508</v>
      </c>
      <c r="K355" s="536" t="s">
        <v>679</v>
      </c>
      <c r="L355" s="535" t="s">
        <v>1586</v>
      </c>
      <c r="M355" s="536" t="s">
        <v>1587</v>
      </c>
      <c r="N355" s="536"/>
      <c r="O355" s="535"/>
      <c r="P355" s="536"/>
      <c r="Q355" s="536"/>
      <c r="R355" s="537">
        <f ca="1">SUMIF(CPQL!$D$5:$W$68,'FORM OH'!$I$355,CPQL!K5:K68)</f>
        <v>0</v>
      </c>
      <c r="S355" s="537">
        <f ca="1">SUMIF(CPQL!$D$5:$W$68,'FORM OH'!$I$355,CPQL!L5:L68)</f>
        <v>0</v>
      </c>
      <c r="T355" s="537">
        <f ca="1">SUMIF(CPQL!$D$5:$W$68,'FORM OH'!$I$355,CPQL!M5:M68)</f>
        <v>0</v>
      </c>
      <c r="U355" s="537">
        <f ca="1">SUMIF(CPQL!$D$5:$W$68,'FORM OH'!$I$355,CPQL!N5:N68)</f>
        <v>0</v>
      </c>
      <c r="V355" s="537">
        <f ca="1">SUMIF(CPQL!$D$5:$W$68,'FORM OH'!$I$355,CPQL!O5:O68)</f>
        <v>0</v>
      </c>
      <c r="W355" s="537">
        <f ca="1">SUMIF(CPQL!$D$5:$W$68,'FORM OH'!$I$355,CPQL!P5:P68)</f>
        <v>0</v>
      </c>
      <c r="X355" s="537">
        <f ca="1">SUMIF(CPQL!$D$5:$W$68,'FORM OH'!$I$355,CPQL!Q5:Q68)</f>
        <v>0</v>
      </c>
      <c r="Y355" s="537">
        <f ca="1">SUMIF(CPQL!$D$5:$W$68,'FORM OH'!$I$355,CPQL!R5:R68)</f>
        <v>0</v>
      </c>
      <c r="Z355" s="537">
        <f ca="1">SUMIF(CPQL!$D$5:$W$68,'FORM OH'!$I$355,CPQL!S5:S68)</f>
        <v>0</v>
      </c>
      <c r="AA355" s="537">
        <f ca="1">SUMIF(CPQL!$D$5:$W$68,'FORM OH'!$I$355,CPQL!T5:T68)</f>
        <v>0</v>
      </c>
      <c r="AB355" s="537">
        <f ca="1">SUMIF(CPQL!$D$5:$W$68,'FORM OH'!$I$355,CPQL!U5:U68)</f>
        <v>0</v>
      </c>
      <c r="AC355" s="537">
        <f ca="1">SUMIF(CPQL!$D$5:$W$68,'FORM OH'!$I$355,CPQL!V5:V68)</f>
        <v>0</v>
      </c>
      <c r="AD355" s="537">
        <f t="shared" ca="1" si="54"/>
        <v>0</v>
      </c>
      <c r="AE355" s="533"/>
      <c r="AF355" s="537">
        <f ca="1">SUMIF(CPQL!$D$5:$W$68,'FORM OH'!$I$355,CPQL!Y5:Y68)</f>
        <v>0</v>
      </c>
      <c r="AG355" s="537">
        <f ca="1">SUMIF(CPQL!$D$5:$W$68,'FORM OH'!$I$355,CPQL!Z5:Z68)</f>
        <v>0</v>
      </c>
      <c r="AH355" s="537">
        <f ca="1">SUMIF(CPQL!$D$5:$W$68,'FORM OH'!$I$355,CPQL!AA5:AA68)</f>
        <v>0</v>
      </c>
      <c r="AI355" s="537">
        <f ca="1">SUMIF(CPQL!$D$5:$W$68,'FORM OH'!$I$355,CPQL!AB5:AB68)</f>
        <v>0</v>
      </c>
      <c r="AJ355" s="537">
        <f ca="1">SUMIF(CPQL!$D$5:$W$68,'FORM OH'!$I$355,CPQL!AC5:AC68)</f>
        <v>0</v>
      </c>
      <c r="AK355" s="537">
        <f ca="1">SUMIF(CPQL!$D$5:$W$68,'FORM OH'!$I$355,CPQL!AD5:AD68)</f>
        <v>0</v>
      </c>
      <c r="AL355" s="537">
        <f ca="1">SUMIF(CPQL!$D$5:$W$68,'FORM OH'!$I$355,CPQL!AE5:AE68)</f>
        <v>0</v>
      </c>
      <c r="AM355" s="537">
        <f ca="1">SUMIF(CPQL!$D$5:$W$68,'FORM OH'!$I$355,CPQL!AF5:AF68)</f>
        <v>0</v>
      </c>
      <c r="AN355" s="537">
        <f ca="1">SUMIF(CPQL!$D$5:$W$68,'FORM OH'!$I$355,CPQL!AG5:AG68)</f>
        <v>0</v>
      </c>
      <c r="AO355" s="537">
        <f ca="1">SUMIF(CPQL!$D$5:$W$68,'FORM OH'!$I$355,CPQL!AH5:AH68)</f>
        <v>0</v>
      </c>
      <c r="AP355" s="537">
        <f ca="1">SUMIF(CPQL!$D$5:$W$68,'FORM OH'!$I$355,CPQL!AI5:AI68)</f>
        <v>0</v>
      </c>
      <c r="AQ355" s="537">
        <f ca="1">SUMIF(CPQL!$D$5:$W$68,'FORM OH'!$I$355,CPQL!AJ5:AJ68)</f>
        <v>0</v>
      </c>
      <c r="AR355" s="1284">
        <f t="shared" ca="1" si="48"/>
        <v>0</v>
      </c>
      <c r="AS355" s="1289">
        <f t="shared" ca="1" si="49"/>
        <v>0</v>
      </c>
      <c r="AT355" s="1299">
        <f t="shared" ca="1" si="50"/>
        <v>0</v>
      </c>
    </row>
    <row r="356" spans="1:46" s="553" customFormat="1" x14ac:dyDescent="0.3">
      <c r="A356" s="534" t="s">
        <v>782</v>
      </c>
      <c r="B356" s="534" t="s">
        <v>783</v>
      </c>
      <c r="C356" s="555" t="s">
        <v>1588</v>
      </c>
      <c r="D356" s="555" t="s">
        <v>1588</v>
      </c>
      <c r="E356" s="555" t="s">
        <v>1588</v>
      </c>
      <c r="F356" s="555" t="s">
        <v>1588</v>
      </c>
      <c r="G356" s="555" t="s">
        <v>1588</v>
      </c>
      <c r="H356" s="555" t="s">
        <v>1588</v>
      </c>
      <c r="I356" s="555" t="s">
        <v>1588</v>
      </c>
      <c r="J356" s="555" t="s">
        <v>1588</v>
      </c>
      <c r="K356" s="555"/>
      <c r="L356" s="555" t="s">
        <v>1588</v>
      </c>
      <c r="M356" s="555" t="s">
        <v>1588</v>
      </c>
      <c r="N356" s="555"/>
      <c r="O356" s="555" t="s">
        <v>1588</v>
      </c>
      <c r="P356" s="555" t="s">
        <v>1588</v>
      </c>
      <c r="Q356" s="555"/>
      <c r="R356" s="556">
        <f t="shared" ref="R356:AC356" ca="1" si="55">R9+R21+R23+R37+R108+R119+R133+R151+R229+R239+R253+R341</f>
        <v>1776703648.7029808</v>
      </c>
      <c r="S356" s="556">
        <f t="shared" ca="1" si="55"/>
        <v>1750166478.9316049</v>
      </c>
      <c r="T356" s="556">
        <f t="shared" ca="1" si="55"/>
        <v>1730170497.3934395</v>
      </c>
      <c r="U356" s="556">
        <f t="shared" ca="1" si="55"/>
        <v>1802636731.1838982</v>
      </c>
      <c r="V356" s="556">
        <f t="shared" ca="1" si="55"/>
        <v>1758411535.3838983</v>
      </c>
      <c r="W356" s="556">
        <f t="shared" ca="1" si="55"/>
        <v>1801916745.6505649</v>
      </c>
      <c r="X356" s="556">
        <f t="shared" ca="1" si="55"/>
        <v>1813600290.0172315</v>
      </c>
      <c r="Y356" s="556">
        <f t="shared" ca="1" si="55"/>
        <v>1887047450.600565</v>
      </c>
      <c r="Z356" s="556">
        <f t="shared" ca="1" si="55"/>
        <v>1818407866.2172315</v>
      </c>
      <c r="AA356" s="556">
        <f t="shared" ca="1" si="55"/>
        <v>1763985908.550565</v>
      </c>
      <c r="AB356" s="556">
        <f t="shared" ca="1" si="55"/>
        <v>1775803310.850565</v>
      </c>
      <c r="AC356" s="556">
        <f t="shared" ca="1" si="55"/>
        <v>1779890549.1505649</v>
      </c>
      <c r="AD356" s="556">
        <f ca="1">AD9+AD21+AD23+AD37+AD108+AD119+AD133+AD151+AD229+AD239+AD253+AD341</f>
        <v>21458741012.63311</v>
      </c>
      <c r="AE356" s="533"/>
      <c r="AF356" s="556">
        <f t="shared" ref="AF356:AR356" ca="1" si="56">SUM(AF$10:AF$20,AF$22,AF$24:AF$36,AF$38:AF$107,AF$109:AF$118,AF$120:AF$132,AF$134:AF$150,AF$152:AF$228,AF$230:AF$238,AF$240:AF$252,AF$254:AF$340,AF$342:AF$355)</f>
        <v>1258726010.0000002</v>
      </c>
      <c r="AG356" s="556">
        <f t="shared" ca="1" si="56"/>
        <v>1288026809.0000002</v>
      </c>
      <c r="AH356" s="556">
        <f t="shared" ca="1" si="56"/>
        <v>1352525928.9999995</v>
      </c>
      <c r="AI356" s="556">
        <f t="shared" ca="1" si="56"/>
        <v>1469372771.9999998</v>
      </c>
      <c r="AJ356" s="556">
        <f t="shared" ca="1" si="56"/>
        <v>1435477906.0000002</v>
      </c>
      <c r="AK356" s="556">
        <f t="shared" ca="1" si="56"/>
        <v>1426609860.9999998</v>
      </c>
      <c r="AL356" s="556">
        <f t="shared" ca="1" si="56"/>
        <v>1667018652.9999995</v>
      </c>
      <c r="AM356" s="556">
        <f t="shared" ca="1" si="56"/>
        <v>1556942908.9999995</v>
      </c>
      <c r="AN356" s="556">
        <f t="shared" ca="1" si="56"/>
        <v>1483393449.9999998</v>
      </c>
      <c r="AO356" s="556">
        <f t="shared" ca="1" si="56"/>
        <v>1617639306.5991838</v>
      </c>
      <c r="AP356" s="556">
        <f t="shared" ca="1" si="56"/>
        <v>1601652019.0585995</v>
      </c>
      <c r="AQ356" s="556">
        <f t="shared" ca="1" si="56"/>
        <v>1580514471.1654587</v>
      </c>
      <c r="AR356" s="1285">
        <f t="shared" ca="1" si="56"/>
        <v>17737900095.823242</v>
      </c>
      <c r="AS356" s="1290">
        <f t="shared" ca="1" si="49"/>
        <v>3720840916.8098679</v>
      </c>
      <c r="AT356" s="1300">
        <f t="shared" ca="1" si="50"/>
        <v>0.20976783591683534</v>
      </c>
    </row>
    <row r="357" spans="1:46" s="553" customFormat="1" x14ac:dyDescent="0.3">
      <c r="A357" s="557" t="s">
        <v>782</v>
      </c>
      <c r="B357" s="557" t="s">
        <v>783</v>
      </c>
      <c r="C357" s="558"/>
      <c r="D357" s="559" t="s">
        <v>1589</v>
      </c>
      <c r="E357" s="559"/>
      <c r="F357" s="559"/>
      <c r="G357" s="559"/>
      <c r="H357" s="559" t="s">
        <v>1589</v>
      </c>
      <c r="I357" s="560"/>
      <c r="J357" s="559" t="s">
        <v>1589</v>
      </c>
      <c r="K357" s="559"/>
      <c r="L357" s="560"/>
      <c r="M357" s="559"/>
      <c r="N357" s="559"/>
      <c r="O357" s="561"/>
      <c r="P357" s="559" t="s">
        <v>1589</v>
      </c>
      <c r="Q357" s="559"/>
      <c r="R357" s="562">
        <f>'Dinh bien_HCNS'!H78</f>
        <v>56</v>
      </c>
      <c r="S357" s="562">
        <f>'Dinh bien_HCNS'!I78</f>
        <v>56</v>
      </c>
      <c r="T357" s="562">
        <f>'Dinh bien_HCNS'!J78</f>
        <v>56</v>
      </c>
      <c r="U357" s="562">
        <f>'Dinh bien_HCNS'!K78</f>
        <v>56</v>
      </c>
      <c r="V357" s="562">
        <f>'Dinh bien_HCNS'!L78</f>
        <v>56</v>
      </c>
      <c r="W357" s="562">
        <f>'Dinh bien_HCNS'!M78</f>
        <v>56</v>
      </c>
      <c r="X357" s="562">
        <f>'Dinh bien_HCNS'!N78</f>
        <v>56</v>
      </c>
      <c r="Y357" s="562">
        <f>'Dinh bien_HCNS'!O78</f>
        <v>56</v>
      </c>
      <c r="Z357" s="562">
        <f>'Dinh bien_HCNS'!P78</f>
        <v>56</v>
      </c>
      <c r="AA357" s="562">
        <f>'Dinh bien_HCNS'!Q78</f>
        <v>56</v>
      </c>
      <c r="AB357" s="562">
        <f>'Dinh bien_HCNS'!R78</f>
        <v>56</v>
      </c>
      <c r="AC357" s="562">
        <f>'Dinh bien_HCNS'!S78</f>
        <v>56</v>
      </c>
      <c r="AD357" s="1258">
        <f>AVERAGEA(R357:AC357)</f>
        <v>56</v>
      </c>
      <c r="AE357" s="533"/>
      <c r="AR357" s="1279"/>
      <c r="AS357" s="1279"/>
      <c r="AT357" s="1292"/>
    </row>
    <row r="358" spans="1:46" x14ac:dyDescent="0.3">
      <c r="AD358" s="563"/>
      <c r="AE358" s="533"/>
    </row>
    <row r="359" spans="1:46" x14ac:dyDescent="0.3">
      <c r="Y359" s="499"/>
      <c r="Z359" s="499"/>
      <c r="AA359" s="499"/>
      <c r="AB359" s="499"/>
      <c r="AC359" s="499"/>
      <c r="AD359" s="563"/>
      <c r="AE359" s="533"/>
    </row>
    <row r="360" spans="1:46" x14ac:dyDescent="0.3">
      <c r="Y360" s="563"/>
      <c r="Z360" s="563"/>
      <c r="AA360" s="563"/>
      <c r="AB360" s="563"/>
      <c r="AC360" s="563"/>
      <c r="AD360" s="563"/>
    </row>
    <row r="362" spans="1:46" x14ac:dyDescent="0.3">
      <c r="Y362" s="563"/>
      <c r="Z362" s="563"/>
      <c r="AA362" s="563"/>
      <c r="AB362" s="563"/>
      <c r="AC362" s="563"/>
    </row>
  </sheetData>
  <autoFilter ref="A8:AT362" xr:uid="{64ABF15A-BC32-4255-8A3D-D4A5491FC341}"/>
  <conditionalFormatting sqref="H1">
    <cfRule type="duplicateValues" dxfId="4" priority="3"/>
  </conditionalFormatting>
  <conditionalFormatting sqref="H1:H3 L3 R4">
    <cfRule type="containsText" dxfId="3" priority="4" operator="containsText" text="xxx">
      <formula>NOT(ISERROR(SEARCH("xxx",H1)))</formula>
    </cfRule>
  </conditionalFormatting>
  <conditionalFormatting sqref="H2">
    <cfRule type="duplicateValues" dxfId="2" priority="5"/>
  </conditionalFormatting>
  <conditionalFormatting sqref="H3">
    <cfRule type="duplicateValues" dxfId="1" priority="2"/>
  </conditionalFormatting>
  <conditionalFormatting sqref="R4 L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318A-E421-4663-AA89-B88AB480E66E}">
  <dimension ref="A1:T36"/>
  <sheetViews>
    <sheetView showGridLines="0" zoomScaleNormal="100" workbookViewId="0">
      <pane ySplit="1" topLeftCell="A2" activePane="bottomLeft" state="frozen"/>
      <selection pane="bottomLeft" activeCell="B9" sqref="B9"/>
    </sheetView>
  </sheetViews>
  <sheetFormatPr defaultColWidth="8.81640625" defaultRowHeight="14.5" x14ac:dyDescent="0.35"/>
  <cols>
    <col min="1" max="1" width="30.81640625" style="701" bestFit="1" customWidth="1"/>
    <col min="2" max="2" width="31.1796875" style="701" customWidth="1"/>
    <col min="3" max="3" width="1.81640625" style="700" customWidth="1"/>
    <col min="4" max="4" width="12.453125" style="701" customWidth="1"/>
    <col min="5" max="5" width="11.453125" style="701" customWidth="1"/>
    <col min="6" max="6" width="1.81640625" style="700" customWidth="1"/>
    <col min="7" max="7" width="13.81640625" style="701" customWidth="1"/>
    <col min="8" max="8" width="33" style="701" bestFit="1" customWidth="1"/>
    <col min="9" max="9" width="1.81640625" style="700" customWidth="1"/>
    <col min="10" max="10" width="26.1796875" style="701" bestFit="1" customWidth="1"/>
    <col min="11" max="11" width="1.81640625" style="700" customWidth="1"/>
    <col min="12" max="12" width="8.81640625" style="701"/>
    <col min="13" max="13" width="1.81640625" style="700" customWidth="1"/>
    <col min="14" max="14" width="16.81640625" style="701" bestFit="1" customWidth="1"/>
    <col min="15" max="15" width="1.81640625" style="700" customWidth="1"/>
    <col min="16" max="16" width="19.453125" style="701" bestFit="1" customWidth="1"/>
    <col min="17" max="17" width="37.1796875" style="701" bestFit="1" customWidth="1"/>
    <col min="18" max="18" width="37.1796875" style="701" customWidth="1"/>
    <col min="19" max="19" width="1.81640625" style="700" customWidth="1"/>
    <col min="20" max="16384" width="8.81640625" style="701"/>
  </cols>
  <sheetData>
    <row r="1" spans="1:20" x14ac:dyDescent="0.35">
      <c r="A1" s="699" t="s">
        <v>1675</v>
      </c>
      <c r="B1" s="699" t="s">
        <v>645</v>
      </c>
      <c r="D1" s="699" t="s">
        <v>1676</v>
      </c>
      <c r="E1" s="699" t="s">
        <v>646</v>
      </c>
      <c r="G1" s="699" t="s">
        <v>659</v>
      </c>
      <c r="H1" s="699" t="s">
        <v>660</v>
      </c>
      <c r="J1" s="699" t="s">
        <v>132</v>
      </c>
      <c r="L1" s="699" t="s">
        <v>1677</v>
      </c>
      <c r="N1" s="699" t="s">
        <v>1678</v>
      </c>
      <c r="P1" s="699" t="s">
        <v>1679</v>
      </c>
      <c r="Q1" s="699" t="s">
        <v>1680</v>
      </c>
      <c r="R1" s="699" t="s">
        <v>1681</v>
      </c>
    </row>
    <row r="2" spans="1:20" x14ac:dyDescent="0.35">
      <c r="A2" s="701" t="s">
        <v>1682</v>
      </c>
      <c r="B2" s="701" t="s">
        <v>1683</v>
      </c>
      <c r="D2" s="701" t="s">
        <v>1684</v>
      </c>
      <c r="E2" s="701" t="s">
        <v>1685</v>
      </c>
      <c r="H2" s="702" t="s">
        <v>513</v>
      </c>
      <c r="J2" s="702" t="s">
        <v>513</v>
      </c>
      <c r="L2" s="701" t="s">
        <v>1686</v>
      </c>
      <c r="N2" s="703">
        <v>0.1</v>
      </c>
      <c r="P2" s="701" t="s">
        <v>1687</v>
      </c>
      <c r="Q2" s="701" t="s">
        <v>1688</v>
      </c>
      <c r="R2" s="701" t="s">
        <v>1689</v>
      </c>
      <c r="T2" s="704"/>
    </row>
    <row r="3" spans="1:20" x14ac:dyDescent="0.35">
      <c r="A3" s="701" t="s">
        <v>1690</v>
      </c>
      <c r="B3" s="701" t="s">
        <v>1691</v>
      </c>
      <c r="D3" s="701" t="s">
        <v>1692</v>
      </c>
      <c r="E3" s="701" t="s">
        <v>1693</v>
      </c>
      <c r="H3" s="702" t="s">
        <v>514</v>
      </c>
      <c r="J3" s="702" t="s">
        <v>514</v>
      </c>
      <c r="L3" s="701" t="s">
        <v>1694</v>
      </c>
      <c r="N3" s="703">
        <v>0.2</v>
      </c>
      <c r="P3" s="701" t="s">
        <v>1687</v>
      </c>
      <c r="Q3" s="701" t="s">
        <v>1695</v>
      </c>
      <c r="R3" s="701" t="s">
        <v>1689</v>
      </c>
    </row>
    <row r="4" spans="1:20" x14ac:dyDescent="0.35">
      <c r="A4" s="701" t="s">
        <v>1696</v>
      </c>
      <c r="B4" s="701" t="s">
        <v>1697</v>
      </c>
      <c r="D4" s="701" t="s">
        <v>1698</v>
      </c>
      <c r="E4" s="701" t="s">
        <v>1699</v>
      </c>
      <c r="H4" s="702" t="s">
        <v>515</v>
      </c>
      <c r="J4" s="702" t="s">
        <v>515</v>
      </c>
      <c r="N4" s="703">
        <v>0.3</v>
      </c>
      <c r="P4" s="701" t="s">
        <v>1687</v>
      </c>
      <c r="Q4" s="701" t="s">
        <v>1700</v>
      </c>
      <c r="R4" s="701" t="s">
        <v>1689</v>
      </c>
    </row>
    <row r="5" spans="1:20" x14ac:dyDescent="0.35">
      <c r="A5" s="701" t="s">
        <v>1701</v>
      </c>
      <c r="B5" s="701" t="s">
        <v>1702</v>
      </c>
      <c r="H5" s="702" t="s">
        <v>516</v>
      </c>
      <c r="J5" s="702" t="s">
        <v>516</v>
      </c>
      <c r="N5" s="703">
        <v>0.4</v>
      </c>
      <c r="P5" s="701" t="s">
        <v>1687</v>
      </c>
      <c r="Q5" s="701" t="s">
        <v>1703</v>
      </c>
      <c r="R5" s="701" t="s">
        <v>1704</v>
      </c>
    </row>
    <row r="6" spans="1:20" x14ac:dyDescent="0.35">
      <c r="A6" s="701" t="s">
        <v>1705</v>
      </c>
      <c r="H6" s="702" t="s">
        <v>1706</v>
      </c>
      <c r="J6" s="702" t="s">
        <v>517</v>
      </c>
      <c r="N6" s="703">
        <v>0.5</v>
      </c>
      <c r="P6" s="701" t="s">
        <v>1687</v>
      </c>
      <c r="Q6" s="701" t="s">
        <v>1707</v>
      </c>
      <c r="R6" s="701" t="s">
        <v>1708</v>
      </c>
    </row>
    <row r="7" spans="1:20" ht="24" customHeight="1" x14ac:dyDescent="0.35">
      <c r="A7" s="701" t="s">
        <v>1709</v>
      </c>
      <c r="H7" s="702" t="s">
        <v>518</v>
      </c>
      <c r="J7" s="702" t="s">
        <v>1706</v>
      </c>
      <c r="N7" s="703">
        <v>0.6</v>
      </c>
      <c r="P7" s="701" t="s">
        <v>1687</v>
      </c>
      <c r="Q7" s="701" t="s">
        <v>1710</v>
      </c>
      <c r="R7" s="701" t="s">
        <v>1708</v>
      </c>
    </row>
    <row r="8" spans="1:20" x14ac:dyDescent="0.35">
      <c r="A8" s="701" t="s">
        <v>1711</v>
      </c>
      <c r="H8" s="702" t="s">
        <v>519</v>
      </c>
      <c r="J8" s="702" t="s">
        <v>518</v>
      </c>
      <c r="N8" s="703">
        <v>0.7</v>
      </c>
      <c r="P8" s="701" t="s">
        <v>1687</v>
      </c>
      <c r="Q8" s="701" t="s">
        <v>1712</v>
      </c>
      <c r="R8" s="701" t="s">
        <v>1708</v>
      </c>
    </row>
    <row r="9" spans="1:20" x14ac:dyDescent="0.35">
      <c r="A9" s="701" t="s">
        <v>1713</v>
      </c>
      <c r="H9" s="702" t="s">
        <v>520</v>
      </c>
      <c r="J9" s="702" t="s">
        <v>519</v>
      </c>
      <c r="N9" s="703">
        <v>0.8</v>
      </c>
      <c r="P9" s="701" t="s">
        <v>1687</v>
      </c>
      <c r="Q9" s="701" t="s">
        <v>1714</v>
      </c>
      <c r="R9" s="701" t="s">
        <v>1715</v>
      </c>
    </row>
    <row r="10" spans="1:20" x14ac:dyDescent="0.35">
      <c r="A10" s="701" t="s">
        <v>1716</v>
      </c>
      <c r="H10" s="702" t="s">
        <v>521</v>
      </c>
      <c r="J10" s="702" t="s">
        <v>520</v>
      </c>
      <c r="N10" s="703">
        <v>0.9</v>
      </c>
      <c r="P10" s="701" t="s">
        <v>1687</v>
      </c>
      <c r="Q10" s="701" t="s">
        <v>1717</v>
      </c>
      <c r="R10" s="701" t="s">
        <v>1715</v>
      </c>
    </row>
    <row r="11" spans="1:20" x14ac:dyDescent="0.35">
      <c r="H11" s="702" t="s">
        <v>522</v>
      </c>
      <c r="J11" s="702" t="s">
        <v>521</v>
      </c>
      <c r="N11" s="703">
        <v>1</v>
      </c>
      <c r="P11" s="701" t="s">
        <v>1687</v>
      </c>
      <c r="Q11" s="701" t="s">
        <v>1718</v>
      </c>
      <c r="R11" s="701" t="s">
        <v>1715</v>
      </c>
    </row>
    <row r="12" spans="1:20" x14ac:dyDescent="0.35">
      <c r="H12" s="702" t="s">
        <v>523</v>
      </c>
      <c r="J12" s="702" t="s">
        <v>522</v>
      </c>
      <c r="P12" s="701" t="s">
        <v>1687</v>
      </c>
      <c r="Q12" s="701" t="s">
        <v>1719</v>
      </c>
      <c r="R12" s="701" t="s">
        <v>1720</v>
      </c>
    </row>
    <row r="13" spans="1:20" x14ac:dyDescent="0.35">
      <c r="H13" s="702" t="s">
        <v>524</v>
      </c>
      <c r="J13" s="702" t="s">
        <v>523</v>
      </c>
      <c r="P13" s="701" t="s">
        <v>1687</v>
      </c>
      <c r="Q13" s="701" t="s">
        <v>1721</v>
      </c>
      <c r="R13" s="701" t="s">
        <v>1720</v>
      </c>
    </row>
    <row r="14" spans="1:20" x14ac:dyDescent="0.35">
      <c r="H14" s="702" t="s">
        <v>525</v>
      </c>
      <c r="J14" s="702" t="s">
        <v>524</v>
      </c>
      <c r="P14" s="701" t="s">
        <v>1687</v>
      </c>
      <c r="Q14" s="701" t="s">
        <v>1722</v>
      </c>
      <c r="R14" s="701" t="s">
        <v>1720</v>
      </c>
    </row>
    <row r="15" spans="1:20" x14ac:dyDescent="0.35">
      <c r="H15" s="702" t="s">
        <v>526</v>
      </c>
      <c r="J15" s="702" t="s">
        <v>525</v>
      </c>
    </row>
    <row r="16" spans="1:20" x14ac:dyDescent="0.35">
      <c r="H16" s="702" t="s">
        <v>1723</v>
      </c>
      <c r="J16" s="702" t="s">
        <v>526</v>
      </c>
    </row>
    <row r="17" spans="8:18" x14ac:dyDescent="0.35">
      <c r="H17" s="702" t="s">
        <v>1724</v>
      </c>
      <c r="J17" s="702" t="s">
        <v>527</v>
      </c>
      <c r="P17" s="701" t="s">
        <v>1687</v>
      </c>
      <c r="Q17" s="701" t="s">
        <v>1725</v>
      </c>
      <c r="R17" s="701" t="s">
        <v>1726</v>
      </c>
    </row>
    <row r="18" spans="8:18" x14ac:dyDescent="0.35">
      <c r="H18" s="702" t="s">
        <v>1727</v>
      </c>
      <c r="J18" s="702" t="s">
        <v>528</v>
      </c>
      <c r="P18" s="701" t="s">
        <v>1687</v>
      </c>
      <c r="Q18" s="701" t="s">
        <v>1728</v>
      </c>
      <c r="R18" s="701" t="s">
        <v>1726</v>
      </c>
    </row>
    <row r="19" spans="8:18" x14ac:dyDescent="0.35">
      <c r="H19" s="702" t="s">
        <v>1729</v>
      </c>
      <c r="J19" s="702" t="s">
        <v>529</v>
      </c>
      <c r="P19" s="701" t="s">
        <v>1687</v>
      </c>
      <c r="Q19" s="701" t="s">
        <v>1730</v>
      </c>
      <c r="R19" s="701" t="s">
        <v>1726</v>
      </c>
    </row>
    <row r="20" spans="8:18" x14ac:dyDescent="0.35">
      <c r="H20" s="702" t="s">
        <v>1731</v>
      </c>
      <c r="J20" s="702" t="s">
        <v>530</v>
      </c>
      <c r="P20" s="701" t="s">
        <v>1732</v>
      </c>
      <c r="Q20" s="701" t="s">
        <v>1733</v>
      </c>
      <c r="R20" s="701" t="s">
        <v>1734</v>
      </c>
    </row>
    <row r="21" spans="8:18" x14ac:dyDescent="0.35">
      <c r="H21" s="702" t="s">
        <v>1735</v>
      </c>
      <c r="P21" s="701" t="s">
        <v>1732</v>
      </c>
      <c r="Q21" s="701" t="s">
        <v>1736</v>
      </c>
      <c r="R21" s="701" t="s">
        <v>1734</v>
      </c>
    </row>
    <row r="22" spans="8:18" x14ac:dyDescent="0.35">
      <c r="H22" s="702" t="s">
        <v>1737</v>
      </c>
      <c r="P22" s="701" t="s">
        <v>1732</v>
      </c>
      <c r="Q22" s="701" t="s">
        <v>1738</v>
      </c>
      <c r="R22" s="701" t="s">
        <v>1734</v>
      </c>
    </row>
    <row r="23" spans="8:18" x14ac:dyDescent="0.35">
      <c r="H23" s="702" t="s">
        <v>1739</v>
      </c>
    </row>
    <row r="24" spans="8:18" x14ac:dyDescent="0.35">
      <c r="H24" s="702" t="s">
        <v>1740</v>
      </c>
      <c r="P24" s="701" t="s">
        <v>1732</v>
      </c>
      <c r="Q24" s="701" t="s">
        <v>1741</v>
      </c>
      <c r="R24" s="701" t="s">
        <v>1742</v>
      </c>
    </row>
    <row r="25" spans="8:18" x14ac:dyDescent="0.35">
      <c r="H25" s="702" t="s">
        <v>1743</v>
      </c>
    </row>
    <row r="26" spans="8:18" x14ac:dyDescent="0.35">
      <c r="H26" s="702" t="s">
        <v>1744</v>
      </c>
    </row>
    <row r="27" spans="8:18" x14ac:dyDescent="0.35">
      <c r="H27" s="702" t="s">
        <v>1745</v>
      </c>
      <c r="P27" s="701" t="s">
        <v>1732</v>
      </c>
      <c r="Q27" s="701" t="s">
        <v>1746</v>
      </c>
      <c r="R27" s="701" t="s">
        <v>1747</v>
      </c>
    </row>
    <row r="28" spans="8:18" x14ac:dyDescent="0.35">
      <c r="H28" s="702" t="s">
        <v>1748</v>
      </c>
      <c r="P28" s="701" t="s">
        <v>1732</v>
      </c>
      <c r="Q28" s="701" t="s">
        <v>1749</v>
      </c>
      <c r="R28" s="701" t="s">
        <v>1747</v>
      </c>
    </row>
    <row r="29" spans="8:18" x14ac:dyDescent="0.35">
      <c r="H29" s="702" t="s">
        <v>1750</v>
      </c>
      <c r="P29" s="701" t="s">
        <v>1732</v>
      </c>
      <c r="Q29" s="701" t="s">
        <v>1751</v>
      </c>
      <c r="R29" s="701" t="s">
        <v>1747</v>
      </c>
    </row>
    <row r="30" spans="8:18" x14ac:dyDescent="0.35">
      <c r="H30" s="702" t="s">
        <v>1752</v>
      </c>
      <c r="P30" s="701" t="s">
        <v>1732</v>
      </c>
      <c r="Q30" s="701" t="s">
        <v>1753</v>
      </c>
      <c r="R30" s="701" t="s">
        <v>1754</v>
      </c>
    </row>
    <row r="31" spans="8:18" x14ac:dyDescent="0.35">
      <c r="H31" s="702" t="s">
        <v>1755</v>
      </c>
      <c r="P31" s="701" t="s">
        <v>1732</v>
      </c>
      <c r="Q31" s="701" t="s">
        <v>1756</v>
      </c>
      <c r="R31" s="701" t="s">
        <v>1757</v>
      </c>
    </row>
    <row r="32" spans="8:18" x14ac:dyDescent="0.35">
      <c r="H32" s="702" t="s">
        <v>1758</v>
      </c>
      <c r="P32" s="701" t="s">
        <v>1732</v>
      </c>
      <c r="Q32" s="701" t="s">
        <v>1759</v>
      </c>
      <c r="R32" s="701" t="s">
        <v>1757</v>
      </c>
    </row>
    <row r="33" spans="8:18" x14ac:dyDescent="0.35">
      <c r="H33" s="702" t="s">
        <v>527</v>
      </c>
      <c r="P33" s="701" t="s">
        <v>1732</v>
      </c>
      <c r="Q33" s="701" t="s">
        <v>1760</v>
      </c>
      <c r="R33" s="701" t="s">
        <v>1757</v>
      </c>
    </row>
    <row r="34" spans="8:18" x14ac:dyDescent="0.35">
      <c r="H34" s="702" t="s">
        <v>528</v>
      </c>
    </row>
    <row r="35" spans="8:18" x14ac:dyDescent="0.35">
      <c r="H35" s="702" t="s">
        <v>529</v>
      </c>
    </row>
    <row r="36" spans="8:18" x14ac:dyDescent="0.35">
      <c r="H36" s="702" t="s">
        <v>530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Timeline &amp; PIC</vt:lpstr>
      <vt:lpstr>Thongtin</vt:lpstr>
      <vt:lpstr>KH hanh dong</vt:lpstr>
      <vt:lpstr>KQKD Tong hop</vt:lpstr>
      <vt:lpstr>KQKD PET</vt:lpstr>
      <vt:lpstr>KQKD HD</vt:lpstr>
      <vt:lpstr>Cong suat</vt:lpstr>
      <vt:lpstr>Dinh muc</vt:lpstr>
      <vt:lpstr>Dinh bien_HCNS</vt:lpstr>
      <vt:lpstr>LUONG</vt:lpstr>
      <vt:lpstr>Luong_HCNS</vt:lpstr>
      <vt:lpstr>4.Doanh thu</vt:lpstr>
      <vt:lpstr>1.NVL Chai</vt:lpstr>
      <vt:lpstr>2.Hao hut &amp; % chai </vt:lpstr>
      <vt:lpstr>3.Thanh pham</vt:lpstr>
      <vt:lpstr>CPSX</vt:lpstr>
      <vt:lpstr>CPBH</vt:lpstr>
      <vt:lpstr>CPQL</vt:lpstr>
      <vt:lpstr>CP_HDKD</vt:lpstr>
      <vt:lpstr>CP_Kg</vt:lpstr>
      <vt:lpstr>PB_TSCD</vt:lpstr>
      <vt:lpstr>PB_CPTT</vt:lpstr>
      <vt:lpstr>DATA Phan bo</vt:lpstr>
      <vt:lpstr>FORM OH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Duy, Lâm Thanh</dc:creator>
  <cp:lastModifiedBy>Cư, Lê Hoành</cp:lastModifiedBy>
  <cp:lastPrinted>2025-07-11T09:23:36Z</cp:lastPrinted>
  <dcterms:created xsi:type="dcterms:W3CDTF">2015-06-05T18:17:20Z</dcterms:created>
  <dcterms:modified xsi:type="dcterms:W3CDTF">2026-02-04T09:19:32Z</dcterms:modified>
</cp:coreProperties>
</file>